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drawings/drawing12.xml" ContentType="application/vnd.openxmlformats-officedocument.drawing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5" yWindow="150" windowWidth="15645" windowHeight="11025" tabRatio="851" activeTab="9"/>
  </bookViews>
  <sheets>
    <sheet name="DO" sheetId="7" r:id="rId1"/>
    <sheet name="BOD" sheetId="6" r:id="rId2"/>
    <sheet name="pH" sheetId="4" r:id="rId3"/>
    <sheet name="Ammonia" sheetId="44" r:id="rId4"/>
    <sheet name="Nitrate" sheetId="12" r:id="rId5"/>
    <sheet name="TSS" sheetId="5" r:id="rId6"/>
    <sheet name="Phosphate" sheetId="11" r:id="rId7"/>
    <sheet name="Oil &amp; Grease" sheetId="10" r:id="rId8"/>
    <sheet name="Fecal Coliform" sheetId="31" r:id="rId9"/>
    <sheet name="Total Coliform" sheetId="32" r:id="rId10"/>
    <sheet name="Total Coliform (Rivers)" sheetId="45" r:id="rId11"/>
    <sheet name="Bathing Beaches DO,pH" sheetId="33" r:id="rId12"/>
    <sheet name="Offshore DO, pH, Phos. Sal. Con" sheetId="13" r:id="rId13"/>
    <sheet name="Heavy metals" sheetId="25" r:id="rId14"/>
    <sheet name="% Overall Water Body" sheetId="30" r:id="rId15"/>
    <sheet name=" Summary% Pass Regions" sheetId="29" r:id="rId16"/>
    <sheet name="Summary per parameter" sheetId="40" r:id="rId17"/>
    <sheet name="Summary per parameter 2ND QTR E" sheetId="41" r:id="rId18"/>
    <sheet name="Overall summary" sheetId="39" r:id="rId19"/>
    <sheet name="Sheet1" sheetId="42" r:id="rId20"/>
    <sheet name="Rivermouth" sheetId="43" r:id="rId21"/>
  </sheets>
  <externalReferences>
    <externalReference r:id="rId22"/>
  </externalReferences>
  <definedNames>
    <definedName name="_xlnm.Print_Titles" localSheetId="1">BOD!$8:$9</definedName>
    <definedName name="_xlnm.Print_Titles" localSheetId="0">DO!$5:$9</definedName>
  </definedNames>
  <calcPr calcId="125725"/>
</workbook>
</file>

<file path=xl/calcChain.xml><?xml version="1.0" encoding="utf-8"?>
<calcChain xmlns="http://schemas.openxmlformats.org/spreadsheetml/2006/main">
  <c r="C253" i="31"/>
  <c r="C248"/>
  <c r="C240"/>
  <c r="C234"/>
  <c r="C207"/>
  <c r="C204"/>
  <c r="C199"/>
  <c r="C196"/>
  <c r="C191"/>
  <c r="C186"/>
  <c r="C183"/>
  <c r="C180"/>
  <c r="C176"/>
  <c r="AB63" i="5"/>
  <c r="AB65" s="1"/>
  <c r="AC63"/>
  <c r="AC65" s="1"/>
  <c r="AD63"/>
  <c r="AD65" s="1"/>
  <c r="AE63"/>
  <c r="AB64"/>
  <c r="AC64"/>
  <c r="AD64"/>
  <c r="AE64"/>
  <c r="E168" i="31"/>
  <c r="E167"/>
  <c r="C156"/>
  <c r="C147"/>
  <c r="C140"/>
  <c r="AB64" i="11"/>
  <c r="AC64"/>
  <c r="AC66" s="1"/>
  <c r="AD64"/>
  <c r="AD133" s="1"/>
  <c r="AE64"/>
  <c r="AE133" s="1"/>
  <c r="AB65"/>
  <c r="AC65"/>
  <c r="AC134" s="1"/>
  <c r="AD65"/>
  <c r="AD134" s="1"/>
  <c r="AE65"/>
  <c r="AD66"/>
  <c r="AE66"/>
  <c r="AE134"/>
  <c r="AB128"/>
  <c r="AC128"/>
  <c r="AD128"/>
  <c r="AD130" s="1"/>
  <c r="AE128"/>
  <c r="AB129"/>
  <c r="AC129"/>
  <c r="AD129"/>
  <c r="AE129"/>
  <c r="AC130"/>
  <c r="AE130"/>
  <c r="AB97"/>
  <c r="AB99" s="1"/>
  <c r="AC97"/>
  <c r="AC99" s="1"/>
  <c r="AD97"/>
  <c r="AE97"/>
  <c r="AB98"/>
  <c r="AC98"/>
  <c r="AD98"/>
  <c r="AE98"/>
  <c r="AD99"/>
  <c r="AB162" i="5"/>
  <c r="AC162"/>
  <c r="AD162"/>
  <c r="AE162"/>
  <c r="AB163"/>
  <c r="AC163"/>
  <c r="AD163"/>
  <c r="AE163"/>
  <c r="AB165"/>
  <c r="AC165"/>
  <c r="AD165"/>
  <c r="AE165"/>
  <c r="AB166"/>
  <c r="AB167" s="1"/>
  <c r="AC166"/>
  <c r="AD166"/>
  <c r="AE166"/>
  <c r="AB168"/>
  <c r="AC168"/>
  <c r="AD168"/>
  <c r="AE168"/>
  <c r="AB169"/>
  <c r="AC169"/>
  <c r="AD169"/>
  <c r="AE169"/>
  <c r="AB171"/>
  <c r="AC171"/>
  <c r="AD171"/>
  <c r="AE171"/>
  <c r="AE173" s="1"/>
  <c r="AB172"/>
  <c r="AC172"/>
  <c r="AD172"/>
  <c r="AE172"/>
  <c r="AB174"/>
  <c r="AC174"/>
  <c r="AD174"/>
  <c r="AE174"/>
  <c r="AB175"/>
  <c r="AC175"/>
  <c r="AD175"/>
  <c r="AE175"/>
  <c r="AB177"/>
  <c r="AC177"/>
  <c r="AD177"/>
  <c r="AE177"/>
  <c r="AB178"/>
  <c r="AC178"/>
  <c r="AD178"/>
  <c r="AE178"/>
  <c r="AB180"/>
  <c r="AC180"/>
  <c r="AD180"/>
  <c r="AE180"/>
  <c r="AB181"/>
  <c r="AC181"/>
  <c r="AD181"/>
  <c r="AE181"/>
  <c r="AB183"/>
  <c r="AC183"/>
  <c r="AD183"/>
  <c r="AE183"/>
  <c r="AB184"/>
  <c r="AC184"/>
  <c r="AD184"/>
  <c r="AD185" s="1"/>
  <c r="AE184"/>
  <c r="AB186"/>
  <c r="AC186"/>
  <c r="AD186"/>
  <c r="AE186"/>
  <c r="AB187"/>
  <c r="AC187"/>
  <c r="AD187"/>
  <c r="AE187"/>
  <c r="AB189"/>
  <c r="AC189"/>
  <c r="AC191" s="1"/>
  <c r="AD189"/>
  <c r="AE189"/>
  <c r="AB190"/>
  <c r="AC190"/>
  <c r="AD190"/>
  <c r="AD191" s="1"/>
  <c r="AE190"/>
  <c r="AE191"/>
  <c r="AB192"/>
  <c r="AB194" s="1"/>
  <c r="AC192"/>
  <c r="AC194" s="1"/>
  <c r="AD192"/>
  <c r="AD194" s="1"/>
  <c r="AE192"/>
  <c r="AB193"/>
  <c r="AC193"/>
  <c r="AD193"/>
  <c r="AE193"/>
  <c r="AE194" s="1"/>
  <c r="AB195"/>
  <c r="AC195"/>
  <c r="AC197" s="1"/>
  <c r="AD195"/>
  <c r="AE195"/>
  <c r="AB196"/>
  <c r="AB197" s="1"/>
  <c r="AC196"/>
  <c r="AD196"/>
  <c r="AD197" s="1"/>
  <c r="AE196"/>
  <c r="AE197"/>
  <c r="AB198"/>
  <c r="AB200" s="1"/>
  <c r="AC198"/>
  <c r="AC200" s="1"/>
  <c r="AD198"/>
  <c r="AD200" s="1"/>
  <c r="AE198"/>
  <c r="AB199"/>
  <c r="AC199"/>
  <c r="AD199"/>
  <c r="AE199"/>
  <c r="AE200" s="1"/>
  <c r="AB201"/>
  <c r="AC201"/>
  <c r="AC203" s="1"/>
  <c r="AD201"/>
  <c r="AE201"/>
  <c r="AB202"/>
  <c r="AB203" s="1"/>
  <c r="AC202"/>
  <c r="AD202"/>
  <c r="AD203" s="1"/>
  <c r="AE202"/>
  <c r="AE203"/>
  <c r="AB204"/>
  <c r="AC204"/>
  <c r="AC206" s="1"/>
  <c r="AD204"/>
  <c r="AD206" s="1"/>
  <c r="AE204"/>
  <c r="AB205"/>
  <c r="AC205"/>
  <c r="AD205"/>
  <c r="AE205"/>
  <c r="AE206" s="1"/>
  <c r="AB207"/>
  <c r="AC207"/>
  <c r="AC209" s="1"/>
  <c r="AD207"/>
  <c r="AE207"/>
  <c r="AB208"/>
  <c r="AC208"/>
  <c r="AD208"/>
  <c r="AD209" s="1"/>
  <c r="AE208"/>
  <c r="AE209"/>
  <c r="AE211"/>
  <c r="AC125"/>
  <c r="AC127" s="1"/>
  <c r="AD125"/>
  <c r="AE125"/>
  <c r="AE127" s="1"/>
  <c r="AC126"/>
  <c r="AD126"/>
  <c r="AE126"/>
  <c r="AB95"/>
  <c r="AC95"/>
  <c r="AC97" s="1"/>
  <c r="AD95"/>
  <c r="AD97" s="1"/>
  <c r="AE95"/>
  <c r="AE97" s="1"/>
  <c r="AB96"/>
  <c r="AC96"/>
  <c r="AD96"/>
  <c r="AE96"/>
  <c r="AC128" i="12"/>
  <c r="AD128"/>
  <c r="AE128"/>
  <c r="AC129"/>
  <c r="AD129"/>
  <c r="AE129"/>
  <c r="AE130" s="1"/>
  <c r="AC130"/>
  <c r="AD130"/>
  <c r="V123"/>
  <c r="V125" s="1"/>
  <c r="W123"/>
  <c r="W125" s="1"/>
  <c r="X123"/>
  <c r="X125" s="1"/>
  <c r="Y123"/>
  <c r="Z123"/>
  <c r="AA123"/>
  <c r="AB123"/>
  <c r="AC123"/>
  <c r="AC125" s="1"/>
  <c r="AD123"/>
  <c r="AD125" s="1"/>
  <c r="AE123"/>
  <c r="AE125" s="1"/>
  <c r="V124"/>
  <c r="W124"/>
  <c r="X124"/>
  <c r="Y124"/>
  <c r="Y125" s="1"/>
  <c r="Z124"/>
  <c r="AA124"/>
  <c r="AB124"/>
  <c r="AB125" s="1"/>
  <c r="AC124"/>
  <c r="AD124"/>
  <c r="AE124"/>
  <c r="Z125"/>
  <c r="AA125"/>
  <c r="AB93"/>
  <c r="AC93"/>
  <c r="AC95" s="1"/>
  <c r="AD93"/>
  <c r="AE93"/>
  <c r="AB94"/>
  <c r="AC94"/>
  <c r="AD94"/>
  <c r="AE94"/>
  <c r="AD95"/>
  <c r="AB61"/>
  <c r="AC61"/>
  <c r="AD61"/>
  <c r="AE61"/>
  <c r="AB62"/>
  <c r="AC62"/>
  <c r="AD62"/>
  <c r="AE62"/>
  <c r="AC63"/>
  <c r="AD63"/>
  <c r="AE63"/>
  <c r="AC101" i="44"/>
  <c r="AD101"/>
  <c r="AE101"/>
  <c r="AC102"/>
  <c r="AD102"/>
  <c r="AE102"/>
  <c r="AE103" s="1"/>
  <c r="AC103"/>
  <c r="AD103"/>
  <c r="AB96"/>
  <c r="AB101" s="1"/>
  <c r="AC96"/>
  <c r="AC98" s="1"/>
  <c r="AD96"/>
  <c r="AD98" s="1"/>
  <c r="AE96"/>
  <c r="AB97"/>
  <c r="AB102" s="1"/>
  <c r="AC97"/>
  <c r="AD97"/>
  <c r="AE97"/>
  <c r="AB61"/>
  <c r="AB63" s="1"/>
  <c r="AC61"/>
  <c r="AD61"/>
  <c r="AE61"/>
  <c r="AB62"/>
  <c r="AC62"/>
  <c r="AD62"/>
  <c r="AE62"/>
  <c r="AC63"/>
  <c r="AD63"/>
  <c r="AE63"/>
  <c r="AB222" i="4"/>
  <c r="AB224" s="1"/>
  <c r="AC222"/>
  <c r="AC224" s="1"/>
  <c r="AD222"/>
  <c r="AD224" s="1"/>
  <c r="AE222"/>
  <c r="AB223"/>
  <c r="AC223"/>
  <c r="AD223"/>
  <c r="AE223"/>
  <c r="AE224"/>
  <c r="AB225"/>
  <c r="AB227" s="1"/>
  <c r="AC225"/>
  <c r="AD225"/>
  <c r="AE225"/>
  <c r="AB226"/>
  <c r="AC226"/>
  <c r="AC227" s="1"/>
  <c r="AD226"/>
  <c r="AD227" s="1"/>
  <c r="AE226"/>
  <c r="AE227" s="1"/>
  <c r="AB228"/>
  <c r="AB230" s="1"/>
  <c r="AC228"/>
  <c r="AC230" s="1"/>
  <c r="AD228"/>
  <c r="AD230" s="1"/>
  <c r="AE228"/>
  <c r="AB229"/>
  <c r="AC229"/>
  <c r="AD229"/>
  <c r="AE229"/>
  <c r="AE230"/>
  <c r="AB231"/>
  <c r="AC231"/>
  <c r="AD231"/>
  <c r="AE231"/>
  <c r="AB232"/>
  <c r="AC232"/>
  <c r="AC233" s="1"/>
  <c r="AD232"/>
  <c r="AD233" s="1"/>
  <c r="AE232"/>
  <c r="AE233" s="1"/>
  <c r="AB234"/>
  <c r="AB236" s="1"/>
  <c r="AC234"/>
  <c r="AC236" s="1"/>
  <c r="AD234"/>
  <c r="AD236" s="1"/>
  <c r="AE234"/>
  <c r="AE236" s="1"/>
  <c r="AB235"/>
  <c r="AC235"/>
  <c r="AD235"/>
  <c r="AE235"/>
  <c r="AB237"/>
  <c r="AC237"/>
  <c r="AD237"/>
  <c r="AE237"/>
  <c r="AB238"/>
  <c r="AC238"/>
  <c r="AC239" s="1"/>
  <c r="AD238"/>
  <c r="AD239" s="1"/>
  <c r="AE238"/>
  <c r="AE239" s="1"/>
  <c r="AB240"/>
  <c r="AB242" s="1"/>
  <c r="AC240"/>
  <c r="AC242" s="1"/>
  <c r="AD240"/>
  <c r="AD242" s="1"/>
  <c r="AE240"/>
  <c r="AE242" s="1"/>
  <c r="AB241"/>
  <c r="AC241"/>
  <c r="AD241"/>
  <c r="AE241"/>
  <c r="AB243"/>
  <c r="AB245" s="1"/>
  <c r="AC243"/>
  <c r="AD243"/>
  <c r="AE243"/>
  <c r="AB244"/>
  <c r="AC244"/>
  <c r="AC245" s="1"/>
  <c r="AD244"/>
  <c r="AD245" s="1"/>
  <c r="AE244"/>
  <c r="AE245" s="1"/>
  <c r="AB246"/>
  <c r="AB248" s="1"/>
  <c r="AC246"/>
  <c r="AC248" s="1"/>
  <c r="AD246"/>
  <c r="AD248" s="1"/>
  <c r="AE246"/>
  <c r="AE248" s="1"/>
  <c r="AB247"/>
  <c r="AC247"/>
  <c r="AD247"/>
  <c r="AE247"/>
  <c r="AB249"/>
  <c r="AC249"/>
  <c r="AD249"/>
  <c r="AE249"/>
  <c r="AB250"/>
  <c r="AC250"/>
  <c r="AC251" s="1"/>
  <c r="AD250"/>
  <c r="AD251" s="1"/>
  <c r="AE250"/>
  <c r="AE251" s="1"/>
  <c r="AB252"/>
  <c r="AC252"/>
  <c r="AC254" s="1"/>
  <c r="AD252"/>
  <c r="AD254" s="1"/>
  <c r="AE252"/>
  <c r="AE254" s="1"/>
  <c r="AB253"/>
  <c r="AC253"/>
  <c r="AD253"/>
  <c r="AE253"/>
  <c r="AB255"/>
  <c r="AC255"/>
  <c r="AD255"/>
  <c r="AE255"/>
  <c r="AB256"/>
  <c r="AC256"/>
  <c r="AC257" s="1"/>
  <c r="AD256"/>
  <c r="AD257" s="1"/>
  <c r="AE256"/>
  <c r="AE257" s="1"/>
  <c r="AB258"/>
  <c r="AC258"/>
  <c r="AC260" s="1"/>
  <c r="AD258"/>
  <c r="AD260" s="1"/>
  <c r="AE258"/>
  <c r="AE260" s="1"/>
  <c r="AB259"/>
  <c r="AC259"/>
  <c r="AD259"/>
  <c r="AE259"/>
  <c r="AB261"/>
  <c r="AB263" s="1"/>
  <c r="AC261"/>
  <c r="AD261"/>
  <c r="AE261"/>
  <c r="AB262"/>
  <c r="AC262"/>
  <c r="AC263" s="1"/>
  <c r="AD262"/>
  <c r="AD263" s="1"/>
  <c r="AE262"/>
  <c r="AE263" s="1"/>
  <c r="AB264"/>
  <c r="AC264"/>
  <c r="AC266" s="1"/>
  <c r="AD264"/>
  <c r="AD266" s="1"/>
  <c r="AE264"/>
  <c r="AE266" s="1"/>
  <c r="AB265"/>
  <c r="AC265"/>
  <c r="AD265"/>
  <c r="AE265"/>
  <c r="AB267"/>
  <c r="AC267"/>
  <c r="AD267"/>
  <c r="AE267"/>
  <c r="AB268"/>
  <c r="AC268"/>
  <c r="AC269" s="1"/>
  <c r="AD268"/>
  <c r="AD269" s="1"/>
  <c r="AE268"/>
  <c r="AE269" s="1"/>
  <c r="AC270"/>
  <c r="AD270"/>
  <c r="AE270"/>
  <c r="AB192"/>
  <c r="AC192"/>
  <c r="AD192"/>
  <c r="AE192"/>
  <c r="AB193"/>
  <c r="AC193"/>
  <c r="AD193"/>
  <c r="AE193"/>
  <c r="AB174"/>
  <c r="AB176" s="1"/>
  <c r="AC174"/>
  <c r="AC176" s="1"/>
  <c r="AD174"/>
  <c r="AE174"/>
  <c r="AB175"/>
  <c r="AC175"/>
  <c r="AD175"/>
  <c r="AE175"/>
  <c r="AE176" s="1"/>
  <c r="AD176"/>
  <c r="AB123"/>
  <c r="AC123"/>
  <c r="AC125" s="1"/>
  <c r="AD123"/>
  <c r="AD125" s="1"/>
  <c r="AE123"/>
  <c r="AE125" s="1"/>
  <c r="AC124"/>
  <c r="AD124"/>
  <c r="AE124"/>
  <c r="AB94"/>
  <c r="AC94"/>
  <c r="AC96" s="1"/>
  <c r="AD94"/>
  <c r="AD96" s="1"/>
  <c r="AE94"/>
  <c r="AB95"/>
  <c r="AC95"/>
  <c r="AD95"/>
  <c r="AE95"/>
  <c r="AE96"/>
  <c r="AB62"/>
  <c r="AC62"/>
  <c r="AC64" s="1"/>
  <c r="AD62"/>
  <c r="AD64" s="1"/>
  <c r="AE62"/>
  <c r="AE64" s="1"/>
  <c r="AB63"/>
  <c r="AC63"/>
  <c r="AD63"/>
  <c r="AE63"/>
  <c r="AB198" i="6"/>
  <c r="AB200" s="1"/>
  <c r="AC198"/>
  <c r="AC200" s="1"/>
  <c r="AD198"/>
  <c r="AE198"/>
  <c r="AE200" s="1"/>
  <c r="AB199"/>
  <c r="AC199"/>
  <c r="AD199"/>
  <c r="AE199"/>
  <c r="AD200"/>
  <c r="AC130"/>
  <c r="AD130"/>
  <c r="AE130"/>
  <c r="AC131"/>
  <c r="AD131"/>
  <c r="AE131"/>
  <c r="AC132"/>
  <c r="AD132"/>
  <c r="AE132"/>
  <c r="AB125"/>
  <c r="AC125"/>
  <c r="AC127" s="1"/>
  <c r="AD125"/>
  <c r="AD127" s="1"/>
  <c r="AE125"/>
  <c r="AE127" s="1"/>
  <c r="AC126"/>
  <c r="AD126"/>
  <c r="AE126"/>
  <c r="AB95"/>
  <c r="AC95"/>
  <c r="AC97" s="1"/>
  <c r="AD95"/>
  <c r="AD97" s="1"/>
  <c r="AE95"/>
  <c r="AB96"/>
  <c r="AC96"/>
  <c r="AD96"/>
  <c r="AE96"/>
  <c r="AE97" s="1"/>
  <c r="AB63"/>
  <c r="AC63"/>
  <c r="AC65" s="1"/>
  <c r="AD63"/>
  <c r="AD65" s="1"/>
  <c r="AE63"/>
  <c r="AB64"/>
  <c r="AC64"/>
  <c r="AD64"/>
  <c r="AE64"/>
  <c r="AE65" s="1"/>
  <c r="FB85" i="13"/>
  <c r="FC85"/>
  <c r="FD85"/>
  <c r="FE85"/>
  <c r="FB86"/>
  <c r="FC86"/>
  <c r="FD86"/>
  <c r="FE86"/>
  <c r="FB87"/>
  <c r="FC87"/>
  <c r="FD87"/>
  <c r="FE87"/>
  <c r="FB88"/>
  <c r="FC88"/>
  <c r="FD88"/>
  <c r="FE88"/>
  <c r="FB89"/>
  <c r="FC89"/>
  <c r="FD89"/>
  <c r="FE89"/>
  <c r="FB90"/>
  <c r="FC90"/>
  <c r="FD90"/>
  <c r="FE90"/>
  <c r="FB91"/>
  <c r="FC91"/>
  <c r="FD91"/>
  <c r="FE91"/>
  <c r="FB92"/>
  <c r="FC92"/>
  <c r="FD92"/>
  <c r="FE92"/>
  <c r="FB93"/>
  <c r="FC93"/>
  <c r="FD93"/>
  <c r="FE93"/>
  <c r="FB72"/>
  <c r="FC72"/>
  <c r="FD72"/>
  <c r="FE72"/>
  <c r="FB73"/>
  <c r="FC73"/>
  <c r="FD73"/>
  <c r="FE73"/>
  <c r="FB74"/>
  <c r="FC74"/>
  <c r="FD74"/>
  <c r="FE74"/>
  <c r="FB75"/>
  <c r="FC75"/>
  <c r="FD75"/>
  <c r="FE75"/>
  <c r="FB76"/>
  <c r="FC76"/>
  <c r="FD76"/>
  <c r="FE76"/>
  <c r="FB77"/>
  <c r="FC77"/>
  <c r="FD77"/>
  <c r="FE77"/>
  <c r="FB78"/>
  <c r="FC78"/>
  <c r="FD78"/>
  <c r="FE78"/>
  <c r="FB79"/>
  <c r="FC79"/>
  <c r="FD79"/>
  <c r="FE79"/>
  <c r="FB80"/>
  <c r="FC80"/>
  <c r="FD80"/>
  <c r="FE80"/>
  <c r="FB59"/>
  <c r="FC59"/>
  <c r="FD59"/>
  <c r="FE59"/>
  <c r="FB60"/>
  <c r="FC60"/>
  <c r="FD60"/>
  <c r="FE60"/>
  <c r="FB61"/>
  <c r="FC61"/>
  <c r="FD61"/>
  <c r="FE61"/>
  <c r="FB62"/>
  <c r="FC62"/>
  <c r="FD62"/>
  <c r="FE62"/>
  <c r="FB63"/>
  <c r="FC63"/>
  <c r="FD63"/>
  <c r="FE63"/>
  <c r="FB64"/>
  <c r="FC64"/>
  <c r="FD64"/>
  <c r="FE64"/>
  <c r="FB65"/>
  <c r="FC65"/>
  <c r="FD65"/>
  <c r="FE65"/>
  <c r="FB66"/>
  <c r="FC66"/>
  <c r="FD66"/>
  <c r="FE66"/>
  <c r="FB67"/>
  <c r="FC67"/>
  <c r="FD67"/>
  <c r="FE67"/>
  <c r="DU85"/>
  <c r="DV85"/>
  <c r="DW85"/>
  <c r="DX85"/>
  <c r="DU86"/>
  <c r="DV86"/>
  <c r="DW86"/>
  <c r="DX86"/>
  <c r="DU87"/>
  <c r="DV87"/>
  <c r="DW87"/>
  <c r="DX87"/>
  <c r="DU88"/>
  <c r="DV88"/>
  <c r="DW88"/>
  <c r="DX88"/>
  <c r="DU89"/>
  <c r="DV89"/>
  <c r="DW89"/>
  <c r="DX89"/>
  <c r="DU90"/>
  <c r="DV90"/>
  <c r="DW90"/>
  <c r="DX90"/>
  <c r="DU91"/>
  <c r="DV91"/>
  <c r="DW91"/>
  <c r="DX91"/>
  <c r="DU92"/>
  <c r="DV92"/>
  <c r="DW92"/>
  <c r="DX92"/>
  <c r="DU93"/>
  <c r="DV93"/>
  <c r="DW93"/>
  <c r="DX93"/>
  <c r="DU72"/>
  <c r="DV72"/>
  <c r="DW72"/>
  <c r="DX72"/>
  <c r="DU73"/>
  <c r="DV73"/>
  <c r="DW73"/>
  <c r="DX73"/>
  <c r="DU74"/>
  <c r="DV74"/>
  <c r="DW74"/>
  <c r="DX74"/>
  <c r="DU75"/>
  <c r="DV75"/>
  <c r="DW75"/>
  <c r="DX75"/>
  <c r="DU76"/>
  <c r="DV76"/>
  <c r="DW76"/>
  <c r="DX76"/>
  <c r="DU77"/>
  <c r="DV77"/>
  <c r="DW77"/>
  <c r="DX77"/>
  <c r="DU78"/>
  <c r="DV78"/>
  <c r="DW78"/>
  <c r="DX78"/>
  <c r="DU79"/>
  <c r="DV79"/>
  <c r="DW79"/>
  <c r="DX79"/>
  <c r="DU80"/>
  <c r="DV80"/>
  <c r="DW80"/>
  <c r="DX80"/>
  <c r="DU59"/>
  <c r="DV59"/>
  <c r="DW59"/>
  <c r="DX59"/>
  <c r="DU60"/>
  <c r="DV60"/>
  <c r="DW60"/>
  <c r="DX60"/>
  <c r="DU61"/>
  <c r="DV61"/>
  <c r="DW61"/>
  <c r="DX61"/>
  <c r="DU62"/>
  <c r="DV62"/>
  <c r="DW62"/>
  <c r="DX62"/>
  <c r="DU63"/>
  <c r="DV63"/>
  <c r="DW63"/>
  <c r="DX63"/>
  <c r="DU64"/>
  <c r="DV64"/>
  <c r="DW64"/>
  <c r="DX64"/>
  <c r="DU65"/>
  <c r="DV65"/>
  <c r="DW65"/>
  <c r="DX65"/>
  <c r="DU66"/>
  <c r="DV66"/>
  <c r="DW66"/>
  <c r="DX66"/>
  <c r="DU67"/>
  <c r="DV67"/>
  <c r="DW67"/>
  <c r="DX67"/>
  <c r="CO85"/>
  <c r="CO95" s="1"/>
  <c r="CP85"/>
  <c r="CP94" s="1"/>
  <c r="CQ85"/>
  <c r="CQ94" s="1"/>
  <c r="CO86"/>
  <c r="CP86"/>
  <c r="CQ86"/>
  <c r="CO87"/>
  <c r="CP87"/>
  <c r="CQ87"/>
  <c r="CQ95" s="1"/>
  <c r="CO88"/>
  <c r="CP88"/>
  <c r="CQ88"/>
  <c r="CO89"/>
  <c r="CP89"/>
  <c r="CQ89"/>
  <c r="CO90"/>
  <c r="CP90"/>
  <c r="CQ90"/>
  <c r="CO91"/>
  <c r="CP91"/>
  <c r="CQ91"/>
  <c r="CO92"/>
  <c r="CP92"/>
  <c r="CQ92"/>
  <c r="CO93"/>
  <c r="CP93"/>
  <c r="CQ93"/>
  <c r="CN93"/>
  <c r="CN92"/>
  <c r="CN91"/>
  <c r="CN90"/>
  <c r="CN89"/>
  <c r="CN88"/>
  <c r="CN87"/>
  <c r="CN86"/>
  <c r="CN85"/>
  <c r="CO72"/>
  <c r="CO82" s="1"/>
  <c r="CP72"/>
  <c r="CP81" s="1"/>
  <c r="CQ72"/>
  <c r="CQ81" s="1"/>
  <c r="CO73"/>
  <c r="CP73"/>
  <c r="CQ73"/>
  <c r="CO74"/>
  <c r="CP74"/>
  <c r="CQ74"/>
  <c r="CQ82" s="1"/>
  <c r="CO75"/>
  <c r="CP75"/>
  <c r="CQ75"/>
  <c r="CO76"/>
  <c r="CP76"/>
  <c r="CQ76"/>
  <c r="CO77"/>
  <c r="CP77"/>
  <c r="CQ77"/>
  <c r="CO78"/>
  <c r="CP78"/>
  <c r="CQ78"/>
  <c r="CO79"/>
  <c r="CP79"/>
  <c r="CQ79"/>
  <c r="CO80"/>
  <c r="CP80"/>
  <c r="CQ80"/>
  <c r="CN80"/>
  <c r="CN79"/>
  <c r="CN78"/>
  <c r="CN77"/>
  <c r="CN76"/>
  <c r="CN75"/>
  <c r="CN74"/>
  <c r="CN73"/>
  <c r="CN72"/>
  <c r="CO59"/>
  <c r="CO69" s="1"/>
  <c r="CP59"/>
  <c r="CP68" s="1"/>
  <c r="CQ59"/>
  <c r="CQ68" s="1"/>
  <c r="CO60"/>
  <c r="CP60"/>
  <c r="CQ60"/>
  <c r="CO61"/>
  <c r="CP61"/>
  <c r="CQ61"/>
  <c r="CQ69" s="1"/>
  <c r="CO62"/>
  <c r="CP62"/>
  <c r="CQ62"/>
  <c r="CO63"/>
  <c r="CP63"/>
  <c r="CQ63"/>
  <c r="CO64"/>
  <c r="CP64"/>
  <c r="CQ64"/>
  <c r="CO65"/>
  <c r="CP65"/>
  <c r="CQ65"/>
  <c r="CO66"/>
  <c r="CP66"/>
  <c r="CQ66"/>
  <c r="CO67"/>
  <c r="CP67"/>
  <c r="CQ67"/>
  <c r="CN67"/>
  <c r="CN66"/>
  <c r="CN65"/>
  <c r="CN64"/>
  <c r="CN63"/>
  <c r="CN62"/>
  <c r="CN61"/>
  <c r="CN60"/>
  <c r="CN59"/>
  <c r="CP95"/>
  <c r="CP82"/>
  <c r="CP69"/>
  <c r="BH85"/>
  <c r="BI85"/>
  <c r="BJ85"/>
  <c r="BJ94" s="1"/>
  <c r="BK85"/>
  <c r="BH86"/>
  <c r="BI86"/>
  <c r="BI95" s="1"/>
  <c r="BJ86"/>
  <c r="BK86"/>
  <c r="BK95" s="1"/>
  <c r="BH87"/>
  <c r="BI87"/>
  <c r="BJ87"/>
  <c r="BJ96" s="1"/>
  <c r="BK87"/>
  <c r="BH88"/>
  <c r="BI88"/>
  <c r="BI94" s="1"/>
  <c r="BJ88"/>
  <c r="BK88"/>
  <c r="BH89"/>
  <c r="BI89"/>
  <c r="BJ89"/>
  <c r="BK89"/>
  <c r="BH90"/>
  <c r="BI90"/>
  <c r="BJ90"/>
  <c r="BK90"/>
  <c r="BH91"/>
  <c r="BI91"/>
  <c r="BJ91"/>
  <c r="BK91"/>
  <c r="BH92"/>
  <c r="BI92"/>
  <c r="BJ92"/>
  <c r="BK92"/>
  <c r="BH93"/>
  <c r="BI93"/>
  <c r="BJ93"/>
  <c r="BK93"/>
  <c r="BK94"/>
  <c r="BI96"/>
  <c r="BK96"/>
  <c r="BH72"/>
  <c r="BI72"/>
  <c r="BI83" s="1"/>
  <c r="BJ72"/>
  <c r="BJ81" s="1"/>
  <c r="BK72"/>
  <c r="BK81" s="1"/>
  <c r="BH73"/>
  <c r="BI73"/>
  <c r="BJ73"/>
  <c r="BK73"/>
  <c r="BH74"/>
  <c r="BI74"/>
  <c r="BJ74"/>
  <c r="BK74"/>
  <c r="BH75"/>
  <c r="BI75"/>
  <c r="BJ75"/>
  <c r="BK75"/>
  <c r="BH76"/>
  <c r="BI76"/>
  <c r="BJ76"/>
  <c r="BK76"/>
  <c r="BH77"/>
  <c r="BI77"/>
  <c r="BJ77"/>
  <c r="BK77"/>
  <c r="BH78"/>
  <c r="BI78"/>
  <c r="BJ78"/>
  <c r="BK78"/>
  <c r="BH79"/>
  <c r="BI79"/>
  <c r="BJ79"/>
  <c r="BK79"/>
  <c r="BH80"/>
  <c r="BI80"/>
  <c r="BJ80"/>
  <c r="BK80"/>
  <c r="BI82"/>
  <c r="BJ82"/>
  <c r="BK82"/>
  <c r="BH59"/>
  <c r="BI59"/>
  <c r="BI68" s="1"/>
  <c r="BJ59"/>
  <c r="BK59"/>
  <c r="BK69" s="1"/>
  <c r="BH60"/>
  <c r="BI60"/>
  <c r="BJ60"/>
  <c r="BJ69" s="1"/>
  <c r="BK60"/>
  <c r="BH61"/>
  <c r="BI61"/>
  <c r="BJ61"/>
  <c r="BK61"/>
  <c r="BH62"/>
  <c r="BI62"/>
  <c r="BJ62"/>
  <c r="BK62"/>
  <c r="BH63"/>
  <c r="BI63"/>
  <c r="BJ63"/>
  <c r="BK63"/>
  <c r="BH64"/>
  <c r="BI64"/>
  <c r="BJ64"/>
  <c r="BJ70" s="1"/>
  <c r="BK64"/>
  <c r="BH65"/>
  <c r="BI65"/>
  <c r="BJ65"/>
  <c r="BK65"/>
  <c r="BH66"/>
  <c r="BH70" s="1"/>
  <c r="BI66"/>
  <c r="BJ66"/>
  <c r="BK66"/>
  <c r="BH67"/>
  <c r="BI67"/>
  <c r="BJ67"/>
  <c r="BK67"/>
  <c r="BK68"/>
  <c r="BI69"/>
  <c r="BI70"/>
  <c r="BK70"/>
  <c r="AB85"/>
  <c r="AC85"/>
  <c r="AC95" s="1"/>
  <c r="AD85"/>
  <c r="AD94" s="1"/>
  <c r="AE85"/>
  <c r="AE95" s="1"/>
  <c r="AB86"/>
  <c r="AC86"/>
  <c r="AD86"/>
  <c r="AE86"/>
  <c r="AB87"/>
  <c r="AC87"/>
  <c r="AD87"/>
  <c r="AD96" s="1"/>
  <c r="AE87"/>
  <c r="AB88"/>
  <c r="AC88"/>
  <c r="AD88"/>
  <c r="AE88"/>
  <c r="AB89"/>
  <c r="AC89"/>
  <c r="AD89"/>
  <c r="AE89"/>
  <c r="AB90"/>
  <c r="AC90"/>
  <c r="AD90"/>
  <c r="AE90"/>
  <c r="AB91"/>
  <c r="AC91"/>
  <c r="AD91"/>
  <c r="AE91"/>
  <c r="AB92"/>
  <c r="AC92"/>
  <c r="AD92"/>
  <c r="AE92"/>
  <c r="AB93"/>
  <c r="AC93"/>
  <c r="AD93"/>
  <c r="AE93"/>
  <c r="AB72"/>
  <c r="AC72"/>
  <c r="AC82" s="1"/>
  <c r="AD72"/>
  <c r="AD81" s="1"/>
  <c r="AE72"/>
  <c r="AB73"/>
  <c r="AC73"/>
  <c r="AD73"/>
  <c r="AE73"/>
  <c r="AB74"/>
  <c r="AC74"/>
  <c r="AD74"/>
  <c r="AE74"/>
  <c r="AB75"/>
  <c r="AC75"/>
  <c r="AD75"/>
  <c r="AE75"/>
  <c r="AB76"/>
  <c r="AC76"/>
  <c r="AD76"/>
  <c r="AE76"/>
  <c r="AB77"/>
  <c r="AC77"/>
  <c r="AD77"/>
  <c r="AE77"/>
  <c r="AB78"/>
  <c r="AC78"/>
  <c r="AD78"/>
  <c r="AE78"/>
  <c r="AB79"/>
  <c r="AC79"/>
  <c r="AD79"/>
  <c r="AE79"/>
  <c r="AB80"/>
  <c r="AC80"/>
  <c r="AD80"/>
  <c r="AE80"/>
  <c r="AB61"/>
  <c r="AC61"/>
  <c r="AD61"/>
  <c r="AE61"/>
  <c r="AE68" s="1"/>
  <c r="AB62"/>
  <c r="AC62"/>
  <c r="AD62"/>
  <c r="AE62"/>
  <c r="AB63"/>
  <c r="AC63"/>
  <c r="AD63"/>
  <c r="AE63"/>
  <c r="AB64"/>
  <c r="AC64"/>
  <c r="AD64"/>
  <c r="AE64"/>
  <c r="AB65"/>
  <c r="AC65"/>
  <c r="AD65"/>
  <c r="AE65"/>
  <c r="AB66"/>
  <c r="AC66"/>
  <c r="AD66"/>
  <c r="AE66"/>
  <c r="AB67"/>
  <c r="AC67"/>
  <c r="AD67"/>
  <c r="AE67"/>
  <c r="AB60"/>
  <c r="AC60"/>
  <c r="AD60"/>
  <c r="AE60"/>
  <c r="AB59"/>
  <c r="AC59"/>
  <c r="AD59"/>
  <c r="AE59"/>
  <c r="AC81"/>
  <c r="AD82"/>
  <c r="AE82"/>
  <c r="AE81"/>
  <c r="AD83"/>
  <c r="AE83"/>
  <c r="AE94"/>
  <c r="AE96"/>
  <c r="AC57" i="31"/>
  <c r="AB51"/>
  <c r="AC51"/>
  <c r="AC53" s="1"/>
  <c r="AD51"/>
  <c r="AB52"/>
  <c r="AC52"/>
  <c r="AD52"/>
  <c r="AA34"/>
  <c r="AB34"/>
  <c r="AB36" s="1"/>
  <c r="AC34"/>
  <c r="AC36" s="1"/>
  <c r="AD34"/>
  <c r="AA35"/>
  <c r="AB35"/>
  <c r="AC35"/>
  <c r="AD35"/>
  <c r="AA20"/>
  <c r="AB20"/>
  <c r="AB22" s="1"/>
  <c r="AC20"/>
  <c r="AD20"/>
  <c r="AA21"/>
  <c r="AB21"/>
  <c r="AC21"/>
  <c r="AD21"/>
  <c r="AB167" i="33"/>
  <c r="AC167"/>
  <c r="AD167"/>
  <c r="AE167"/>
  <c r="AB168"/>
  <c r="AB169" s="1"/>
  <c r="AC168"/>
  <c r="AC169" s="1"/>
  <c r="AD168"/>
  <c r="AD169" s="1"/>
  <c r="AE168"/>
  <c r="AE169" s="1"/>
  <c r="AB162"/>
  <c r="AB164" s="1"/>
  <c r="AC162"/>
  <c r="AC164" s="1"/>
  <c r="AD162"/>
  <c r="AD164" s="1"/>
  <c r="AE162"/>
  <c r="AE164" s="1"/>
  <c r="AB163"/>
  <c r="AC163"/>
  <c r="AD163"/>
  <c r="AE163"/>
  <c r="AB143"/>
  <c r="AB145" s="1"/>
  <c r="AC143"/>
  <c r="AC145" s="1"/>
  <c r="AD143"/>
  <c r="AE143"/>
  <c r="AB144"/>
  <c r="AC144"/>
  <c r="AD144"/>
  <c r="AE144"/>
  <c r="AD145"/>
  <c r="AB127"/>
  <c r="AB129" s="1"/>
  <c r="AC127"/>
  <c r="AC129" s="1"/>
  <c r="AD127"/>
  <c r="AE127"/>
  <c r="AB128"/>
  <c r="AC128"/>
  <c r="AD128"/>
  <c r="AE128"/>
  <c r="AD129"/>
  <c r="AE129"/>
  <c r="AC114"/>
  <c r="AC116" s="1"/>
  <c r="AD114"/>
  <c r="AD116" s="1"/>
  <c r="AE114"/>
  <c r="AC115"/>
  <c r="AD115"/>
  <c r="AE115"/>
  <c r="AE116"/>
  <c r="AB109"/>
  <c r="AB111" s="1"/>
  <c r="AC109"/>
  <c r="AC111" s="1"/>
  <c r="AD109"/>
  <c r="AD111" s="1"/>
  <c r="AE109"/>
  <c r="AE111" s="1"/>
  <c r="AB110"/>
  <c r="AC110"/>
  <c r="AD110"/>
  <c r="AE110"/>
  <c r="AB89"/>
  <c r="AC89"/>
  <c r="AC91" s="1"/>
  <c r="AD89"/>
  <c r="AD91" s="1"/>
  <c r="AE89"/>
  <c r="AE91" s="1"/>
  <c r="AB90"/>
  <c r="AC90"/>
  <c r="AD90"/>
  <c r="AE90"/>
  <c r="AB72"/>
  <c r="AB74" s="1"/>
  <c r="AC72"/>
  <c r="AC74" s="1"/>
  <c r="AD72"/>
  <c r="AD74" s="1"/>
  <c r="AE72"/>
  <c r="AE74" s="1"/>
  <c r="AB73"/>
  <c r="AC73"/>
  <c r="AD73"/>
  <c r="AE73"/>
  <c r="AC58"/>
  <c r="AC60" s="1"/>
  <c r="AD58"/>
  <c r="AD60" s="1"/>
  <c r="AE58"/>
  <c r="AE60" s="1"/>
  <c r="AC59"/>
  <c r="AD59"/>
  <c r="AE59"/>
  <c r="AB54"/>
  <c r="AC54"/>
  <c r="AC56" s="1"/>
  <c r="AD54"/>
  <c r="AD56" s="1"/>
  <c r="AE54"/>
  <c r="AE56" s="1"/>
  <c r="AB55"/>
  <c r="AB59" s="1"/>
  <c r="AC55"/>
  <c r="AD55"/>
  <c r="AE55"/>
  <c r="AB36"/>
  <c r="AB38" s="1"/>
  <c r="AC36"/>
  <c r="AC38" s="1"/>
  <c r="AD36"/>
  <c r="AD38" s="1"/>
  <c r="AE36"/>
  <c r="AE38" s="1"/>
  <c r="AB37"/>
  <c r="AC37"/>
  <c r="AD37"/>
  <c r="AE37"/>
  <c r="AC23"/>
  <c r="AD23"/>
  <c r="AE23"/>
  <c r="AB22"/>
  <c r="AC22"/>
  <c r="AD22"/>
  <c r="AE22"/>
  <c r="AB21"/>
  <c r="AC21"/>
  <c r="AD21"/>
  <c r="AE21"/>
  <c r="AF130" i="7"/>
  <c r="AE130"/>
  <c r="AD130"/>
  <c r="AC130"/>
  <c r="AF129"/>
  <c r="AE129"/>
  <c r="AD129"/>
  <c r="AC129"/>
  <c r="AC131" s="1"/>
  <c r="AF98"/>
  <c r="AE98"/>
  <c r="AD98"/>
  <c r="AC98"/>
  <c r="AF97"/>
  <c r="AE97"/>
  <c r="AD97"/>
  <c r="AC97"/>
  <c r="AF66"/>
  <c r="AE66"/>
  <c r="AD66"/>
  <c r="AC66"/>
  <c r="AF65"/>
  <c r="AE65"/>
  <c r="AD65"/>
  <c r="AC65"/>
  <c r="Y126" i="6"/>
  <c r="Y96"/>
  <c r="Z64"/>
  <c r="AA64"/>
  <c r="Y64"/>
  <c r="Y65" i="7"/>
  <c r="Z65"/>
  <c r="Y66"/>
  <c r="Z66"/>
  <c r="AA66"/>
  <c r="AA65"/>
  <c r="E68"/>
  <c r="AB119" i="32"/>
  <c r="AA174" i="4"/>
  <c r="AA175"/>
  <c r="AA199" i="6"/>
  <c r="AB205" i="7"/>
  <c r="AB204"/>
  <c r="AA175" i="12"/>
  <c r="AA174"/>
  <c r="AA179" i="11"/>
  <c r="Y160" i="7"/>
  <c r="Z160"/>
  <c r="AA160"/>
  <c r="AB160"/>
  <c r="Y159"/>
  <c r="Y161" s="1"/>
  <c r="Z159"/>
  <c r="Z161" s="1"/>
  <c r="AA159"/>
  <c r="AB159"/>
  <c r="AA190" i="12"/>
  <c r="D140" i="32"/>
  <c r="E140"/>
  <c r="F140"/>
  <c r="G140"/>
  <c r="H140"/>
  <c r="I140"/>
  <c r="J140"/>
  <c r="L140"/>
  <c r="M140"/>
  <c r="N140"/>
  <c r="O140"/>
  <c r="Q140"/>
  <c r="R140"/>
  <c r="S140"/>
  <c r="T140"/>
  <c r="U140"/>
  <c r="V140"/>
  <c r="W140"/>
  <c r="X140"/>
  <c r="Y140"/>
  <c r="Z140"/>
  <c r="AA140"/>
  <c r="AB140"/>
  <c r="C140"/>
  <c r="D118"/>
  <c r="E118"/>
  <c r="F118"/>
  <c r="G118"/>
  <c r="H118"/>
  <c r="I118"/>
  <c r="J118"/>
  <c r="L118"/>
  <c r="M118"/>
  <c r="N118"/>
  <c r="O118"/>
  <c r="Q118"/>
  <c r="R118"/>
  <c r="S118"/>
  <c r="T118"/>
  <c r="U118"/>
  <c r="V118"/>
  <c r="W118"/>
  <c r="X118"/>
  <c r="Y118"/>
  <c r="Z118"/>
  <c r="AA118"/>
  <c r="AB118"/>
  <c r="C118"/>
  <c r="D72"/>
  <c r="E72"/>
  <c r="F72"/>
  <c r="G72"/>
  <c r="H72"/>
  <c r="I72"/>
  <c r="J72"/>
  <c r="L72"/>
  <c r="M72"/>
  <c r="N72"/>
  <c r="O72"/>
  <c r="Q72"/>
  <c r="R72"/>
  <c r="S72"/>
  <c r="T72"/>
  <c r="U72"/>
  <c r="V72"/>
  <c r="W72"/>
  <c r="X72"/>
  <c r="Y72"/>
  <c r="Z72"/>
  <c r="AA72"/>
  <c r="AB72"/>
  <c r="C72"/>
  <c r="AA178" i="11"/>
  <c r="AA194"/>
  <c r="AA72" i="33"/>
  <c r="AA198" i="6"/>
  <c r="AA63"/>
  <c r="AA192" i="4"/>
  <c r="AB65" i="7"/>
  <c r="AB66"/>
  <c r="AA118" i="5"/>
  <c r="AA121" i="11"/>
  <c r="AA128" s="1"/>
  <c r="AA89" i="44"/>
  <c r="AA97" s="1"/>
  <c r="AA102" s="1"/>
  <c r="AA116" i="4"/>
  <c r="AA123" s="1"/>
  <c r="AA118" i="6"/>
  <c r="E66" i="45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E65"/>
  <c r="F65"/>
  <c r="F67" s="1"/>
  <c r="G65"/>
  <c r="H65"/>
  <c r="H67" s="1"/>
  <c r="I65"/>
  <c r="J65"/>
  <c r="J67" s="1"/>
  <c r="K65"/>
  <c r="K67" s="1"/>
  <c r="L65"/>
  <c r="L67" s="1"/>
  <c r="M65"/>
  <c r="N65"/>
  <c r="N67" s="1"/>
  <c r="O65"/>
  <c r="O67" s="1"/>
  <c r="P65"/>
  <c r="P67" s="1"/>
  <c r="Q65"/>
  <c r="R65"/>
  <c r="R67" s="1"/>
  <c r="S65"/>
  <c r="S67" s="1"/>
  <c r="T65"/>
  <c r="T67" s="1"/>
  <c r="U65"/>
  <c r="V65"/>
  <c r="V67" s="1"/>
  <c r="W65"/>
  <c r="W67" s="1"/>
  <c r="X65"/>
  <c r="X67" s="1"/>
  <c r="Y65"/>
  <c r="Z65"/>
  <c r="Z67" s="1"/>
  <c r="AA65"/>
  <c r="AA67" s="1"/>
  <c r="D68"/>
  <c r="D66"/>
  <c r="D65"/>
  <c r="B46"/>
  <c r="B45"/>
  <c r="B39"/>
  <c r="B36"/>
  <c r="B33"/>
  <c r="B29"/>
  <c r="B22"/>
  <c r="B19"/>
  <c r="B15"/>
  <c r="Z61" i="44"/>
  <c r="AA61"/>
  <c r="Z62"/>
  <c r="AA62"/>
  <c r="AA64" i="11"/>
  <c r="Z64"/>
  <c r="AA63" i="5"/>
  <c r="Z63"/>
  <c r="Z63" i="6"/>
  <c r="Z118"/>
  <c r="AA126" i="5"/>
  <c r="AA125"/>
  <c r="X101" i="44"/>
  <c r="X102"/>
  <c r="X103"/>
  <c r="Z96"/>
  <c r="Z101" s="1"/>
  <c r="Z97"/>
  <c r="Z102" s="1"/>
  <c r="Y96"/>
  <c r="Y101" s="1"/>
  <c r="Y103" s="1"/>
  <c r="Y97"/>
  <c r="Y102" s="1"/>
  <c r="D126" i="5"/>
  <c r="E126"/>
  <c r="F126"/>
  <c r="G126"/>
  <c r="H126"/>
  <c r="I126"/>
  <c r="J126"/>
  <c r="K126"/>
  <c r="L126"/>
  <c r="M126"/>
  <c r="N126"/>
  <c r="O126"/>
  <c r="P126"/>
  <c r="Q126"/>
  <c r="R126"/>
  <c r="S126"/>
  <c r="T126"/>
  <c r="U126"/>
  <c r="V126"/>
  <c r="W126"/>
  <c r="X126"/>
  <c r="Y126"/>
  <c r="Z126"/>
  <c r="Z125"/>
  <c r="X125"/>
  <c r="X127" s="1"/>
  <c r="Y125"/>
  <c r="Y127" s="1"/>
  <c r="Z123" i="4"/>
  <c r="Z41" i="10"/>
  <c r="AA41"/>
  <c r="Z42"/>
  <c r="AA42"/>
  <c r="U41"/>
  <c r="V41"/>
  <c r="W41"/>
  <c r="X41"/>
  <c r="Y41"/>
  <c r="U42"/>
  <c r="U43" s="1"/>
  <c r="V42"/>
  <c r="W42"/>
  <c r="X42"/>
  <c r="Y42"/>
  <c r="V43"/>
  <c r="X43"/>
  <c r="Z128" i="11"/>
  <c r="Z129"/>
  <c r="AA129"/>
  <c r="V128"/>
  <c r="W128"/>
  <c r="X128"/>
  <c r="Y128"/>
  <c r="V129"/>
  <c r="V130" s="1"/>
  <c r="W129"/>
  <c r="W130" s="1"/>
  <c r="X129"/>
  <c r="X130" s="1"/>
  <c r="Y129"/>
  <c r="AA97"/>
  <c r="Z97"/>
  <c r="Z98"/>
  <c r="AA98"/>
  <c r="V97"/>
  <c r="W97"/>
  <c r="X97"/>
  <c r="Y97"/>
  <c r="V98"/>
  <c r="W98"/>
  <c r="X98"/>
  <c r="Y98"/>
  <c r="AA93" i="12"/>
  <c r="Z93"/>
  <c r="Z94"/>
  <c r="AA94"/>
  <c r="V94"/>
  <c r="W94"/>
  <c r="W95" s="1"/>
  <c r="X94"/>
  <c r="Y94"/>
  <c r="V93"/>
  <c r="V95" s="1"/>
  <c r="W93"/>
  <c r="X93"/>
  <c r="Y93"/>
  <c r="AA61"/>
  <c r="Z61"/>
  <c r="Z128" s="1"/>
  <c r="AA95" i="5"/>
  <c r="AA97" s="1"/>
  <c r="AA96"/>
  <c r="Z95"/>
  <c r="Z96"/>
  <c r="X95"/>
  <c r="X97" s="1"/>
  <c r="Y95"/>
  <c r="Y97" s="1"/>
  <c r="X96"/>
  <c r="Y96"/>
  <c r="AA94" i="4"/>
  <c r="Z94"/>
  <c r="AA62"/>
  <c r="Z62"/>
  <c r="V94"/>
  <c r="W94"/>
  <c r="X94"/>
  <c r="Y94"/>
  <c r="V95"/>
  <c r="W95"/>
  <c r="X95"/>
  <c r="Y95"/>
  <c r="Z95"/>
  <c r="AA95"/>
  <c r="AA95" i="6"/>
  <c r="Z95"/>
  <c r="Z198"/>
  <c r="T162" i="33"/>
  <c r="U162"/>
  <c r="V162"/>
  <c r="W162"/>
  <c r="X162"/>
  <c r="Y162"/>
  <c r="Z162"/>
  <c r="AA162"/>
  <c r="T163"/>
  <c r="U163"/>
  <c r="V163"/>
  <c r="W163"/>
  <c r="X163"/>
  <c r="Y163"/>
  <c r="Z163"/>
  <c r="AA163"/>
  <c r="T164"/>
  <c r="U164"/>
  <c r="V164"/>
  <c r="W164"/>
  <c r="X164"/>
  <c r="E162"/>
  <c r="F162"/>
  <c r="G162"/>
  <c r="H162"/>
  <c r="H164" s="1"/>
  <c r="I162"/>
  <c r="J162"/>
  <c r="K162"/>
  <c r="K164" s="1"/>
  <c r="L162"/>
  <c r="M162"/>
  <c r="N162"/>
  <c r="P162"/>
  <c r="P164" s="1"/>
  <c r="Q162"/>
  <c r="Q164" s="1"/>
  <c r="R162"/>
  <c r="S162"/>
  <c r="E163"/>
  <c r="F163"/>
  <c r="G163"/>
  <c r="H163"/>
  <c r="I163"/>
  <c r="J163"/>
  <c r="K163"/>
  <c r="L163"/>
  <c r="M163"/>
  <c r="N163"/>
  <c r="P163"/>
  <c r="Q163"/>
  <c r="R163"/>
  <c r="S163"/>
  <c r="S164" s="1"/>
  <c r="L164"/>
  <c r="E144"/>
  <c r="F144"/>
  <c r="G144"/>
  <c r="H144"/>
  <c r="I144"/>
  <c r="J144"/>
  <c r="K144"/>
  <c r="L144"/>
  <c r="M144"/>
  <c r="N144"/>
  <c r="O144"/>
  <c r="O145" s="1"/>
  <c r="P144"/>
  <c r="P145" s="1"/>
  <c r="Q144"/>
  <c r="R144"/>
  <c r="R168" s="1"/>
  <c r="S144"/>
  <c r="S168" s="1"/>
  <c r="T144"/>
  <c r="T168" s="1"/>
  <c r="U144"/>
  <c r="V144"/>
  <c r="V145" s="1"/>
  <c r="W144"/>
  <c r="X144"/>
  <c r="Y144"/>
  <c r="Z144"/>
  <c r="AA144"/>
  <c r="R143"/>
  <c r="R145" s="1"/>
  <c r="S143"/>
  <c r="S167" s="1"/>
  <c r="S169" s="1"/>
  <c r="T143"/>
  <c r="T145" s="1"/>
  <c r="U143"/>
  <c r="U145" s="1"/>
  <c r="V143"/>
  <c r="W143"/>
  <c r="W145" s="1"/>
  <c r="X143"/>
  <c r="X145" s="1"/>
  <c r="Y143"/>
  <c r="Z143"/>
  <c r="AA143"/>
  <c r="V128"/>
  <c r="W128"/>
  <c r="X128"/>
  <c r="Y128"/>
  <c r="Y168" s="1"/>
  <c r="Z128"/>
  <c r="AA128"/>
  <c r="V127"/>
  <c r="V167" s="1"/>
  <c r="W127"/>
  <c r="X127"/>
  <c r="Y127"/>
  <c r="Z127"/>
  <c r="Z167" s="1"/>
  <c r="AA127"/>
  <c r="Z109"/>
  <c r="AA89"/>
  <c r="Z89"/>
  <c r="AA90"/>
  <c r="Z90"/>
  <c r="Z72"/>
  <c r="Z73"/>
  <c r="AA73"/>
  <c r="AA54"/>
  <c r="Z54"/>
  <c r="Z55"/>
  <c r="AA55"/>
  <c r="AA36"/>
  <c r="Z36"/>
  <c r="Z37"/>
  <c r="AA37"/>
  <c r="AA21"/>
  <c r="Z21"/>
  <c r="Z22"/>
  <c r="AA22"/>
  <c r="Z51" i="31"/>
  <c r="Y51"/>
  <c r="Z34"/>
  <c r="Y34"/>
  <c r="Z20"/>
  <c r="Y20"/>
  <c r="Y21"/>
  <c r="Z21"/>
  <c r="AB209" i="5" l="1"/>
  <c r="AB260" i="4"/>
  <c r="AB130" i="11"/>
  <c r="AB206" i="5"/>
  <c r="AB269" i="4"/>
  <c r="AB266"/>
  <c r="AB103" i="44"/>
  <c r="AB98"/>
  <c r="AB233" i="4"/>
  <c r="AB239"/>
  <c r="AB271"/>
  <c r="AB128" i="12"/>
  <c r="AC22" i="31"/>
  <c r="AD36"/>
  <c r="AD53"/>
  <c r="AD58"/>
  <c r="AD57"/>
  <c r="AB58"/>
  <c r="AC58"/>
  <c r="AB66" i="11"/>
  <c r="AB134"/>
  <c r="AE188" i="5"/>
  <c r="AE185"/>
  <c r="AE182"/>
  <c r="AE179"/>
  <c r="AE176"/>
  <c r="AB170"/>
  <c r="AE65"/>
  <c r="AC173"/>
  <c r="AC167"/>
  <c r="AC182"/>
  <c r="AC176"/>
  <c r="AD170"/>
  <c r="AD176"/>
  <c r="AE210"/>
  <c r="AB188"/>
  <c r="AB182"/>
  <c r="AB176"/>
  <c r="AC164"/>
  <c r="AC185"/>
  <c r="AC179"/>
  <c r="AD164"/>
  <c r="AC188"/>
  <c r="AD182"/>
  <c r="AB173"/>
  <c r="AC211"/>
  <c r="AE212"/>
  <c r="AD188"/>
  <c r="AB179"/>
  <c r="AD167"/>
  <c r="AB185"/>
  <c r="AD173"/>
  <c r="AE164"/>
  <c r="AC210"/>
  <c r="AC212" s="1"/>
  <c r="AD210"/>
  <c r="AD212" s="1"/>
  <c r="AD179"/>
  <c r="AE170"/>
  <c r="AE167"/>
  <c r="AB164"/>
  <c r="AB63" i="12"/>
  <c r="AB129"/>
  <c r="AB64" i="4"/>
  <c r="AB65" i="6"/>
  <c r="AB191" i="5"/>
  <c r="AB251" i="4"/>
  <c r="AB97" i="6"/>
  <c r="AB257" i="4"/>
  <c r="AB254"/>
  <c r="AB210" i="5"/>
  <c r="AB97"/>
  <c r="AB57" i="31"/>
  <c r="AB53"/>
  <c r="E169"/>
  <c r="AC59"/>
  <c r="AD22"/>
  <c r="AC133" i="11"/>
  <c r="AC135" s="1"/>
  <c r="AE135"/>
  <c r="AD135"/>
  <c r="AB133"/>
  <c r="AE99"/>
  <c r="AC170" i="5"/>
  <c r="AB211"/>
  <c r="AD211"/>
  <c r="AD127"/>
  <c r="AB126"/>
  <c r="AB127" s="1"/>
  <c r="AB95" i="12"/>
  <c r="AA128"/>
  <c r="AE95"/>
  <c r="AE98" i="44"/>
  <c r="AB270" i="4"/>
  <c r="AB96"/>
  <c r="AC272"/>
  <c r="AD272"/>
  <c r="AE272"/>
  <c r="AC271"/>
  <c r="AD271"/>
  <c r="AE271"/>
  <c r="AB124"/>
  <c r="AB125" s="1"/>
  <c r="AB130" i="6"/>
  <c r="AB126"/>
  <c r="AB131" s="1"/>
  <c r="CO96" i="13"/>
  <c r="CP96"/>
  <c r="CQ96"/>
  <c r="CO94"/>
  <c r="CN95"/>
  <c r="CN94"/>
  <c r="CN96"/>
  <c r="CO83"/>
  <c r="CP83"/>
  <c r="CQ83"/>
  <c r="CO81"/>
  <c r="CN82"/>
  <c r="CN81"/>
  <c r="CN83"/>
  <c r="CP70"/>
  <c r="CQ70"/>
  <c r="CO68"/>
  <c r="CO70"/>
  <c r="CN70"/>
  <c r="CN68"/>
  <c r="CN69"/>
  <c r="BH95"/>
  <c r="BH94"/>
  <c r="BH81"/>
  <c r="BH69"/>
  <c r="BH82"/>
  <c r="BH68"/>
  <c r="BJ95"/>
  <c r="BH96"/>
  <c r="BH83"/>
  <c r="BI81"/>
  <c r="BJ83"/>
  <c r="BK83"/>
  <c r="BJ68"/>
  <c r="AB94"/>
  <c r="AB81"/>
  <c r="AB82"/>
  <c r="AB95"/>
  <c r="AC94"/>
  <c r="AD95"/>
  <c r="AC69"/>
  <c r="AD69"/>
  <c r="AB69"/>
  <c r="AC68"/>
  <c r="AD68"/>
  <c r="AE69"/>
  <c r="AE70"/>
  <c r="AD70"/>
  <c r="AB68"/>
  <c r="AB96"/>
  <c r="AB83"/>
  <c r="AB70"/>
  <c r="AC96"/>
  <c r="AC83"/>
  <c r="AC70"/>
  <c r="AA36" i="31"/>
  <c r="AA22"/>
  <c r="AE145" i="33"/>
  <c r="AA161" i="7"/>
  <c r="AB161"/>
  <c r="AE131"/>
  <c r="AF131"/>
  <c r="AD131"/>
  <c r="AB91" i="33"/>
  <c r="AB56"/>
  <c r="AB58"/>
  <c r="AB60" s="1"/>
  <c r="AB23"/>
  <c r="AF99" i="7"/>
  <c r="AE99"/>
  <c r="AD99"/>
  <c r="AC99"/>
  <c r="AF67"/>
  <c r="AE67"/>
  <c r="AD67"/>
  <c r="AC67"/>
  <c r="Y99" i="11"/>
  <c r="Y22" i="31"/>
  <c r="Y43" i="10"/>
  <c r="S145" i="33"/>
  <c r="Z114"/>
  <c r="X129"/>
  <c r="Z168"/>
  <c r="V168"/>
  <c r="Y167"/>
  <c r="Y169" s="1"/>
  <c r="X168"/>
  <c r="G164"/>
  <c r="M164"/>
  <c r="I164"/>
  <c r="E164"/>
  <c r="AA96" i="44"/>
  <c r="AA101" s="1"/>
  <c r="AA103" s="1"/>
  <c r="Z59" i="33"/>
  <c r="W167"/>
  <c r="W129"/>
  <c r="W168"/>
  <c r="Y95" i="12"/>
  <c r="W43" i="10"/>
  <c r="Z169" i="33"/>
  <c r="V169"/>
  <c r="Z56"/>
  <c r="Z74"/>
  <c r="Y129"/>
  <c r="X167"/>
  <c r="T167"/>
  <c r="T169" s="1"/>
  <c r="Y130" i="11"/>
  <c r="AA43" i="10"/>
  <c r="Z129" i="33"/>
  <c r="V129"/>
  <c r="Z22" i="31"/>
  <c r="AA74" i="33"/>
  <c r="AA91"/>
  <c r="AA164"/>
  <c r="X96" i="4"/>
  <c r="X95" i="12"/>
  <c r="X99" i="11"/>
  <c r="Y67" i="45"/>
  <c r="U67"/>
  <c r="Q67"/>
  <c r="M67"/>
  <c r="I67"/>
  <c r="E67"/>
  <c r="Y145" i="33"/>
  <c r="R164"/>
  <c r="N164"/>
  <c r="J164"/>
  <c r="F164"/>
  <c r="R167"/>
  <c r="R169" s="1"/>
  <c r="W96" i="4"/>
  <c r="W99" i="11"/>
  <c r="Y164" i="33"/>
  <c r="V99" i="11"/>
  <c r="G67" i="45"/>
  <c r="AA63" i="44"/>
  <c r="AA127" i="5"/>
  <c r="AA130" i="11"/>
  <c r="AA99"/>
  <c r="AA95" i="12"/>
  <c r="AA130" i="5"/>
  <c r="AA96" i="4"/>
  <c r="AA145" i="33"/>
  <c r="AA168"/>
  <c r="AA129"/>
  <c r="AA167"/>
  <c r="AA56"/>
  <c r="AA59"/>
  <c r="AA58"/>
  <c r="Z43" i="10"/>
  <c r="Z130" i="5"/>
  <c r="Z63" i="44"/>
  <c r="D67" i="45"/>
  <c r="Z130" i="11"/>
  <c r="Y96" i="4"/>
  <c r="V96"/>
  <c r="Z103" i="44"/>
  <c r="Y98"/>
  <c r="AA98"/>
  <c r="Z98"/>
  <c r="Z127" i="5"/>
  <c r="Z99" i="11"/>
  <c r="Z97" i="5"/>
  <c r="Z95" i="12"/>
  <c r="AA133" i="11"/>
  <c r="Z133"/>
  <c r="Z96" i="4"/>
  <c r="Z164" i="33"/>
  <c r="Z145"/>
  <c r="Z91"/>
  <c r="Z58"/>
  <c r="Z60" s="1"/>
  <c r="AA38"/>
  <c r="Z38"/>
  <c r="AA23"/>
  <c r="Z23"/>
  <c r="EY85" i="13"/>
  <c r="EZ85"/>
  <c r="FA85"/>
  <c r="EY86"/>
  <c r="EZ86"/>
  <c r="FA86"/>
  <c r="EY87"/>
  <c r="EZ87"/>
  <c r="FA87"/>
  <c r="EY88"/>
  <c r="EZ88"/>
  <c r="FA88"/>
  <c r="EY89"/>
  <c r="EZ89"/>
  <c r="FA89"/>
  <c r="EY90"/>
  <c r="EZ90"/>
  <c r="FA90"/>
  <c r="EY91"/>
  <c r="EZ91"/>
  <c r="FA91"/>
  <c r="EY92"/>
  <c r="EZ92"/>
  <c r="FA92"/>
  <c r="EY93"/>
  <c r="EZ93"/>
  <c r="FA93"/>
  <c r="EX93"/>
  <c r="EX92"/>
  <c r="EX91"/>
  <c r="EX90"/>
  <c r="EX89"/>
  <c r="EX88"/>
  <c r="EX87"/>
  <c r="EX86"/>
  <c r="EX85"/>
  <c r="EY72"/>
  <c r="EZ72"/>
  <c r="FA72"/>
  <c r="EY73"/>
  <c r="EZ73"/>
  <c r="FA73"/>
  <c r="EY74"/>
  <c r="EZ74"/>
  <c r="FA74"/>
  <c r="EY75"/>
  <c r="EZ75"/>
  <c r="FA75"/>
  <c r="EY76"/>
  <c r="EZ76"/>
  <c r="FA76"/>
  <c r="EY77"/>
  <c r="EZ77"/>
  <c r="FA77"/>
  <c r="EY78"/>
  <c r="EZ78"/>
  <c r="FA78"/>
  <c r="EY79"/>
  <c r="EZ79"/>
  <c r="FA79"/>
  <c r="EY80"/>
  <c r="EZ80"/>
  <c r="FA80"/>
  <c r="EX80"/>
  <c r="EX79"/>
  <c r="EX78"/>
  <c r="EX77"/>
  <c r="EX76"/>
  <c r="EX75"/>
  <c r="EX74"/>
  <c r="EX73"/>
  <c r="EX72"/>
  <c r="EY59"/>
  <c r="EZ59"/>
  <c r="FA59"/>
  <c r="EY60"/>
  <c r="EZ60"/>
  <c r="FA60"/>
  <c r="EY61"/>
  <c r="EZ61"/>
  <c r="FA61"/>
  <c r="EY62"/>
  <c r="EZ62"/>
  <c r="FA62"/>
  <c r="EY63"/>
  <c r="EZ63"/>
  <c r="FA63"/>
  <c r="EY64"/>
  <c r="EZ64"/>
  <c r="FA64"/>
  <c r="EY65"/>
  <c r="EZ65"/>
  <c r="FA65"/>
  <c r="EY66"/>
  <c r="EZ66"/>
  <c r="FA66"/>
  <c r="EY67"/>
  <c r="EZ67"/>
  <c r="FA67"/>
  <c r="EX67"/>
  <c r="EX66"/>
  <c r="EX65"/>
  <c r="EX64"/>
  <c r="EX63"/>
  <c r="EX62"/>
  <c r="EX61"/>
  <c r="EX60"/>
  <c r="EX59"/>
  <c r="DR85"/>
  <c r="DS85"/>
  <c r="DT85"/>
  <c r="DR86"/>
  <c r="DS86"/>
  <c r="DT86"/>
  <c r="DR87"/>
  <c r="DS87"/>
  <c r="DT87"/>
  <c r="DR88"/>
  <c r="DS88"/>
  <c r="DT88"/>
  <c r="DR89"/>
  <c r="DS89"/>
  <c r="DT89"/>
  <c r="DR90"/>
  <c r="DS90"/>
  <c r="DT90"/>
  <c r="DR91"/>
  <c r="DS91"/>
  <c r="DT91"/>
  <c r="DR92"/>
  <c r="DS92"/>
  <c r="DT92"/>
  <c r="DR93"/>
  <c r="DS93"/>
  <c r="DT93"/>
  <c r="DR72"/>
  <c r="DS72"/>
  <c r="DT72"/>
  <c r="DR73"/>
  <c r="DS73"/>
  <c r="DT73"/>
  <c r="DR74"/>
  <c r="DS74"/>
  <c r="DT74"/>
  <c r="DR75"/>
  <c r="DS75"/>
  <c r="DT75"/>
  <c r="DR76"/>
  <c r="DS76"/>
  <c r="DT76"/>
  <c r="DR77"/>
  <c r="DS77"/>
  <c r="DT77"/>
  <c r="DR78"/>
  <c r="DS78"/>
  <c r="DT78"/>
  <c r="DR79"/>
  <c r="DS79"/>
  <c r="DT79"/>
  <c r="DR80"/>
  <c r="DS80"/>
  <c r="DT80"/>
  <c r="DR59"/>
  <c r="DS59"/>
  <c r="DT59"/>
  <c r="DR60"/>
  <c r="DS60"/>
  <c r="DT60"/>
  <c r="DR61"/>
  <c r="DS61"/>
  <c r="DT61"/>
  <c r="DR62"/>
  <c r="DS62"/>
  <c r="DT62"/>
  <c r="DR63"/>
  <c r="DS63"/>
  <c r="DT63"/>
  <c r="DR64"/>
  <c r="DS64"/>
  <c r="DT64"/>
  <c r="DR65"/>
  <c r="DS65"/>
  <c r="DT65"/>
  <c r="DR66"/>
  <c r="DS66"/>
  <c r="DT66"/>
  <c r="DR67"/>
  <c r="DS67"/>
  <c r="DT67"/>
  <c r="DQ93"/>
  <c r="DQ92"/>
  <c r="DQ91"/>
  <c r="DQ90"/>
  <c r="DQ89"/>
  <c r="DQ88"/>
  <c r="DQ87"/>
  <c r="DQ86"/>
  <c r="DQ85"/>
  <c r="DQ80"/>
  <c r="DQ79"/>
  <c r="DQ78"/>
  <c r="DQ77"/>
  <c r="DQ76"/>
  <c r="DQ75"/>
  <c r="DQ74"/>
  <c r="DQ73"/>
  <c r="DQ72"/>
  <c r="DQ67"/>
  <c r="DQ66"/>
  <c r="DQ65"/>
  <c r="DQ64"/>
  <c r="DQ63"/>
  <c r="DQ62"/>
  <c r="DQ61"/>
  <c r="DQ60"/>
  <c r="DQ59"/>
  <c r="CK94"/>
  <c r="CJ95"/>
  <c r="CM95"/>
  <c r="CJ94"/>
  <c r="CL94"/>
  <c r="CM94"/>
  <c r="CK95"/>
  <c r="CL95"/>
  <c r="CJ96"/>
  <c r="CL96"/>
  <c r="CM96"/>
  <c r="CK81"/>
  <c r="CJ82"/>
  <c r="CM82"/>
  <c r="CJ81"/>
  <c r="CL81"/>
  <c r="CM81"/>
  <c r="CK82"/>
  <c r="CL82"/>
  <c r="CJ83"/>
  <c r="CL83"/>
  <c r="CM83"/>
  <c r="CM68"/>
  <c r="CK70"/>
  <c r="CL68"/>
  <c r="CM70"/>
  <c r="CJ68"/>
  <c r="CK68"/>
  <c r="CJ69"/>
  <c r="CJ70"/>
  <c r="BE85"/>
  <c r="BF85"/>
  <c r="BG85"/>
  <c r="BE86"/>
  <c r="BF86"/>
  <c r="BG86"/>
  <c r="BE87"/>
  <c r="BF87"/>
  <c r="BG87"/>
  <c r="BE88"/>
  <c r="BF88"/>
  <c r="BG88"/>
  <c r="BE89"/>
  <c r="BF89"/>
  <c r="BG89"/>
  <c r="BE90"/>
  <c r="BF90"/>
  <c r="BG90"/>
  <c r="BE91"/>
  <c r="BF91"/>
  <c r="BG91"/>
  <c r="BE92"/>
  <c r="BF92"/>
  <c r="BG92"/>
  <c r="BE93"/>
  <c r="BF93"/>
  <c r="BG93"/>
  <c r="BD93"/>
  <c r="BD92"/>
  <c r="BD91"/>
  <c r="BD90"/>
  <c r="BD89"/>
  <c r="BD88"/>
  <c r="BD87"/>
  <c r="BD86"/>
  <c r="BD85"/>
  <c r="BE72"/>
  <c r="BF72"/>
  <c r="BG72"/>
  <c r="BE73"/>
  <c r="BF73"/>
  <c r="BG73"/>
  <c r="BE74"/>
  <c r="BF74"/>
  <c r="BG74"/>
  <c r="BE75"/>
  <c r="BF75"/>
  <c r="BG75"/>
  <c r="BE76"/>
  <c r="BF76"/>
  <c r="BG76"/>
  <c r="BE77"/>
  <c r="BF77"/>
  <c r="BG77"/>
  <c r="BE78"/>
  <c r="BF78"/>
  <c r="BG78"/>
  <c r="BE79"/>
  <c r="BF79"/>
  <c r="BG79"/>
  <c r="BE80"/>
  <c r="BF80"/>
  <c r="BG80"/>
  <c r="BD80"/>
  <c r="BD79"/>
  <c r="BD78"/>
  <c r="BD77"/>
  <c r="BD76"/>
  <c r="BD75"/>
  <c r="BD74"/>
  <c r="BD73"/>
  <c r="BD72"/>
  <c r="BE59"/>
  <c r="BF59"/>
  <c r="BG59"/>
  <c r="BE60"/>
  <c r="BF60"/>
  <c r="BG60"/>
  <c r="BE61"/>
  <c r="BF61"/>
  <c r="BG61"/>
  <c r="BE62"/>
  <c r="BF62"/>
  <c r="BG62"/>
  <c r="BE63"/>
  <c r="BF63"/>
  <c r="BG63"/>
  <c r="BE64"/>
  <c r="BF64"/>
  <c r="BG64"/>
  <c r="BE65"/>
  <c r="BF65"/>
  <c r="BG65"/>
  <c r="BE66"/>
  <c r="BF66"/>
  <c r="BG66"/>
  <c r="BE67"/>
  <c r="BF67"/>
  <c r="BG67"/>
  <c r="BD67"/>
  <c r="BD66"/>
  <c r="BD65"/>
  <c r="BD64"/>
  <c r="BD63"/>
  <c r="BD62"/>
  <c r="BD61"/>
  <c r="BD60"/>
  <c r="BD59"/>
  <c r="Y85"/>
  <c r="Z85"/>
  <c r="AA85"/>
  <c r="Y86"/>
  <c r="Z86"/>
  <c r="AA86"/>
  <c r="Y87"/>
  <c r="Z87"/>
  <c r="AA87"/>
  <c r="Y88"/>
  <c r="Z88"/>
  <c r="AA88"/>
  <c r="Y89"/>
  <c r="Z89"/>
  <c r="AA89"/>
  <c r="Y90"/>
  <c r="Z90"/>
  <c r="AA90"/>
  <c r="Y91"/>
  <c r="Z91"/>
  <c r="AA91"/>
  <c r="Y92"/>
  <c r="Z92"/>
  <c r="AA92"/>
  <c r="Y93"/>
  <c r="Z93"/>
  <c r="AA93"/>
  <c r="Y72"/>
  <c r="Z72"/>
  <c r="AA72"/>
  <c r="Y73"/>
  <c r="Z73"/>
  <c r="AA73"/>
  <c r="Y74"/>
  <c r="Z74"/>
  <c r="AA74"/>
  <c r="Y75"/>
  <c r="Z75"/>
  <c r="AA75"/>
  <c r="Y76"/>
  <c r="Z76"/>
  <c r="AA76"/>
  <c r="Y77"/>
  <c r="Z77"/>
  <c r="AA77"/>
  <c r="Y78"/>
  <c r="Z78"/>
  <c r="AA78"/>
  <c r="Y79"/>
  <c r="Z79"/>
  <c r="AA79"/>
  <c r="Y80"/>
  <c r="Z80"/>
  <c r="AA80"/>
  <c r="Y59"/>
  <c r="Z59"/>
  <c r="AA59"/>
  <c r="Y60"/>
  <c r="Z60"/>
  <c r="AA60"/>
  <c r="Y61"/>
  <c r="Z61"/>
  <c r="AA61"/>
  <c r="Y62"/>
  <c r="Z62"/>
  <c r="AA62"/>
  <c r="Y63"/>
  <c r="Z63"/>
  <c r="AA63"/>
  <c r="Y64"/>
  <c r="Z64"/>
  <c r="AA64"/>
  <c r="Y65"/>
  <c r="Z65"/>
  <c r="AA65"/>
  <c r="Y66"/>
  <c r="Z66"/>
  <c r="AA66"/>
  <c r="Y67"/>
  <c r="Z67"/>
  <c r="AA67"/>
  <c r="X93"/>
  <c r="X92"/>
  <c r="X91"/>
  <c r="X90"/>
  <c r="X89"/>
  <c r="X88"/>
  <c r="X87"/>
  <c r="X86"/>
  <c r="X85"/>
  <c r="X80"/>
  <c r="X79"/>
  <c r="X78"/>
  <c r="X77"/>
  <c r="X76"/>
  <c r="X75"/>
  <c r="X74"/>
  <c r="X73"/>
  <c r="X72"/>
  <c r="X67"/>
  <c r="X66"/>
  <c r="X65"/>
  <c r="X64"/>
  <c r="X63"/>
  <c r="X62"/>
  <c r="X61"/>
  <c r="X60"/>
  <c r="X59"/>
  <c r="D21" i="3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C75" i="33"/>
  <c r="X55"/>
  <c r="Y55"/>
  <c r="X54"/>
  <c r="Y54"/>
  <c r="X37"/>
  <c r="Y37"/>
  <c r="X36"/>
  <c r="Y36"/>
  <c r="X22"/>
  <c r="Y22"/>
  <c r="X21"/>
  <c r="Y21"/>
  <c r="X90"/>
  <c r="Y90"/>
  <c r="X89"/>
  <c r="Y89"/>
  <c r="D59" i="32"/>
  <c r="E59"/>
  <c r="F59"/>
  <c r="G59"/>
  <c r="H59"/>
  <c r="I59"/>
  <c r="J59"/>
  <c r="K59"/>
  <c r="M59"/>
  <c r="N59"/>
  <c r="O59"/>
  <c r="P59"/>
  <c r="R59"/>
  <c r="S59"/>
  <c r="T59"/>
  <c r="U59"/>
  <c r="V59"/>
  <c r="W59"/>
  <c r="X59"/>
  <c r="Y59"/>
  <c r="Z59"/>
  <c r="AA59"/>
  <c r="AB59"/>
  <c r="D52"/>
  <c r="E52"/>
  <c r="F52"/>
  <c r="G52"/>
  <c r="H52"/>
  <c r="I52"/>
  <c r="J52"/>
  <c r="L52"/>
  <c r="M52"/>
  <c r="N52"/>
  <c r="O52"/>
  <c r="Q52"/>
  <c r="R52"/>
  <c r="S52"/>
  <c r="T52"/>
  <c r="U52"/>
  <c r="V52"/>
  <c r="V54" s="1"/>
  <c r="W52"/>
  <c r="X52"/>
  <c r="Y52"/>
  <c r="Z52"/>
  <c r="AA52"/>
  <c r="AB52"/>
  <c r="D53"/>
  <c r="E53"/>
  <c r="F53"/>
  <c r="G53"/>
  <c r="H53"/>
  <c r="I53"/>
  <c r="J53"/>
  <c r="L53"/>
  <c r="M53"/>
  <c r="N53"/>
  <c r="O53"/>
  <c r="O54" s="1"/>
  <c r="Q53"/>
  <c r="R53"/>
  <c r="S53"/>
  <c r="T53"/>
  <c r="U53"/>
  <c r="V53"/>
  <c r="W53"/>
  <c r="X53"/>
  <c r="Y53"/>
  <c r="Z53"/>
  <c r="AA53"/>
  <c r="AB53"/>
  <c r="D34"/>
  <c r="E34"/>
  <c r="F34"/>
  <c r="G34"/>
  <c r="H34"/>
  <c r="I34"/>
  <c r="J34"/>
  <c r="L34"/>
  <c r="M34"/>
  <c r="N34"/>
  <c r="O34"/>
  <c r="Q34"/>
  <c r="R34"/>
  <c r="S34"/>
  <c r="T34"/>
  <c r="U34"/>
  <c r="V34"/>
  <c r="W34"/>
  <c r="X34"/>
  <c r="Y34"/>
  <c r="Z34"/>
  <c r="AA34"/>
  <c r="AB34"/>
  <c r="D35"/>
  <c r="E35"/>
  <c r="F35"/>
  <c r="G35"/>
  <c r="H35"/>
  <c r="I35"/>
  <c r="J35"/>
  <c r="L35"/>
  <c r="M35"/>
  <c r="N35"/>
  <c r="O35"/>
  <c r="Q35"/>
  <c r="R35"/>
  <c r="S35"/>
  <c r="T35"/>
  <c r="U35"/>
  <c r="V35"/>
  <c r="W35"/>
  <c r="X35"/>
  <c r="Y35"/>
  <c r="Z35"/>
  <c r="AA35"/>
  <c r="AB35"/>
  <c r="D37"/>
  <c r="E37"/>
  <c r="F37"/>
  <c r="G37"/>
  <c r="H37"/>
  <c r="I37"/>
  <c r="J37"/>
  <c r="K37"/>
  <c r="M37"/>
  <c r="N37"/>
  <c r="O37"/>
  <c r="P37"/>
  <c r="R37"/>
  <c r="S37"/>
  <c r="T37"/>
  <c r="U37"/>
  <c r="V37"/>
  <c r="W37"/>
  <c r="X37"/>
  <c r="Y37"/>
  <c r="Z37"/>
  <c r="AA37"/>
  <c r="AB37"/>
  <c r="Z19"/>
  <c r="AA19"/>
  <c r="AB19"/>
  <c r="D19"/>
  <c r="E19"/>
  <c r="F19"/>
  <c r="F56" s="1"/>
  <c r="G19"/>
  <c r="G56" s="1"/>
  <c r="H19"/>
  <c r="I19"/>
  <c r="J19"/>
  <c r="J56" s="1"/>
  <c r="L19"/>
  <c r="M19"/>
  <c r="N19"/>
  <c r="O19"/>
  <c r="O56" s="1"/>
  <c r="Q19"/>
  <c r="R19"/>
  <c r="S19"/>
  <c r="T19"/>
  <c r="U19"/>
  <c r="V19"/>
  <c r="W19"/>
  <c r="X19"/>
  <c r="X56" s="1"/>
  <c r="Y19"/>
  <c r="D20"/>
  <c r="E20"/>
  <c r="F20"/>
  <c r="G20"/>
  <c r="H20"/>
  <c r="I20"/>
  <c r="J20"/>
  <c r="L20"/>
  <c r="M20"/>
  <c r="N20"/>
  <c r="O20"/>
  <c r="Q20"/>
  <c r="R20"/>
  <c r="R21" s="1"/>
  <c r="S20"/>
  <c r="T20"/>
  <c r="U20"/>
  <c r="V20"/>
  <c r="W20"/>
  <c r="X20"/>
  <c r="Y20"/>
  <c r="Z20"/>
  <c r="AA20"/>
  <c r="AB20"/>
  <c r="D22"/>
  <c r="E22"/>
  <c r="F22"/>
  <c r="G22"/>
  <c r="H22"/>
  <c r="I22"/>
  <c r="J22"/>
  <c r="K22"/>
  <c r="M22"/>
  <c r="N22"/>
  <c r="O22"/>
  <c r="P22"/>
  <c r="R22"/>
  <c r="S22"/>
  <c r="T22"/>
  <c r="U22"/>
  <c r="V22"/>
  <c r="W22"/>
  <c r="X22"/>
  <c r="Y22"/>
  <c r="Z22"/>
  <c r="AA22"/>
  <c r="AB22"/>
  <c r="U51" i="31"/>
  <c r="V51"/>
  <c r="W51"/>
  <c r="X51"/>
  <c r="Y57"/>
  <c r="AA51"/>
  <c r="AA57" s="1"/>
  <c r="U52"/>
  <c r="V52"/>
  <c r="W52"/>
  <c r="X52"/>
  <c r="Y52"/>
  <c r="Z52"/>
  <c r="Z53" s="1"/>
  <c r="AA52"/>
  <c r="AA58" s="1"/>
  <c r="U34"/>
  <c r="V34"/>
  <c r="W34"/>
  <c r="X34"/>
  <c r="U35"/>
  <c r="V35"/>
  <c r="W35"/>
  <c r="X35"/>
  <c r="Y35"/>
  <c r="Z35"/>
  <c r="Z36" s="1"/>
  <c r="AB127" i="6" l="1"/>
  <c r="AB272" i="4"/>
  <c r="AB130" i="12"/>
  <c r="AD59" i="31"/>
  <c r="AA59"/>
  <c r="R22"/>
  <c r="J22"/>
  <c r="AB59"/>
  <c r="AB135" i="11"/>
  <c r="AB132" i="6"/>
  <c r="AB212" i="5"/>
  <c r="U58" i="31"/>
  <c r="U22"/>
  <c r="M22"/>
  <c r="E22"/>
  <c r="V22"/>
  <c r="N22"/>
  <c r="F22"/>
  <c r="X53"/>
  <c r="W57"/>
  <c r="V58"/>
  <c r="X36"/>
  <c r="U53"/>
  <c r="Q22"/>
  <c r="I22"/>
  <c r="BG68" i="13"/>
  <c r="BG70"/>
  <c r="BG83"/>
  <c r="BG81"/>
  <c r="V56" i="32"/>
  <c r="M56"/>
  <c r="W36"/>
  <c r="BF81" i="13"/>
  <c r="W169" i="33"/>
  <c r="BG94" i="13"/>
  <c r="X169" i="33"/>
  <c r="V36" i="31"/>
  <c r="Y91" i="33"/>
  <c r="Y23"/>
  <c r="Y38"/>
  <c r="Y56"/>
  <c r="X59"/>
  <c r="X91"/>
  <c r="X23"/>
  <c r="X38"/>
  <c r="X56"/>
  <c r="X22" i="31"/>
  <c r="T22"/>
  <c r="P22"/>
  <c r="L22"/>
  <c r="H22"/>
  <c r="D22"/>
  <c r="X57"/>
  <c r="W58"/>
  <c r="G57" i="32"/>
  <c r="G58" s="1"/>
  <c r="W22" i="31"/>
  <c r="S22"/>
  <c r="O22"/>
  <c r="K22"/>
  <c r="G22"/>
  <c r="AA169" i="33"/>
  <c r="AA60"/>
  <c r="W57" i="32"/>
  <c r="N57"/>
  <c r="E57"/>
  <c r="S56"/>
  <c r="J36"/>
  <c r="U36"/>
  <c r="I21"/>
  <c r="W21"/>
  <c r="N56"/>
  <c r="E56"/>
  <c r="O36"/>
  <c r="J21"/>
  <c r="R57"/>
  <c r="Y36"/>
  <c r="Q36"/>
  <c r="F54"/>
  <c r="O21"/>
  <c r="G21"/>
  <c r="S36"/>
  <c r="R36"/>
  <c r="R54"/>
  <c r="Z56"/>
  <c r="F57"/>
  <c r="F58" s="1"/>
  <c r="Q21"/>
  <c r="Z57"/>
  <c r="D21"/>
  <c r="V57"/>
  <c r="V58" s="1"/>
  <c r="N54"/>
  <c r="E54"/>
  <c r="Y21"/>
  <c r="G54"/>
  <c r="T57"/>
  <c r="Z36"/>
  <c r="H36"/>
  <c r="J54"/>
  <c r="R56"/>
  <c r="U57"/>
  <c r="L57"/>
  <c r="Y56"/>
  <c r="Q56"/>
  <c r="I36"/>
  <c r="U54"/>
  <c r="M57"/>
  <c r="D57"/>
  <c r="H56"/>
  <c r="W54"/>
  <c r="M54"/>
  <c r="AB57"/>
  <c r="X57"/>
  <c r="X58" s="1"/>
  <c r="O57"/>
  <c r="O58" s="1"/>
  <c r="T21"/>
  <c r="V36"/>
  <c r="M36"/>
  <c r="I56"/>
  <c r="U56"/>
  <c r="L21"/>
  <c r="AB56"/>
  <c r="N36"/>
  <c r="E36"/>
  <c r="W56"/>
  <c r="H57"/>
  <c r="G36"/>
  <c r="X36"/>
  <c r="F36"/>
  <c r="AA54"/>
  <c r="S54"/>
  <c r="Z54"/>
  <c r="J57"/>
  <c r="J58" s="1"/>
  <c r="Y59" i="33"/>
  <c r="AA57" i="32"/>
  <c r="AA36"/>
  <c r="AA56"/>
  <c r="Y58" i="31"/>
  <c r="Y59" s="1"/>
  <c r="Y53"/>
  <c r="Y36"/>
  <c r="Y58" i="33"/>
  <c r="X58" i="31"/>
  <c r="X58" i="33"/>
  <c r="X60" s="1"/>
  <c r="T36" i="32"/>
  <c r="D36"/>
  <c r="X54"/>
  <c r="T54"/>
  <c r="L54"/>
  <c r="H54"/>
  <c r="D54"/>
  <c r="Y57"/>
  <c r="Q57"/>
  <c r="I57"/>
  <c r="W36" i="31"/>
  <c r="U36"/>
  <c r="W53"/>
  <c r="AA53"/>
  <c r="Z57"/>
  <c r="V57"/>
  <c r="S21" i="32"/>
  <c r="AB21"/>
  <c r="V21"/>
  <c r="N21"/>
  <c r="F21"/>
  <c r="Z58" i="31"/>
  <c r="X21" i="32"/>
  <c r="AB36"/>
  <c r="L36"/>
  <c r="AB54"/>
  <c r="V53" i="31"/>
  <c r="U57"/>
  <c r="H21" i="32"/>
  <c r="U21"/>
  <c r="M21"/>
  <c r="E21"/>
  <c r="Z21"/>
  <c r="Y54"/>
  <c r="Q54"/>
  <c r="I54"/>
  <c r="S57"/>
  <c r="S58" s="1"/>
  <c r="T56"/>
  <c r="L56"/>
  <c r="D56"/>
  <c r="Z83" i="13"/>
  <c r="AA81"/>
  <c r="AA70"/>
  <c r="Z95"/>
  <c r="X70"/>
  <c r="AA69"/>
  <c r="BE96"/>
  <c r="Y70"/>
  <c r="Z68"/>
  <c r="BF68"/>
  <c r="BG82"/>
  <c r="X69"/>
  <c r="BF95"/>
  <c r="Z94"/>
  <c r="Y69"/>
  <c r="BG69"/>
  <c r="Y95"/>
  <c r="BF69"/>
  <c r="AA94"/>
  <c r="Z69"/>
  <c r="AA82"/>
  <c r="BF94"/>
  <c r="Z82"/>
  <c r="BF96"/>
  <c r="BF82"/>
  <c r="Y68"/>
  <c r="Y96"/>
  <c r="Z96"/>
  <c r="AA95"/>
  <c r="BF70"/>
  <c r="Y82"/>
  <c r="BE95"/>
  <c r="Y83"/>
  <c r="AA68"/>
  <c r="Z70"/>
  <c r="BF83"/>
  <c r="CK96"/>
  <c r="CK83"/>
  <c r="CK69"/>
  <c r="CL69"/>
  <c r="CM69"/>
  <c r="CL70"/>
  <c r="BG96"/>
  <c r="BE94"/>
  <c r="BG95"/>
  <c r="BE82"/>
  <c r="BE70"/>
  <c r="BE83"/>
  <c r="BE81"/>
  <c r="BD96"/>
  <c r="BD94"/>
  <c r="BD95"/>
  <c r="BD82"/>
  <c r="BD81"/>
  <c r="BD83"/>
  <c r="BE68"/>
  <c r="BE69"/>
  <c r="BD70"/>
  <c r="BD69"/>
  <c r="BD68"/>
  <c r="Y94"/>
  <c r="AA96"/>
  <c r="AA83"/>
  <c r="Y81"/>
  <c r="Z81"/>
  <c r="X96"/>
  <c r="X94"/>
  <c r="X95"/>
  <c r="X81"/>
  <c r="X83"/>
  <c r="X82"/>
  <c r="X68"/>
  <c r="AA21" i="32"/>
  <c r="Y70" i="10"/>
  <c r="Y72" s="1"/>
  <c r="Z70"/>
  <c r="AA70"/>
  <c r="Y71"/>
  <c r="Z71"/>
  <c r="AA71"/>
  <c r="Y73"/>
  <c r="Z73"/>
  <c r="AA73"/>
  <c r="AA75" s="1"/>
  <c r="Y74"/>
  <c r="Z74"/>
  <c r="AA74"/>
  <c r="Y76"/>
  <c r="Y78" s="1"/>
  <c r="Z76"/>
  <c r="AA76"/>
  <c r="Y77"/>
  <c r="Z77"/>
  <c r="AA77"/>
  <c r="Y80"/>
  <c r="Y81" s="1"/>
  <c r="Z80"/>
  <c r="Z81" s="1"/>
  <c r="AA80"/>
  <c r="AA81" s="1"/>
  <c r="Y223" i="11"/>
  <c r="Y225" s="1"/>
  <c r="Z223"/>
  <c r="Z225" s="1"/>
  <c r="AA223"/>
  <c r="Y224"/>
  <c r="Z224"/>
  <c r="AA224"/>
  <c r="Y226"/>
  <c r="Z226"/>
  <c r="AA226"/>
  <c r="AA228" s="1"/>
  <c r="Y227"/>
  <c r="Z227"/>
  <c r="AA227"/>
  <c r="Y229"/>
  <c r="Y231" s="1"/>
  <c r="Z229"/>
  <c r="AA229"/>
  <c r="Y230"/>
  <c r="Z230"/>
  <c r="AA230"/>
  <c r="Y232"/>
  <c r="Y234" s="1"/>
  <c r="Z232"/>
  <c r="AA232"/>
  <c r="Y233"/>
  <c r="Z233"/>
  <c r="AA233"/>
  <c r="Y235"/>
  <c r="Z235"/>
  <c r="AA235"/>
  <c r="Y236"/>
  <c r="Y237" s="1"/>
  <c r="Z236"/>
  <c r="AA236"/>
  <c r="Y238"/>
  <c r="Z238"/>
  <c r="AA238"/>
  <c r="Y239"/>
  <c r="Z239"/>
  <c r="AA239"/>
  <c r="Y241"/>
  <c r="Z241"/>
  <c r="AA241"/>
  <c r="Y242"/>
  <c r="Z242"/>
  <c r="AA242"/>
  <c r="Y244"/>
  <c r="Z244"/>
  <c r="AA244"/>
  <c r="Y245"/>
  <c r="Z245"/>
  <c r="AA245"/>
  <c r="Y247"/>
  <c r="Z247"/>
  <c r="AA247"/>
  <c r="Y248"/>
  <c r="Z248"/>
  <c r="AA248"/>
  <c r="Y250"/>
  <c r="Z250"/>
  <c r="AA250"/>
  <c r="Y251"/>
  <c r="Z251"/>
  <c r="AA251"/>
  <c r="Y253"/>
  <c r="Z253"/>
  <c r="AA253"/>
  <c r="Y254"/>
  <c r="Z254"/>
  <c r="AA254"/>
  <c r="Y255"/>
  <c r="Y256"/>
  <c r="Z256"/>
  <c r="Z258" s="1"/>
  <c r="AA256"/>
  <c r="Y257"/>
  <c r="Z257"/>
  <c r="AA257"/>
  <c r="Y259"/>
  <c r="Y261" s="1"/>
  <c r="Z259"/>
  <c r="AA259"/>
  <c r="Y260"/>
  <c r="Z260"/>
  <c r="AA260"/>
  <c r="Y262"/>
  <c r="Z262"/>
  <c r="AA262"/>
  <c r="Y263"/>
  <c r="Z263"/>
  <c r="AA263"/>
  <c r="Y265"/>
  <c r="Z265"/>
  <c r="AA265"/>
  <c r="Y266"/>
  <c r="Z266"/>
  <c r="AA266"/>
  <c r="Y268"/>
  <c r="Z268"/>
  <c r="AA268"/>
  <c r="Y269"/>
  <c r="Z269"/>
  <c r="AA269"/>
  <c r="Y162" i="5"/>
  <c r="Z162"/>
  <c r="AA162"/>
  <c r="Y163"/>
  <c r="Z163"/>
  <c r="AA163"/>
  <c r="Y165"/>
  <c r="Z165"/>
  <c r="AA165"/>
  <c r="Y166"/>
  <c r="Y167" s="1"/>
  <c r="Z166"/>
  <c r="AA166"/>
  <c r="Y168"/>
  <c r="Y170" s="1"/>
  <c r="Z168"/>
  <c r="AA168"/>
  <c r="Y169"/>
  <c r="Z169"/>
  <c r="AA169"/>
  <c r="Y171"/>
  <c r="Z171"/>
  <c r="AA171"/>
  <c r="Y172"/>
  <c r="Z172"/>
  <c r="AA172"/>
  <c r="Y174"/>
  <c r="Z174"/>
  <c r="AA174"/>
  <c r="Y175"/>
  <c r="Z175"/>
  <c r="AA175"/>
  <c r="Y177"/>
  <c r="Z177"/>
  <c r="AA177"/>
  <c r="Y178"/>
  <c r="Z178"/>
  <c r="AA178"/>
  <c r="Y180"/>
  <c r="Z180"/>
  <c r="AA180"/>
  <c r="Y181"/>
  <c r="Z181"/>
  <c r="AA181"/>
  <c r="Y183"/>
  <c r="Z183"/>
  <c r="AA183"/>
  <c r="Y184"/>
  <c r="Z184"/>
  <c r="Z185" s="1"/>
  <c r="AA184"/>
  <c r="Y186"/>
  <c r="Z186"/>
  <c r="AA186"/>
  <c r="Y187"/>
  <c r="Z187"/>
  <c r="AA187"/>
  <c r="Y189"/>
  <c r="Z189"/>
  <c r="AA189"/>
  <c r="Y190"/>
  <c r="Y191" s="1"/>
  <c r="Z190"/>
  <c r="AA190"/>
  <c r="Y192"/>
  <c r="Y194" s="1"/>
  <c r="Z192"/>
  <c r="AA192"/>
  <c r="Y193"/>
  <c r="Z193"/>
  <c r="AA193"/>
  <c r="Y195"/>
  <c r="Z195"/>
  <c r="AA195"/>
  <c r="Y196"/>
  <c r="Z196"/>
  <c r="AA196"/>
  <c r="Y198"/>
  <c r="Z198"/>
  <c r="AA198"/>
  <c r="Y199"/>
  <c r="Z199"/>
  <c r="AA199"/>
  <c r="Y201"/>
  <c r="Z201"/>
  <c r="AA201"/>
  <c r="Y202"/>
  <c r="Z202"/>
  <c r="AA202"/>
  <c r="Y204"/>
  <c r="Y206" s="1"/>
  <c r="Z204"/>
  <c r="AA204"/>
  <c r="Y205"/>
  <c r="Z205"/>
  <c r="AA205"/>
  <c r="Y207"/>
  <c r="Z207"/>
  <c r="AA207"/>
  <c r="Y208"/>
  <c r="Z208"/>
  <c r="AA208"/>
  <c r="X243" i="12"/>
  <c r="T175"/>
  <c r="U175"/>
  <c r="V175"/>
  <c r="W175"/>
  <c r="X175"/>
  <c r="Y175"/>
  <c r="Z175"/>
  <c r="T174"/>
  <c r="U174"/>
  <c r="U176" s="1"/>
  <c r="V174"/>
  <c r="V176" s="1"/>
  <c r="W174"/>
  <c r="X174"/>
  <c r="X176" s="1"/>
  <c r="Y174"/>
  <c r="Y176" s="1"/>
  <c r="Z174"/>
  <c r="Z176" s="1"/>
  <c r="AA176"/>
  <c r="T195" i="11"/>
  <c r="U195"/>
  <c r="V195"/>
  <c r="W195"/>
  <c r="X195"/>
  <c r="Y195"/>
  <c r="Z195"/>
  <c r="AA195"/>
  <c r="AB195"/>
  <c r="AC195"/>
  <c r="T194"/>
  <c r="U194"/>
  <c r="V194"/>
  <c r="V196" s="1"/>
  <c r="W194"/>
  <c r="W196" s="1"/>
  <c r="X194"/>
  <c r="Y194"/>
  <c r="Z194"/>
  <c r="AB194"/>
  <c r="AC194"/>
  <c r="T179"/>
  <c r="U179"/>
  <c r="V179"/>
  <c r="W179"/>
  <c r="X179"/>
  <c r="Y179"/>
  <c r="Z179"/>
  <c r="T178"/>
  <c r="U178"/>
  <c r="V178"/>
  <c r="V180" s="1"/>
  <c r="W178"/>
  <c r="W180" s="1"/>
  <c r="X178"/>
  <c r="Y178"/>
  <c r="Z178"/>
  <c r="Z180" s="1"/>
  <c r="AA180"/>
  <c r="T191" i="12"/>
  <c r="U191"/>
  <c r="V191"/>
  <c r="W191"/>
  <c r="X191"/>
  <c r="Y191"/>
  <c r="Z191"/>
  <c r="AA191"/>
  <c r="T190"/>
  <c r="T192" s="1"/>
  <c r="U190"/>
  <c r="U192" s="1"/>
  <c r="V190"/>
  <c r="V192" s="1"/>
  <c r="W190"/>
  <c r="W192" s="1"/>
  <c r="X190"/>
  <c r="X192" s="1"/>
  <c r="Y190"/>
  <c r="Y192" s="1"/>
  <c r="Z190"/>
  <c r="Z192" s="1"/>
  <c r="AA192"/>
  <c r="E121" i="44"/>
  <c r="F121"/>
  <c r="G121"/>
  <c r="E119"/>
  <c r="F119"/>
  <c r="G119"/>
  <c r="E118"/>
  <c r="F118"/>
  <c r="G118"/>
  <c r="D119"/>
  <c r="D118"/>
  <c r="D121"/>
  <c r="D119" i="32"/>
  <c r="E119"/>
  <c r="F119"/>
  <c r="G119"/>
  <c r="H119"/>
  <c r="I119"/>
  <c r="J119"/>
  <c r="L119"/>
  <c r="M119"/>
  <c r="O119"/>
  <c r="Q119"/>
  <c r="R119"/>
  <c r="T119"/>
  <c r="U119"/>
  <c r="V119"/>
  <c r="W119"/>
  <c r="X119"/>
  <c r="Y119"/>
  <c r="Z119"/>
  <c r="AA119"/>
  <c r="D73"/>
  <c r="E73"/>
  <c r="F73"/>
  <c r="G73"/>
  <c r="H73"/>
  <c r="I73"/>
  <c r="J73"/>
  <c r="L73"/>
  <c r="M73"/>
  <c r="N73"/>
  <c r="O73"/>
  <c r="Q73"/>
  <c r="R73"/>
  <c r="S73"/>
  <c r="T73"/>
  <c r="U73"/>
  <c r="V73"/>
  <c r="W73"/>
  <c r="X73"/>
  <c r="Y73"/>
  <c r="Z73"/>
  <c r="AA73"/>
  <c r="AB73"/>
  <c r="V124" i="4"/>
  <c r="W124"/>
  <c r="X124"/>
  <c r="Y124"/>
  <c r="Z124"/>
  <c r="Z125" s="1"/>
  <c r="AA124"/>
  <c r="AA125" s="1"/>
  <c r="V123"/>
  <c r="W123"/>
  <c r="X123"/>
  <c r="Y123"/>
  <c r="Y222"/>
  <c r="Z222"/>
  <c r="AA222"/>
  <c r="Y223"/>
  <c r="Z223"/>
  <c r="AA223"/>
  <c r="Y225"/>
  <c r="Z225"/>
  <c r="AA225"/>
  <c r="Y226"/>
  <c r="Z226"/>
  <c r="AA226"/>
  <c r="Y228"/>
  <c r="Z228"/>
  <c r="AA228"/>
  <c r="Y229"/>
  <c r="Z229"/>
  <c r="AA229"/>
  <c r="Y231"/>
  <c r="Z231"/>
  <c r="AA231"/>
  <c r="Y232"/>
  <c r="Z232"/>
  <c r="AA232"/>
  <c r="Y234"/>
  <c r="Z234"/>
  <c r="AA234"/>
  <c r="Y235"/>
  <c r="Y236" s="1"/>
  <c r="Z235"/>
  <c r="AA235"/>
  <c r="Y237"/>
  <c r="Z237"/>
  <c r="AA237"/>
  <c r="Y238"/>
  <c r="Z238"/>
  <c r="AA238"/>
  <c r="Y240"/>
  <c r="Z240"/>
  <c r="AA240"/>
  <c r="Y241"/>
  <c r="Z241"/>
  <c r="AA241"/>
  <c r="Y243"/>
  <c r="Z243"/>
  <c r="AA243"/>
  <c r="Y244"/>
  <c r="Z244"/>
  <c r="AA244"/>
  <c r="Y246"/>
  <c r="Z246"/>
  <c r="AA246"/>
  <c r="Y247"/>
  <c r="Z247"/>
  <c r="AA247"/>
  <c r="Y249"/>
  <c r="Z249"/>
  <c r="AA249"/>
  <c r="Y250"/>
  <c r="Z250"/>
  <c r="AA250"/>
  <c r="Y252"/>
  <c r="Z252"/>
  <c r="AA252"/>
  <c r="Y253"/>
  <c r="Y254" s="1"/>
  <c r="Z253"/>
  <c r="AA253"/>
  <c r="Y255"/>
  <c r="Z255"/>
  <c r="AA255"/>
  <c r="Y256"/>
  <c r="Z256"/>
  <c r="AA256"/>
  <c r="Y258"/>
  <c r="Z258"/>
  <c r="AA258"/>
  <c r="Y259"/>
  <c r="Z259"/>
  <c r="AA259"/>
  <c r="Y261"/>
  <c r="Z261"/>
  <c r="AA261"/>
  <c r="Y262"/>
  <c r="Z262"/>
  <c r="AA262"/>
  <c r="Y264"/>
  <c r="Z264"/>
  <c r="AA264"/>
  <c r="Y265"/>
  <c r="Z265"/>
  <c r="AA265"/>
  <c r="Y267"/>
  <c r="Z267"/>
  <c r="AA267"/>
  <c r="Y268"/>
  <c r="Z268"/>
  <c r="AA268"/>
  <c r="V215"/>
  <c r="W215"/>
  <c r="X215"/>
  <c r="Y215"/>
  <c r="Z215"/>
  <c r="AA215"/>
  <c r="V214"/>
  <c r="W214"/>
  <c r="X214"/>
  <c r="Y214"/>
  <c r="Z214"/>
  <c r="AA214"/>
  <c r="X130" i="7"/>
  <c r="Y130"/>
  <c r="Z130"/>
  <c r="AA130"/>
  <c r="X129"/>
  <c r="Y129"/>
  <c r="Z129"/>
  <c r="AA129"/>
  <c r="X98"/>
  <c r="Y98"/>
  <c r="Z98"/>
  <c r="AA98"/>
  <c r="AB98"/>
  <c r="X97"/>
  <c r="Y97"/>
  <c r="Z97"/>
  <c r="AA97"/>
  <c r="AB97"/>
  <c r="X126" i="6"/>
  <c r="Z126"/>
  <c r="AA126"/>
  <c r="X125"/>
  <c r="Y125"/>
  <c r="Z125"/>
  <c r="AA125"/>
  <c r="X96"/>
  <c r="Z96"/>
  <c r="AA96"/>
  <c r="X95"/>
  <c r="Y95"/>
  <c r="Y222"/>
  <c r="Z222"/>
  <c r="AA222"/>
  <c r="Y223"/>
  <c r="Z223"/>
  <c r="AA223"/>
  <c r="Y225"/>
  <c r="Z225"/>
  <c r="AA225"/>
  <c r="Y226"/>
  <c r="Z226"/>
  <c r="AA226"/>
  <c r="Y228"/>
  <c r="Z228"/>
  <c r="AA228"/>
  <c r="Y229"/>
  <c r="Z229"/>
  <c r="AA229"/>
  <c r="Y231"/>
  <c r="Z231"/>
  <c r="AA231"/>
  <c r="Y232"/>
  <c r="Z232"/>
  <c r="AA232"/>
  <c r="Y234"/>
  <c r="Z234"/>
  <c r="AA234"/>
  <c r="Y235"/>
  <c r="Z235"/>
  <c r="AA235"/>
  <c r="Y237"/>
  <c r="Z237"/>
  <c r="AA237"/>
  <c r="Y238"/>
  <c r="Z238"/>
  <c r="AA238"/>
  <c r="Y240"/>
  <c r="Z240"/>
  <c r="AA240"/>
  <c r="Y241"/>
  <c r="Z241"/>
  <c r="AA241"/>
  <c r="Y243"/>
  <c r="Z243"/>
  <c r="AA243"/>
  <c r="Y244"/>
  <c r="Z244"/>
  <c r="AA244"/>
  <c r="Y246"/>
  <c r="Z246"/>
  <c r="AA246"/>
  <c r="Y247"/>
  <c r="Z247"/>
  <c r="AA247"/>
  <c r="Y249"/>
  <c r="Z249"/>
  <c r="AA249"/>
  <c r="Y250"/>
  <c r="Z250"/>
  <c r="AA250"/>
  <c r="Y252"/>
  <c r="Z252"/>
  <c r="AA252"/>
  <c r="Y253"/>
  <c r="Z253"/>
  <c r="AA253"/>
  <c r="Y255"/>
  <c r="Z255"/>
  <c r="AA255"/>
  <c r="Y256"/>
  <c r="Z256"/>
  <c r="AA256"/>
  <c r="Y258"/>
  <c r="Z258"/>
  <c r="AA258"/>
  <c r="Y259"/>
  <c r="Z259"/>
  <c r="AA259"/>
  <c r="Y261"/>
  <c r="Z261"/>
  <c r="AA261"/>
  <c r="Y262"/>
  <c r="Z262"/>
  <c r="AA262"/>
  <c r="Y264"/>
  <c r="Z264"/>
  <c r="AA264"/>
  <c r="Y265"/>
  <c r="Z265"/>
  <c r="AA265"/>
  <c r="Y267"/>
  <c r="Z267"/>
  <c r="AA267"/>
  <c r="Y268"/>
  <c r="Z268"/>
  <c r="AA268"/>
  <c r="T215"/>
  <c r="U215"/>
  <c r="V215"/>
  <c r="W215"/>
  <c r="X215"/>
  <c r="Y215"/>
  <c r="Z215"/>
  <c r="AA215"/>
  <c r="T214"/>
  <c r="T216" s="1"/>
  <c r="U214"/>
  <c r="U216" s="1"/>
  <c r="V214"/>
  <c r="V216" s="1"/>
  <c r="W214"/>
  <c r="W216" s="1"/>
  <c r="X214"/>
  <c r="X216" s="1"/>
  <c r="Y214"/>
  <c r="Y216" s="1"/>
  <c r="Z214"/>
  <c r="Z216" s="1"/>
  <c r="AA214"/>
  <c r="AA216" s="1"/>
  <c r="T199"/>
  <c r="U199"/>
  <c r="V199"/>
  <c r="W199"/>
  <c r="X199"/>
  <c r="Y199"/>
  <c r="Z199"/>
  <c r="T198"/>
  <c r="T200" s="1"/>
  <c r="U198"/>
  <c r="U200" s="1"/>
  <c r="V198"/>
  <c r="V200" s="1"/>
  <c r="W198"/>
  <c r="X198"/>
  <c r="X200" s="1"/>
  <c r="Y198"/>
  <c r="Y200" s="1"/>
  <c r="Z200"/>
  <c r="AA200"/>
  <c r="X221" i="7"/>
  <c r="Y221"/>
  <c r="Z221"/>
  <c r="AA221"/>
  <c r="AB221"/>
  <c r="X220"/>
  <c r="Y220"/>
  <c r="Z220"/>
  <c r="AA220"/>
  <c r="AB220"/>
  <c r="X205"/>
  <c r="Y205"/>
  <c r="Z205"/>
  <c r="AA205"/>
  <c r="X204"/>
  <c r="Y204"/>
  <c r="Z204"/>
  <c r="AA204"/>
  <c r="W175" i="4"/>
  <c r="X175"/>
  <c r="Y175"/>
  <c r="Z175"/>
  <c r="W174"/>
  <c r="X174"/>
  <c r="Y174"/>
  <c r="Z174"/>
  <c r="Z176" s="1"/>
  <c r="V193"/>
  <c r="W193"/>
  <c r="X193"/>
  <c r="Y193"/>
  <c r="Z193"/>
  <c r="AA193"/>
  <c r="V192"/>
  <c r="W192"/>
  <c r="X192"/>
  <c r="Y192"/>
  <c r="Z192"/>
  <c r="X73" i="33"/>
  <c r="Y73"/>
  <c r="X72"/>
  <c r="X74" s="1"/>
  <c r="Y72"/>
  <c r="Y65" i="11"/>
  <c r="Y134" s="1"/>
  <c r="U65"/>
  <c r="V65"/>
  <c r="V134" s="1"/>
  <c r="V135" s="1"/>
  <c r="W65"/>
  <c r="W134" s="1"/>
  <c r="W135" s="1"/>
  <c r="X65"/>
  <c r="X134" s="1"/>
  <c r="Z65"/>
  <c r="Z134" s="1"/>
  <c r="Z135" s="1"/>
  <c r="AA65"/>
  <c r="AA134" s="1"/>
  <c r="AA135" s="1"/>
  <c r="U64"/>
  <c r="V64"/>
  <c r="V133" s="1"/>
  <c r="W64"/>
  <c r="W133" s="1"/>
  <c r="X64"/>
  <c r="X133" s="1"/>
  <c r="Y64"/>
  <c r="Y133" s="1"/>
  <c r="Y63" i="5"/>
  <c r="Y130" s="1"/>
  <c r="Y61" i="44"/>
  <c r="V62"/>
  <c r="W62"/>
  <c r="X62"/>
  <c r="Y62"/>
  <c r="Y63" i="4"/>
  <c r="Z63"/>
  <c r="AA63"/>
  <c r="AA64" s="1"/>
  <c r="X63"/>
  <c r="X129" s="1"/>
  <c r="Y62"/>
  <c r="Z128"/>
  <c r="X62"/>
  <c r="V63"/>
  <c r="W63"/>
  <c r="V62"/>
  <c r="W62"/>
  <c r="Y63" i="6"/>
  <c r="W64"/>
  <c r="X64"/>
  <c r="X131" s="1"/>
  <c r="W63"/>
  <c r="X63"/>
  <c r="D66"/>
  <c r="V62" i="12"/>
  <c r="V129" s="1"/>
  <c r="W62"/>
  <c r="W129" s="1"/>
  <c r="X62"/>
  <c r="X129" s="1"/>
  <c r="Y62"/>
  <c r="Y129" s="1"/>
  <c r="Z62"/>
  <c r="Z129" s="1"/>
  <c r="Z130" s="1"/>
  <c r="AA62"/>
  <c r="AA129" s="1"/>
  <c r="AA130" s="1"/>
  <c r="V61"/>
  <c r="V128" s="1"/>
  <c r="W61"/>
  <c r="W128" s="1"/>
  <c r="X61"/>
  <c r="X128" s="1"/>
  <c r="X130" s="1"/>
  <c r="Y61"/>
  <c r="Y128" s="1"/>
  <c r="D99" i="44"/>
  <c r="D104" s="1"/>
  <c r="W97"/>
  <c r="W102" s="1"/>
  <c r="V97"/>
  <c r="V102" s="1"/>
  <c r="U97"/>
  <c r="U102" s="1"/>
  <c r="T97"/>
  <c r="T102" s="1"/>
  <c r="S97"/>
  <c r="S102" s="1"/>
  <c r="R97"/>
  <c r="R102" s="1"/>
  <c r="Q97"/>
  <c r="Q102" s="1"/>
  <c r="P97"/>
  <c r="P102" s="1"/>
  <c r="O97"/>
  <c r="O102" s="1"/>
  <c r="N97"/>
  <c r="N102" s="1"/>
  <c r="M97"/>
  <c r="M102" s="1"/>
  <c r="L97"/>
  <c r="L102" s="1"/>
  <c r="K97"/>
  <c r="K102" s="1"/>
  <c r="J97"/>
  <c r="J102" s="1"/>
  <c r="I97"/>
  <c r="I102" s="1"/>
  <c r="H97"/>
  <c r="H102" s="1"/>
  <c r="G97"/>
  <c r="G102" s="1"/>
  <c r="F97"/>
  <c r="F102" s="1"/>
  <c r="E97"/>
  <c r="E102" s="1"/>
  <c r="D97"/>
  <c r="D102" s="1"/>
  <c r="W96"/>
  <c r="V96"/>
  <c r="U96"/>
  <c r="U101" s="1"/>
  <c r="T96"/>
  <c r="S96"/>
  <c r="R96"/>
  <c r="Q96"/>
  <c r="Q101" s="1"/>
  <c r="P96"/>
  <c r="O96"/>
  <c r="N96"/>
  <c r="M96"/>
  <c r="M101" s="1"/>
  <c r="L96"/>
  <c r="K96"/>
  <c r="J96"/>
  <c r="I96"/>
  <c r="I101" s="1"/>
  <c r="H96"/>
  <c r="G96"/>
  <c r="F96"/>
  <c r="E96"/>
  <c r="E101" s="1"/>
  <c r="D96"/>
  <c r="B94"/>
  <c r="B88"/>
  <c r="B85"/>
  <c r="B72"/>
  <c r="T64" i="5"/>
  <c r="U64"/>
  <c r="V64"/>
  <c r="W64"/>
  <c r="X64"/>
  <c r="X131" s="1"/>
  <c r="Y64"/>
  <c r="Y131" s="1"/>
  <c r="Y132" s="1"/>
  <c r="Z64"/>
  <c r="Z131" s="1"/>
  <c r="Z132" s="1"/>
  <c r="AA64"/>
  <c r="AA131" s="1"/>
  <c r="AA132" s="1"/>
  <c r="T63"/>
  <c r="T65" s="1"/>
  <c r="U63"/>
  <c r="U65" s="1"/>
  <c r="V63"/>
  <c r="V65" s="1"/>
  <c r="W63"/>
  <c r="W65" s="1"/>
  <c r="X63"/>
  <c r="V61" i="44"/>
  <c r="W61"/>
  <c r="X61"/>
  <c r="X63" s="1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B42"/>
  <c r="B39"/>
  <c r="B34"/>
  <c r="B31"/>
  <c r="B26"/>
  <c r="B21"/>
  <c r="B18"/>
  <c r="B15"/>
  <c r="B11"/>
  <c r="X160" i="7"/>
  <c r="X159"/>
  <c r="W160"/>
  <c r="W159"/>
  <c r="V259" i="11"/>
  <c r="V175" i="4"/>
  <c r="V174"/>
  <c r="AY46" i="40"/>
  <c r="AX45"/>
  <c r="AV45"/>
  <c r="AY40"/>
  <c r="AX39"/>
  <c r="AV39"/>
  <c r="AY35"/>
  <c r="AW35"/>
  <c r="AY34"/>
  <c r="AX33"/>
  <c r="AV33"/>
  <c r="AW31"/>
  <c r="AY29"/>
  <c r="AY28"/>
  <c r="AY27"/>
  <c r="AY26"/>
  <c r="AX25"/>
  <c r="AV25"/>
  <c r="AY23"/>
  <c r="AY21"/>
  <c r="AX20"/>
  <c r="AV20"/>
  <c r="AY15"/>
  <c r="AX14"/>
  <c r="AV14"/>
  <c r="AY12"/>
  <c r="AW12"/>
  <c r="AY11"/>
  <c r="AY10"/>
  <c r="AY8"/>
  <c r="AY7"/>
  <c r="AX6"/>
  <c r="AV6"/>
  <c r="V80" i="13"/>
  <c r="V79"/>
  <c r="V78"/>
  <c r="V77"/>
  <c r="V76"/>
  <c r="V75"/>
  <c r="V74"/>
  <c r="V73"/>
  <c r="V72"/>
  <c r="U128" i="31"/>
  <c r="W141" i="32"/>
  <c r="U131" i="31"/>
  <c r="U130"/>
  <c r="V216" i="11"/>
  <c r="V215"/>
  <c r="V212" i="12"/>
  <c r="W212"/>
  <c r="V211"/>
  <c r="W211"/>
  <c r="V154" i="6"/>
  <c r="W154"/>
  <c r="V153"/>
  <c r="W153"/>
  <c r="V126"/>
  <c r="W126"/>
  <c r="V125"/>
  <c r="W125"/>
  <c r="V96"/>
  <c r="W96"/>
  <c r="V95"/>
  <c r="W95"/>
  <c r="V64"/>
  <c r="V63"/>
  <c r="W221" i="7"/>
  <c r="W220"/>
  <c r="W205"/>
  <c r="W204"/>
  <c r="W130"/>
  <c r="W129"/>
  <c r="W98"/>
  <c r="W97"/>
  <c r="W59" i="31" l="1"/>
  <c r="U59"/>
  <c r="U233" i="30" s="1"/>
  <c r="X59" i="31"/>
  <c r="V59"/>
  <c r="V233" i="30" s="1"/>
  <c r="Y130" i="12"/>
  <c r="X131" i="7"/>
  <c r="V36" i="29" s="1"/>
  <c r="X99" i="7"/>
  <c r="Y131"/>
  <c r="Z131"/>
  <c r="V130" i="12"/>
  <c r="Y125" i="4"/>
  <c r="X196" i="11"/>
  <c r="T196"/>
  <c r="AA188" i="5"/>
  <c r="Y185"/>
  <c r="Y179"/>
  <c r="M58" i="32"/>
  <c r="W128" i="4"/>
  <c r="Y257"/>
  <c r="Y233"/>
  <c r="AA230"/>
  <c r="AB196" i="11"/>
  <c r="Y252"/>
  <c r="W130" i="12"/>
  <c r="Y129" i="4"/>
  <c r="Y130" s="1"/>
  <c r="W200" i="6"/>
  <c r="X97"/>
  <c r="Y180" i="11"/>
  <c r="W176" i="12"/>
  <c r="Z167" i="5"/>
  <c r="Z270" i="11"/>
  <c r="AA252"/>
  <c r="Y249"/>
  <c r="Y58" i="32"/>
  <c r="AA176" i="4"/>
  <c r="AA196" i="11"/>
  <c r="Y130" i="6"/>
  <c r="X127"/>
  <c r="Y211" i="5"/>
  <c r="Z200"/>
  <c r="Z261" i="11"/>
  <c r="Y246"/>
  <c r="V63" i="44"/>
  <c r="V129" i="4"/>
  <c r="Z266"/>
  <c r="Y260"/>
  <c r="G120" i="44"/>
  <c r="AA197" i="5"/>
  <c r="Y164"/>
  <c r="W63" i="44"/>
  <c r="X65" i="5"/>
  <c r="X130"/>
  <c r="X132" s="1"/>
  <c r="X130" i="6"/>
  <c r="X132" s="1"/>
  <c r="X128" i="4"/>
  <c r="X130" s="1"/>
  <c r="X135" i="11"/>
  <c r="Y135"/>
  <c r="X176" i="4"/>
  <c r="Y230"/>
  <c r="AA227"/>
  <c r="Y224"/>
  <c r="V125"/>
  <c r="U39" i="29" s="1"/>
  <c r="AC196" i="11"/>
  <c r="U196"/>
  <c r="Y203" i="5"/>
  <c r="Y197"/>
  <c r="Y188"/>
  <c r="AA185"/>
  <c r="Y176"/>
  <c r="Z170"/>
  <c r="Y271" i="11"/>
  <c r="E58" i="32"/>
  <c r="Z243" i="11"/>
  <c r="Y243"/>
  <c r="Z231"/>
  <c r="AA231"/>
  <c r="AA170" i="5"/>
  <c r="AA173"/>
  <c r="AA246" i="11"/>
  <c r="AA225"/>
  <c r="AA164" i="5"/>
  <c r="AA249" i="11"/>
  <c r="AA264"/>
  <c r="AA255"/>
  <c r="AB58" i="32"/>
  <c r="Z255" i="11"/>
  <c r="Z176" i="5"/>
  <c r="Z228" i="11"/>
  <c r="Z230" i="4"/>
  <c r="Z227"/>
  <c r="Z234" i="11"/>
  <c r="Z233" i="4"/>
  <c r="Z240" i="11"/>
  <c r="Z179" i="5"/>
  <c r="Z246" i="11"/>
  <c r="W58" i="32"/>
  <c r="R58"/>
  <c r="Z58"/>
  <c r="N58"/>
  <c r="U58"/>
  <c r="O120"/>
  <c r="X120"/>
  <c r="V215" i="30" s="1"/>
  <c r="V74" i="32"/>
  <c r="M74"/>
  <c r="D74"/>
  <c r="AB120"/>
  <c r="D58"/>
  <c r="H58"/>
  <c r="H74"/>
  <c r="Y74"/>
  <c r="V120"/>
  <c r="T215" i="30" s="1"/>
  <c r="L74" i="32"/>
  <c r="AB74"/>
  <c r="T74"/>
  <c r="Y120"/>
  <c r="Q120"/>
  <c r="G120"/>
  <c r="I58"/>
  <c r="AA120"/>
  <c r="X74"/>
  <c r="V226" i="30" s="1"/>
  <c r="O74" i="32"/>
  <c r="F74"/>
  <c r="U120"/>
  <c r="S215" i="30" s="1"/>
  <c r="Q74" i="32"/>
  <c r="AA74"/>
  <c r="S74"/>
  <c r="I74"/>
  <c r="R120"/>
  <c r="H120"/>
  <c r="T58"/>
  <c r="Q58"/>
  <c r="L58"/>
  <c r="W74"/>
  <c r="U226" i="30" s="1"/>
  <c r="N74" i="32"/>
  <c r="E74"/>
  <c r="M120"/>
  <c r="Z65" i="5"/>
  <c r="Z164"/>
  <c r="Z188"/>
  <c r="W129" i="4"/>
  <c r="Z216"/>
  <c r="AA129"/>
  <c r="AA216"/>
  <c r="Z257"/>
  <c r="AA245"/>
  <c r="Y242"/>
  <c r="Z224"/>
  <c r="AA248"/>
  <c r="Y128"/>
  <c r="Y251"/>
  <c r="Y245"/>
  <c r="AA233"/>
  <c r="W176"/>
  <c r="V216"/>
  <c r="U199" i="30" s="1"/>
  <c r="AA266" i="4"/>
  <c r="Z239"/>
  <c r="W125"/>
  <c r="V39" i="29" s="1"/>
  <c r="W216" i="4"/>
  <c r="V199" i="30" s="1"/>
  <c r="AA257" i="4"/>
  <c r="AA251"/>
  <c r="Y248"/>
  <c r="Z242"/>
  <c r="AA224"/>
  <c r="X125"/>
  <c r="Y97" i="6"/>
  <c r="Y127"/>
  <c r="AA127"/>
  <c r="AA65"/>
  <c r="Z263" i="4"/>
  <c r="Z264" i="11"/>
  <c r="AA206" i="5"/>
  <c r="Z209"/>
  <c r="AA200"/>
  <c r="Z129" i="4"/>
  <c r="Z130" s="1"/>
  <c r="Z269"/>
  <c r="AA263"/>
  <c r="Z260"/>
  <c r="Z130" i="6"/>
  <c r="Z127"/>
  <c r="AA131" i="7"/>
  <c r="Z191" i="5"/>
  <c r="Z78" i="10"/>
  <c r="AA72"/>
  <c r="Z83"/>
  <c r="AA78"/>
  <c r="Z75"/>
  <c r="AA267" i="11"/>
  <c r="Z267"/>
  <c r="Z252"/>
  <c r="AA258"/>
  <c r="Z197" i="5"/>
  <c r="Z254" i="4"/>
  <c r="AA254"/>
  <c r="Z251"/>
  <c r="AA97" i="6"/>
  <c r="Z97"/>
  <c r="AB99" i="7"/>
  <c r="Y60" i="33"/>
  <c r="AA58" i="32"/>
  <c r="V64" i="4"/>
  <c r="V249" s="1"/>
  <c r="W64"/>
  <c r="V17" i="29" s="1"/>
  <c r="Y65" i="5"/>
  <c r="Y74" i="33"/>
  <c r="Y176" i="4"/>
  <c r="Z224" i="6"/>
  <c r="Y131"/>
  <c r="Z99" i="7"/>
  <c r="AA136"/>
  <c r="Y269" i="4"/>
  <c r="Y263"/>
  <c r="AA260"/>
  <c r="AA242"/>
  <c r="Y227"/>
  <c r="L120" i="32"/>
  <c r="Y209" i="5"/>
  <c r="Z203"/>
  <c r="Y200"/>
  <c r="AA194"/>
  <c r="Y182"/>
  <c r="AA176"/>
  <c r="Z173"/>
  <c r="Z211"/>
  <c r="Y270" i="11"/>
  <c r="Y264"/>
  <c r="AA261"/>
  <c r="Y258"/>
  <c r="AA271"/>
  <c r="Y228"/>
  <c r="AA83" i="10"/>
  <c r="AA82"/>
  <c r="Z59" i="31"/>
  <c r="Y224" i="6"/>
  <c r="Z136" i="7"/>
  <c r="Y270" i="4"/>
  <c r="AA269"/>
  <c r="Y266"/>
  <c r="Z248"/>
  <c r="Y271"/>
  <c r="AA236"/>
  <c r="Z74" i="32"/>
  <c r="R74"/>
  <c r="T120"/>
  <c r="J120"/>
  <c r="F120"/>
  <c r="Z206" i="5"/>
  <c r="Z194"/>
  <c r="AA179"/>
  <c r="Y173"/>
  <c r="AA270" i="11"/>
  <c r="Y267"/>
  <c r="Z249"/>
  <c r="Y272"/>
  <c r="AA237"/>
  <c r="Z72" i="10"/>
  <c r="AA131" i="6"/>
  <c r="Y136" i="7"/>
  <c r="AA128" i="4"/>
  <c r="AA210" i="5"/>
  <c r="AA272" i="11"/>
  <c r="AA65" i="5"/>
  <c r="AA224" i="6"/>
  <c r="Z131"/>
  <c r="Y216" i="4"/>
  <c r="Z270"/>
  <c r="AA239"/>
  <c r="Z236"/>
  <c r="V128"/>
  <c r="V130" s="1"/>
  <c r="U74" i="32"/>
  <c r="S226" i="30" s="1"/>
  <c r="G74" i="32"/>
  <c r="J74"/>
  <c r="W120"/>
  <c r="U215" i="30" s="1"/>
  <c r="I120" i="32"/>
  <c r="E120"/>
  <c r="D120"/>
  <c r="F120" i="44"/>
  <c r="Z196" i="11"/>
  <c r="AA209" i="5"/>
  <c r="AA203"/>
  <c r="AA191"/>
  <c r="AA182"/>
  <c r="Z182"/>
  <c r="AA211"/>
  <c r="AA240" i="11"/>
  <c r="Z272"/>
  <c r="Y75" i="10"/>
  <c r="Y83"/>
  <c r="X216" i="4"/>
  <c r="Y82" i="10"/>
  <c r="Z82"/>
  <c r="Y240" i="11"/>
  <c r="Z237"/>
  <c r="AA234"/>
  <c r="Z271"/>
  <c r="AA243"/>
  <c r="Y210" i="5"/>
  <c r="Y212" s="1"/>
  <c r="Z210"/>
  <c r="AA167"/>
  <c r="T176" i="12"/>
  <c r="S212" i="30" s="1"/>
  <c r="V213" i="12"/>
  <c r="U200" i="30" s="1"/>
  <c r="Z63" i="12"/>
  <c r="AA63"/>
  <c r="Y196" i="11"/>
  <c r="X180"/>
  <c r="W66"/>
  <c r="V19" i="29" s="1"/>
  <c r="X66" i="11"/>
  <c r="Z66"/>
  <c r="U66"/>
  <c r="T19" i="29" s="1"/>
  <c r="V66" i="11"/>
  <c r="U19" i="29" s="1"/>
  <c r="AA66" i="11"/>
  <c r="T180"/>
  <c r="S213" i="30" s="1"/>
  <c r="U180" i="11"/>
  <c r="T213" i="30" s="1"/>
  <c r="B61" i="44"/>
  <c r="Y63"/>
  <c r="E120"/>
  <c r="F63"/>
  <c r="N63"/>
  <c r="H98"/>
  <c r="P98"/>
  <c r="D120"/>
  <c r="Z271" i="6"/>
  <c r="AA271"/>
  <c r="Z270"/>
  <c r="Y271"/>
  <c r="AA130"/>
  <c r="Z120" i="32"/>
  <c r="Y239" i="4"/>
  <c r="Z271"/>
  <c r="AA271"/>
  <c r="AA270"/>
  <c r="Z245"/>
  <c r="X222" i="7"/>
  <c r="V219" i="30" s="1"/>
  <c r="Y99" i="7"/>
  <c r="Y222"/>
  <c r="X206"/>
  <c r="V208" i="30" s="1"/>
  <c r="Z222" i="7"/>
  <c r="Y135"/>
  <c r="Y137" s="1"/>
  <c r="AA99"/>
  <c r="AA222"/>
  <c r="Z135"/>
  <c r="AA135"/>
  <c r="Y270" i="6"/>
  <c r="AA270"/>
  <c r="W65"/>
  <c r="V15" i="29" s="1"/>
  <c r="X65" i="6"/>
  <c r="Z65"/>
  <c r="Y67" i="7"/>
  <c r="W99"/>
  <c r="Z67"/>
  <c r="AA67"/>
  <c r="Y206"/>
  <c r="AB67"/>
  <c r="Z206"/>
  <c r="AA206"/>
  <c r="AB206"/>
  <c r="AB222"/>
  <c r="Y66" i="11"/>
  <c r="Y65" i="6"/>
  <c r="W63" i="12"/>
  <c r="V18" i="29" s="1"/>
  <c r="X63" i="12"/>
  <c r="V63"/>
  <c r="U18" i="29" s="1"/>
  <c r="Y63" i="12"/>
  <c r="I63" i="44"/>
  <c r="Q63"/>
  <c r="G63"/>
  <c r="O63"/>
  <c r="K98"/>
  <c r="S98"/>
  <c r="J98"/>
  <c r="R98"/>
  <c r="U63"/>
  <c r="G98"/>
  <c r="O98"/>
  <c r="W98"/>
  <c r="E63"/>
  <c r="F98"/>
  <c r="N98"/>
  <c r="V98"/>
  <c r="M63"/>
  <c r="D98"/>
  <c r="L98"/>
  <c r="T98"/>
  <c r="Y64" i="4"/>
  <c r="Z64"/>
  <c r="X64"/>
  <c r="W131" i="6"/>
  <c r="V97"/>
  <c r="U26" i="29" s="1"/>
  <c r="V127" i="6"/>
  <c r="U37" i="29" s="1"/>
  <c r="Q103" i="44"/>
  <c r="E103"/>
  <c r="I103"/>
  <c r="M103"/>
  <c r="U103"/>
  <c r="E98"/>
  <c r="I98"/>
  <c r="M98"/>
  <c r="Q98"/>
  <c r="U98"/>
  <c r="D101"/>
  <c r="D103" s="1"/>
  <c r="H101"/>
  <c r="H103" s="1"/>
  <c r="L101"/>
  <c r="L103" s="1"/>
  <c r="P101"/>
  <c r="P103" s="1"/>
  <c r="T101"/>
  <c r="T103" s="1"/>
  <c r="G101"/>
  <c r="G103" s="1"/>
  <c r="K101"/>
  <c r="K103" s="1"/>
  <c r="O101"/>
  <c r="O103" s="1"/>
  <c r="S101"/>
  <c r="S103" s="1"/>
  <c r="W101"/>
  <c r="W103" s="1"/>
  <c r="F101"/>
  <c r="F103" s="1"/>
  <c r="J101"/>
  <c r="J103" s="1"/>
  <c r="N101"/>
  <c r="N103" s="1"/>
  <c r="R101"/>
  <c r="R103" s="1"/>
  <c r="V101"/>
  <c r="V103" s="1"/>
  <c r="D63"/>
  <c r="L63"/>
  <c r="T63"/>
  <c r="K63"/>
  <c r="S63"/>
  <c r="J63"/>
  <c r="R63"/>
  <c r="H63"/>
  <c r="P63"/>
  <c r="V131" i="6"/>
  <c r="W130"/>
  <c r="W161" i="7"/>
  <c r="U196" i="30" s="1"/>
  <c r="W131" i="7"/>
  <c r="U36" i="29" s="1"/>
  <c r="W222" i="7"/>
  <c r="U219" i="30" s="1"/>
  <c r="W127" i="6"/>
  <c r="V37" i="29" s="1"/>
  <c r="W155" i="6"/>
  <c r="V197" i="30" s="1"/>
  <c r="W213" i="12"/>
  <c r="V200" i="30" s="1"/>
  <c r="X161" i="7"/>
  <c r="V196" i="30" s="1"/>
  <c r="W206" i="7"/>
  <c r="U208" i="30" s="1"/>
  <c r="V176" i="4"/>
  <c r="U211" i="30" s="1"/>
  <c r="AY20" i="40"/>
  <c r="AY25"/>
  <c r="AY39"/>
  <c r="V130" i="6"/>
  <c r="W97"/>
  <c r="V26" i="29" s="1"/>
  <c r="AY14" i="40"/>
  <c r="AY33"/>
  <c r="V65" i="6"/>
  <c r="U15" i="29" s="1"/>
  <c r="V155" i="6"/>
  <c r="U197" i="30" s="1"/>
  <c r="W142" i="32"/>
  <c r="AY6" i="40"/>
  <c r="AY45"/>
  <c r="U132" i="31"/>
  <c r="U203" i="30" s="1"/>
  <c r="V217" i="11"/>
  <c r="U201" i="30" s="1"/>
  <c r="AJ7" i="40"/>
  <c r="AF6"/>
  <c r="AH6"/>
  <c r="N7"/>
  <c r="O7" s="1"/>
  <c r="P7"/>
  <c r="R7"/>
  <c r="T7"/>
  <c r="V7"/>
  <c r="X7"/>
  <c r="Z7"/>
  <c r="AI7"/>
  <c r="AL7"/>
  <c r="N8"/>
  <c r="O8" s="1"/>
  <c r="P8"/>
  <c r="R8"/>
  <c r="T8"/>
  <c r="V8"/>
  <c r="X8"/>
  <c r="Z8"/>
  <c r="AI8"/>
  <c r="AJ8"/>
  <c r="AL8"/>
  <c r="L9"/>
  <c r="M9" s="1"/>
  <c r="N9"/>
  <c r="P9"/>
  <c r="Q9" s="1"/>
  <c r="R9"/>
  <c r="X9"/>
  <c r="Y9" s="1"/>
  <c r="Z9"/>
  <c r="L10"/>
  <c r="M10" s="1"/>
  <c r="N10"/>
  <c r="P10"/>
  <c r="Q10" s="1"/>
  <c r="R10"/>
  <c r="T10"/>
  <c r="U10" s="1"/>
  <c r="V10"/>
  <c r="X10"/>
  <c r="Y10" s="1"/>
  <c r="Z10"/>
  <c r="AG10"/>
  <c r="AI10"/>
  <c r="AJ10"/>
  <c r="AL10"/>
  <c r="L11"/>
  <c r="M11" s="1"/>
  <c r="P11"/>
  <c r="Q11" s="1"/>
  <c r="R11"/>
  <c r="T11"/>
  <c r="U11" s="1"/>
  <c r="V11"/>
  <c r="X11"/>
  <c r="Z11"/>
  <c r="AG11"/>
  <c r="AI11"/>
  <c r="AJ11"/>
  <c r="AL11"/>
  <c r="T12"/>
  <c r="U12" s="1"/>
  <c r="V12"/>
  <c r="X12"/>
  <c r="Y12" s="1"/>
  <c r="Z12"/>
  <c r="AG12"/>
  <c r="AI12"/>
  <c r="AJ12"/>
  <c r="AL12"/>
  <c r="U65" i="7"/>
  <c r="V65"/>
  <c r="W65"/>
  <c r="W135" s="1"/>
  <c r="X65"/>
  <c r="X135" s="1"/>
  <c r="U66"/>
  <c r="V66"/>
  <c r="W66"/>
  <c r="W136" s="1"/>
  <c r="X66"/>
  <c r="X136" s="1"/>
  <c r="U40" i="29"/>
  <c r="V40"/>
  <c r="U41"/>
  <c r="V41"/>
  <c r="U25"/>
  <c r="V25"/>
  <c r="U28"/>
  <c r="V28"/>
  <c r="U29"/>
  <c r="V29"/>
  <c r="U30"/>
  <c r="V30"/>
  <c r="T31"/>
  <c r="U31"/>
  <c r="V31"/>
  <c r="S16"/>
  <c r="T16"/>
  <c r="U16"/>
  <c r="V16"/>
  <c r="S232" i="30"/>
  <c r="T232"/>
  <c r="U232"/>
  <c r="V232"/>
  <c r="V234"/>
  <c r="S220"/>
  <c r="T220"/>
  <c r="U220"/>
  <c r="V220"/>
  <c r="U222"/>
  <c r="V222"/>
  <c r="S223"/>
  <c r="T223"/>
  <c r="U223"/>
  <c r="V223"/>
  <c r="S224"/>
  <c r="T224"/>
  <c r="U224"/>
  <c r="V224"/>
  <c r="T226"/>
  <c r="S209"/>
  <c r="T209"/>
  <c r="U209"/>
  <c r="V209"/>
  <c r="V211"/>
  <c r="T212"/>
  <c r="U212"/>
  <c r="V212"/>
  <c r="U213"/>
  <c r="V213"/>
  <c r="U198"/>
  <c r="V198"/>
  <c r="V201"/>
  <c r="U202"/>
  <c r="V202"/>
  <c r="V203"/>
  <c r="U204"/>
  <c r="V204"/>
  <c r="U187"/>
  <c r="V187"/>
  <c r="U176"/>
  <c r="V176"/>
  <c r="U165"/>
  <c r="V165"/>
  <c r="U154"/>
  <c r="V154"/>
  <c r="U141"/>
  <c r="V141"/>
  <c r="U130"/>
  <c r="V130"/>
  <c r="U119"/>
  <c r="V119"/>
  <c r="U106"/>
  <c r="V106"/>
  <c r="U95"/>
  <c r="V95"/>
  <c r="U84"/>
  <c r="V84"/>
  <c r="U73"/>
  <c r="V73"/>
  <c r="U62"/>
  <c r="V62"/>
  <c r="U51"/>
  <c r="V51"/>
  <c r="U40"/>
  <c r="V40"/>
  <c r="U29"/>
  <c r="V29"/>
  <c r="U18"/>
  <c r="V18"/>
  <c r="T70" i="10"/>
  <c r="U70"/>
  <c r="V70"/>
  <c r="W70"/>
  <c r="T71"/>
  <c r="U71"/>
  <c r="V71"/>
  <c r="W71"/>
  <c r="T73"/>
  <c r="U73"/>
  <c r="V73"/>
  <c r="W73"/>
  <c r="T74"/>
  <c r="U74"/>
  <c r="V74"/>
  <c r="W74"/>
  <c r="T76"/>
  <c r="U76"/>
  <c r="V76"/>
  <c r="W76"/>
  <c r="T77"/>
  <c r="U77"/>
  <c r="V77"/>
  <c r="W77"/>
  <c r="T79"/>
  <c r="U79"/>
  <c r="V79"/>
  <c r="W79"/>
  <c r="T80"/>
  <c r="U80"/>
  <c r="V80"/>
  <c r="W80"/>
  <c r="W81" s="1"/>
  <c r="T223" i="11"/>
  <c r="U223"/>
  <c r="V223"/>
  <c r="W223"/>
  <c r="T224"/>
  <c r="U224"/>
  <c r="V224"/>
  <c r="W224"/>
  <c r="T226"/>
  <c r="U226"/>
  <c r="V226"/>
  <c r="W226"/>
  <c r="T227"/>
  <c r="U227"/>
  <c r="V227"/>
  <c r="W227"/>
  <c r="T229"/>
  <c r="U229"/>
  <c r="V229"/>
  <c r="W229"/>
  <c r="T230"/>
  <c r="U230"/>
  <c r="V230"/>
  <c r="W230"/>
  <c r="T232"/>
  <c r="U232"/>
  <c r="V232"/>
  <c r="W232"/>
  <c r="T233"/>
  <c r="U233"/>
  <c r="V233"/>
  <c r="W233"/>
  <c r="T235"/>
  <c r="U235"/>
  <c r="V235"/>
  <c r="W235"/>
  <c r="T236"/>
  <c r="U236"/>
  <c r="V236"/>
  <c r="W236"/>
  <c r="T238"/>
  <c r="U238"/>
  <c r="V238"/>
  <c r="W238"/>
  <c r="T239"/>
  <c r="U239"/>
  <c r="V239"/>
  <c r="W239"/>
  <c r="T241"/>
  <c r="U241"/>
  <c r="V241"/>
  <c r="W241"/>
  <c r="T242"/>
  <c r="U242"/>
  <c r="V242"/>
  <c r="W242"/>
  <c r="T244"/>
  <c r="U244"/>
  <c r="V244"/>
  <c r="W244"/>
  <c r="T245"/>
  <c r="U245"/>
  <c r="V245"/>
  <c r="W245"/>
  <c r="T247"/>
  <c r="U247"/>
  <c r="V247"/>
  <c r="W247"/>
  <c r="T248"/>
  <c r="U248"/>
  <c r="V248"/>
  <c r="W248"/>
  <c r="T250"/>
  <c r="U250"/>
  <c r="V250"/>
  <c r="W250"/>
  <c r="T251"/>
  <c r="U251"/>
  <c r="V251"/>
  <c r="W251"/>
  <c r="T253"/>
  <c r="U253"/>
  <c r="V253"/>
  <c r="W253"/>
  <c r="T254"/>
  <c r="U254"/>
  <c r="V254"/>
  <c r="W254"/>
  <c r="T256"/>
  <c r="U256"/>
  <c r="V256"/>
  <c r="W256"/>
  <c r="T257"/>
  <c r="U257"/>
  <c r="V257"/>
  <c r="W257"/>
  <c r="T259"/>
  <c r="U259"/>
  <c r="W259"/>
  <c r="T260"/>
  <c r="U260"/>
  <c r="V260"/>
  <c r="W260"/>
  <c r="T262"/>
  <c r="U262"/>
  <c r="V262"/>
  <c r="W262"/>
  <c r="T263"/>
  <c r="U263"/>
  <c r="V263"/>
  <c r="W263"/>
  <c r="T265"/>
  <c r="U265"/>
  <c r="V265"/>
  <c r="W265"/>
  <c r="T266"/>
  <c r="U266"/>
  <c r="V266"/>
  <c r="W266"/>
  <c r="T268"/>
  <c r="U268"/>
  <c r="V268"/>
  <c r="W268"/>
  <c r="T269"/>
  <c r="U269"/>
  <c r="V269"/>
  <c r="W269"/>
  <c r="T219" i="12"/>
  <c r="U219"/>
  <c r="V219"/>
  <c r="W219"/>
  <c r="T220"/>
  <c r="U220"/>
  <c r="V220"/>
  <c r="W220"/>
  <c r="T222"/>
  <c r="U222"/>
  <c r="V222"/>
  <c r="W222"/>
  <c r="T223"/>
  <c r="U223"/>
  <c r="V223"/>
  <c r="W223"/>
  <c r="T225"/>
  <c r="U225"/>
  <c r="V225"/>
  <c r="W225"/>
  <c r="T226"/>
  <c r="U226"/>
  <c r="V226"/>
  <c r="W226"/>
  <c r="T228"/>
  <c r="U228"/>
  <c r="V228"/>
  <c r="W228"/>
  <c r="T229"/>
  <c r="U229"/>
  <c r="V229"/>
  <c r="W229"/>
  <c r="T231"/>
  <c r="U231"/>
  <c r="V231"/>
  <c r="W231"/>
  <c r="T232"/>
  <c r="U232"/>
  <c r="V232"/>
  <c r="W232"/>
  <c r="T234"/>
  <c r="U234"/>
  <c r="V234"/>
  <c r="W234"/>
  <c r="T235"/>
  <c r="U235"/>
  <c r="V235"/>
  <c r="W235"/>
  <c r="T237"/>
  <c r="U237"/>
  <c r="V237"/>
  <c r="W237"/>
  <c r="T238"/>
  <c r="U238"/>
  <c r="V238"/>
  <c r="W238"/>
  <c r="T240"/>
  <c r="U240"/>
  <c r="V240"/>
  <c r="W240"/>
  <c r="T241"/>
  <c r="U241"/>
  <c r="V241"/>
  <c r="W241"/>
  <c r="T243"/>
  <c r="U243"/>
  <c r="V243"/>
  <c r="W243"/>
  <c r="T244"/>
  <c r="U244"/>
  <c r="V244"/>
  <c r="W244"/>
  <c r="T249"/>
  <c r="U249"/>
  <c r="V249"/>
  <c r="W249"/>
  <c r="T250"/>
  <c r="U250"/>
  <c r="V250"/>
  <c r="W250"/>
  <c r="T252"/>
  <c r="U252"/>
  <c r="V252"/>
  <c r="W252"/>
  <c r="T253"/>
  <c r="U253"/>
  <c r="V253"/>
  <c r="W253"/>
  <c r="T255"/>
  <c r="U255"/>
  <c r="V255"/>
  <c r="W255"/>
  <c r="T256"/>
  <c r="U256"/>
  <c r="V256"/>
  <c r="W256"/>
  <c r="T258"/>
  <c r="U258"/>
  <c r="V258"/>
  <c r="W258"/>
  <c r="T259"/>
  <c r="U259"/>
  <c r="V259"/>
  <c r="W259"/>
  <c r="T261"/>
  <c r="U261"/>
  <c r="V261"/>
  <c r="W261"/>
  <c r="T262"/>
  <c r="U262"/>
  <c r="V262"/>
  <c r="W262"/>
  <c r="T264"/>
  <c r="U264"/>
  <c r="V264"/>
  <c r="W264"/>
  <c r="T265"/>
  <c r="U265"/>
  <c r="V265"/>
  <c r="W265"/>
  <c r="T267"/>
  <c r="U267"/>
  <c r="V267"/>
  <c r="W267"/>
  <c r="T268"/>
  <c r="U268"/>
  <c r="V268"/>
  <c r="W268"/>
  <c r="T222" i="4"/>
  <c r="U222"/>
  <c r="V222"/>
  <c r="W222"/>
  <c r="T223"/>
  <c r="U223"/>
  <c r="V223"/>
  <c r="W223"/>
  <c r="T225"/>
  <c r="U225"/>
  <c r="V225"/>
  <c r="W225"/>
  <c r="T226"/>
  <c r="U226"/>
  <c r="V226"/>
  <c r="W226"/>
  <c r="T228"/>
  <c r="U228"/>
  <c r="V228"/>
  <c r="W228"/>
  <c r="T229"/>
  <c r="U229"/>
  <c r="V229"/>
  <c r="W229"/>
  <c r="W230" s="1"/>
  <c r="V41" i="30" s="1"/>
  <c r="T231" i="4"/>
  <c r="U231"/>
  <c r="V231"/>
  <c r="W231"/>
  <c r="T232"/>
  <c r="U232"/>
  <c r="V232"/>
  <c r="W232"/>
  <c r="T234"/>
  <c r="U234"/>
  <c r="V234"/>
  <c r="W234"/>
  <c r="T235"/>
  <c r="U235"/>
  <c r="V235"/>
  <c r="W235"/>
  <c r="T237"/>
  <c r="U237"/>
  <c r="V237"/>
  <c r="W237"/>
  <c r="T238"/>
  <c r="U238"/>
  <c r="V238"/>
  <c r="W238"/>
  <c r="T240"/>
  <c r="U240"/>
  <c r="V240"/>
  <c r="W240"/>
  <c r="T241"/>
  <c r="U241"/>
  <c r="V241"/>
  <c r="W241"/>
  <c r="T243"/>
  <c r="U243"/>
  <c r="V243"/>
  <c r="W243"/>
  <c r="T244"/>
  <c r="U244"/>
  <c r="V244"/>
  <c r="W244"/>
  <c r="T246"/>
  <c r="U246"/>
  <c r="V246"/>
  <c r="W246"/>
  <c r="T247"/>
  <c r="U247"/>
  <c r="V247"/>
  <c r="W247"/>
  <c r="T249"/>
  <c r="U249"/>
  <c r="W249"/>
  <c r="T250"/>
  <c r="U250"/>
  <c r="W250"/>
  <c r="T252"/>
  <c r="U252"/>
  <c r="V252"/>
  <c r="W252"/>
  <c r="T253"/>
  <c r="U253"/>
  <c r="V253"/>
  <c r="W253"/>
  <c r="T255"/>
  <c r="U255"/>
  <c r="V255"/>
  <c r="W255"/>
  <c r="T256"/>
  <c r="U256"/>
  <c r="V256"/>
  <c r="W256"/>
  <c r="T258"/>
  <c r="U258"/>
  <c r="V258"/>
  <c r="W258"/>
  <c r="T259"/>
  <c r="U259"/>
  <c r="V259"/>
  <c r="W259"/>
  <c r="T261"/>
  <c r="U261"/>
  <c r="V261"/>
  <c r="W261"/>
  <c r="T262"/>
  <c r="U262"/>
  <c r="V262"/>
  <c r="W262"/>
  <c r="T264"/>
  <c r="U264"/>
  <c r="V264"/>
  <c r="W264"/>
  <c r="T265"/>
  <c r="U265"/>
  <c r="V265"/>
  <c r="W265"/>
  <c r="T267"/>
  <c r="U267"/>
  <c r="V267"/>
  <c r="W267"/>
  <c r="T268"/>
  <c r="U268"/>
  <c r="V268"/>
  <c r="W268"/>
  <c r="T222" i="6"/>
  <c r="U222"/>
  <c r="V222"/>
  <c r="W222"/>
  <c r="T223"/>
  <c r="U223"/>
  <c r="V223"/>
  <c r="W223"/>
  <c r="T225"/>
  <c r="U225"/>
  <c r="V225"/>
  <c r="W225"/>
  <c r="T226"/>
  <c r="U226"/>
  <c r="V226"/>
  <c r="W226"/>
  <c r="T228"/>
  <c r="U228"/>
  <c r="V228"/>
  <c r="W228"/>
  <c r="T229"/>
  <c r="U229"/>
  <c r="V229"/>
  <c r="W229"/>
  <c r="T231"/>
  <c r="U231"/>
  <c r="V231"/>
  <c r="W231"/>
  <c r="T232"/>
  <c r="U232"/>
  <c r="V232"/>
  <c r="W232"/>
  <c r="T234"/>
  <c r="U234"/>
  <c r="V234"/>
  <c r="W234"/>
  <c r="T235"/>
  <c r="U235"/>
  <c r="V235"/>
  <c r="W235"/>
  <c r="T237"/>
  <c r="U237"/>
  <c r="V237"/>
  <c r="W237"/>
  <c r="T238"/>
  <c r="U238"/>
  <c r="V238"/>
  <c r="W238"/>
  <c r="T240"/>
  <c r="U240"/>
  <c r="V240"/>
  <c r="W240"/>
  <c r="T241"/>
  <c r="U241"/>
  <c r="V241"/>
  <c r="W241"/>
  <c r="T243"/>
  <c r="U243"/>
  <c r="V243"/>
  <c r="W243"/>
  <c r="T244"/>
  <c r="U244"/>
  <c r="V244"/>
  <c r="W244"/>
  <c r="T246"/>
  <c r="U246"/>
  <c r="V246"/>
  <c r="W246"/>
  <c r="T247"/>
  <c r="U247"/>
  <c r="V247"/>
  <c r="W247"/>
  <c r="T249"/>
  <c r="U249"/>
  <c r="V249"/>
  <c r="W249"/>
  <c r="T250"/>
  <c r="U250"/>
  <c r="V250"/>
  <c r="W250"/>
  <c r="T252"/>
  <c r="U252"/>
  <c r="V252"/>
  <c r="W252"/>
  <c r="T253"/>
  <c r="U253"/>
  <c r="V253"/>
  <c r="W253"/>
  <c r="T255"/>
  <c r="U255"/>
  <c r="V255"/>
  <c r="W255"/>
  <c r="T256"/>
  <c r="U256"/>
  <c r="V256"/>
  <c r="W256"/>
  <c r="T258"/>
  <c r="U258"/>
  <c r="V258"/>
  <c r="W258"/>
  <c r="T259"/>
  <c r="U259"/>
  <c r="V259"/>
  <c r="W259"/>
  <c r="T261"/>
  <c r="U261"/>
  <c r="V261"/>
  <c r="W261"/>
  <c r="T262"/>
  <c r="U262"/>
  <c r="V262"/>
  <c r="W262"/>
  <c r="T264"/>
  <c r="U264"/>
  <c r="V264"/>
  <c r="W264"/>
  <c r="T265"/>
  <c r="U265"/>
  <c r="V265"/>
  <c r="W265"/>
  <c r="T267"/>
  <c r="U267"/>
  <c r="V267"/>
  <c r="V270" s="1"/>
  <c r="W267"/>
  <c r="T268"/>
  <c r="U268"/>
  <c r="V268"/>
  <c r="W268"/>
  <c r="U243" i="7"/>
  <c r="V243"/>
  <c r="W243"/>
  <c r="X243"/>
  <c r="U244"/>
  <c r="V244"/>
  <c r="W244"/>
  <c r="X244"/>
  <c r="U246"/>
  <c r="V246"/>
  <c r="W246"/>
  <c r="X246"/>
  <c r="U247"/>
  <c r="V247"/>
  <c r="W247"/>
  <c r="X247"/>
  <c r="U249"/>
  <c r="V249"/>
  <c r="W249"/>
  <c r="X249"/>
  <c r="U250"/>
  <c r="V250"/>
  <c r="W250"/>
  <c r="X250"/>
  <c r="U252"/>
  <c r="V252"/>
  <c r="W252"/>
  <c r="X252"/>
  <c r="U253"/>
  <c r="V253"/>
  <c r="W253"/>
  <c r="X253"/>
  <c r="U255"/>
  <c r="V255"/>
  <c r="W255"/>
  <c r="X255"/>
  <c r="U256"/>
  <c r="V256"/>
  <c r="W256"/>
  <c r="X256"/>
  <c r="U258"/>
  <c r="V258"/>
  <c r="W258"/>
  <c r="X258"/>
  <c r="U259"/>
  <c r="V259"/>
  <c r="W259"/>
  <c r="X259"/>
  <c r="U261"/>
  <c r="V261"/>
  <c r="W261"/>
  <c r="X261"/>
  <c r="U262"/>
  <c r="V262"/>
  <c r="W262"/>
  <c r="X262"/>
  <c r="U264"/>
  <c r="V264"/>
  <c r="W264"/>
  <c r="X264"/>
  <c r="U265"/>
  <c r="V265"/>
  <c r="W265"/>
  <c r="X265"/>
  <c r="U267"/>
  <c r="V267"/>
  <c r="W267"/>
  <c r="X267"/>
  <c r="U268"/>
  <c r="V268"/>
  <c r="W268"/>
  <c r="X268"/>
  <c r="U270"/>
  <c r="V270"/>
  <c r="W270"/>
  <c r="X270"/>
  <c r="U271"/>
  <c r="V271"/>
  <c r="W271"/>
  <c r="X271"/>
  <c r="U273"/>
  <c r="V273"/>
  <c r="W273"/>
  <c r="X273"/>
  <c r="U274"/>
  <c r="V274"/>
  <c r="W274"/>
  <c r="X274"/>
  <c r="U240"/>
  <c r="V240"/>
  <c r="W240"/>
  <c r="X240"/>
  <c r="U241"/>
  <c r="V241"/>
  <c r="W241"/>
  <c r="X241"/>
  <c r="U237"/>
  <c r="V237"/>
  <c r="W237"/>
  <c r="X237"/>
  <c r="U238"/>
  <c r="V238"/>
  <c r="W238"/>
  <c r="X238"/>
  <c r="U234"/>
  <c r="V234"/>
  <c r="W234"/>
  <c r="X234"/>
  <c r="U235"/>
  <c r="V235"/>
  <c r="W235"/>
  <c r="X235"/>
  <c r="U231"/>
  <c r="V231"/>
  <c r="W231"/>
  <c r="X231"/>
  <c r="U232"/>
  <c r="V232"/>
  <c r="W232"/>
  <c r="X232"/>
  <c r="U228"/>
  <c r="V228"/>
  <c r="W228"/>
  <c r="X228"/>
  <c r="U229"/>
  <c r="V229"/>
  <c r="W229"/>
  <c r="X229"/>
  <c r="T204" i="5"/>
  <c r="U204"/>
  <c r="T205"/>
  <c r="U205"/>
  <c r="T207"/>
  <c r="U207"/>
  <c r="T208"/>
  <c r="U208"/>
  <c r="T201"/>
  <c r="U201"/>
  <c r="T202"/>
  <c r="U202"/>
  <c r="T198"/>
  <c r="U198"/>
  <c r="T199"/>
  <c r="U199"/>
  <c r="T195"/>
  <c r="U195"/>
  <c r="T196"/>
  <c r="U196"/>
  <c r="T192"/>
  <c r="U192"/>
  <c r="T193"/>
  <c r="U193"/>
  <c r="T189"/>
  <c r="U189"/>
  <c r="T190"/>
  <c r="U190"/>
  <c r="T186"/>
  <c r="U186"/>
  <c r="T187"/>
  <c r="U187"/>
  <c r="T183"/>
  <c r="U183"/>
  <c r="T184"/>
  <c r="U184"/>
  <c r="T180"/>
  <c r="U180"/>
  <c r="T181"/>
  <c r="U181"/>
  <c r="T177"/>
  <c r="U177"/>
  <c r="T178"/>
  <c r="U178"/>
  <c r="T174"/>
  <c r="U174"/>
  <c r="T175"/>
  <c r="U175"/>
  <c r="T171"/>
  <c r="U171"/>
  <c r="T172"/>
  <c r="U172"/>
  <c r="T168"/>
  <c r="U168"/>
  <c r="T169"/>
  <c r="U169"/>
  <c r="T165"/>
  <c r="U165"/>
  <c r="T166"/>
  <c r="U166"/>
  <c r="T162"/>
  <c r="U162"/>
  <c r="T163"/>
  <c r="U163"/>
  <c r="U192" i="4"/>
  <c r="U193"/>
  <c r="U174"/>
  <c r="U175"/>
  <c r="V220" i="7"/>
  <c r="V221"/>
  <c r="V204"/>
  <c r="V205"/>
  <c r="U125" i="5"/>
  <c r="U127" s="1"/>
  <c r="V125"/>
  <c r="V127" s="1"/>
  <c r="W125"/>
  <c r="W127" s="1"/>
  <c r="U128" i="11"/>
  <c r="U129"/>
  <c r="U97"/>
  <c r="U98"/>
  <c r="U123" i="12"/>
  <c r="U124"/>
  <c r="U61"/>
  <c r="U62"/>
  <c r="U93"/>
  <c r="U94"/>
  <c r="U123" i="4"/>
  <c r="U124"/>
  <c r="U94"/>
  <c r="U95"/>
  <c r="U62"/>
  <c r="U63"/>
  <c r="T62"/>
  <c r="T63"/>
  <c r="U125" i="6"/>
  <c r="U126"/>
  <c r="U95"/>
  <c r="U96"/>
  <c r="U63"/>
  <c r="U64"/>
  <c r="V129" i="7"/>
  <c r="V130"/>
  <c r="V97"/>
  <c r="V98"/>
  <c r="EQ85" i="13"/>
  <c r="ES85"/>
  <c r="EU85"/>
  <c r="EW85"/>
  <c r="EQ86"/>
  <c r="ES86"/>
  <c r="EU86"/>
  <c r="EW86"/>
  <c r="EQ87"/>
  <c r="ES87"/>
  <c r="EU87"/>
  <c r="EW87"/>
  <c r="EQ88"/>
  <c r="ES88"/>
  <c r="EU88"/>
  <c r="EW88"/>
  <c r="EQ89"/>
  <c r="ES89"/>
  <c r="EU89"/>
  <c r="EW89"/>
  <c r="EQ90"/>
  <c r="ES90"/>
  <c r="EU90"/>
  <c r="EW90"/>
  <c r="EQ91"/>
  <c r="ES91"/>
  <c r="EU91"/>
  <c r="EW91"/>
  <c r="EQ92"/>
  <c r="ES92"/>
  <c r="EU92"/>
  <c r="EW92"/>
  <c r="EQ93"/>
  <c r="ES93"/>
  <c r="EU93"/>
  <c r="EW93"/>
  <c r="EQ72"/>
  <c r="ER72"/>
  <c r="ES72"/>
  <c r="ET72"/>
  <c r="EU72"/>
  <c r="EV72"/>
  <c r="EW72"/>
  <c r="EQ73"/>
  <c r="ER73"/>
  <c r="ES73"/>
  <c r="ET73"/>
  <c r="EU73"/>
  <c r="EV73"/>
  <c r="EW73"/>
  <c r="EQ74"/>
  <c r="ER74"/>
  <c r="ES74"/>
  <c r="ET74"/>
  <c r="EU74"/>
  <c r="EV74"/>
  <c r="EW74"/>
  <c r="EQ75"/>
  <c r="ER75"/>
  <c r="ES75"/>
  <c r="ET75"/>
  <c r="EU75"/>
  <c r="EV75"/>
  <c r="EW75"/>
  <c r="EQ76"/>
  <c r="ER76"/>
  <c r="ES76"/>
  <c r="ET76"/>
  <c r="EU76"/>
  <c r="EV76"/>
  <c r="EW76"/>
  <c r="EQ77"/>
  <c r="ER77"/>
  <c r="ES77"/>
  <c r="ET77"/>
  <c r="EU77"/>
  <c r="EV77"/>
  <c r="EW77"/>
  <c r="EQ78"/>
  <c r="ER78"/>
  <c r="ES78"/>
  <c r="ET78"/>
  <c r="EU78"/>
  <c r="EV78"/>
  <c r="EW78"/>
  <c r="EQ79"/>
  <c r="ER79"/>
  <c r="ES79"/>
  <c r="ET79"/>
  <c r="EU79"/>
  <c r="EV79"/>
  <c r="EW79"/>
  <c r="EQ80"/>
  <c r="ER80"/>
  <c r="ES80"/>
  <c r="ET80"/>
  <c r="EU80"/>
  <c r="EV80"/>
  <c r="EW80"/>
  <c r="EP72"/>
  <c r="EP73"/>
  <c r="EP74"/>
  <c r="EP75"/>
  <c r="EP76"/>
  <c r="EP77"/>
  <c r="EP78"/>
  <c r="EP79"/>
  <c r="EP80"/>
  <c r="EP59"/>
  <c r="EQ59"/>
  <c r="ER59"/>
  <c r="ES59"/>
  <c r="ET59"/>
  <c r="EU59"/>
  <c r="EV59"/>
  <c r="EW59"/>
  <c r="EP60"/>
  <c r="EQ60"/>
  <c r="ER60"/>
  <c r="ES60"/>
  <c r="ET60"/>
  <c r="EU60"/>
  <c r="EV60"/>
  <c r="EW60"/>
  <c r="EP61"/>
  <c r="EQ61"/>
  <c r="ER61"/>
  <c r="ES61"/>
  <c r="ET61"/>
  <c r="EU61"/>
  <c r="EV61"/>
  <c r="EW61"/>
  <c r="EP62"/>
  <c r="EQ62"/>
  <c r="ER62"/>
  <c r="ES62"/>
  <c r="ET62"/>
  <c r="EU62"/>
  <c r="EV62"/>
  <c r="EW62"/>
  <c r="EP63"/>
  <c r="EQ63"/>
  <c r="ER63"/>
  <c r="ES63"/>
  <c r="ET63"/>
  <c r="EU63"/>
  <c r="EV63"/>
  <c r="EW63"/>
  <c r="EP64"/>
  <c r="EQ64"/>
  <c r="ER64"/>
  <c r="ES64"/>
  <c r="ET64"/>
  <c r="EU64"/>
  <c r="EV64"/>
  <c r="EW64"/>
  <c r="EP65"/>
  <c r="EQ65"/>
  <c r="ER65"/>
  <c r="ES65"/>
  <c r="ET65"/>
  <c r="EU65"/>
  <c r="EV65"/>
  <c r="EW65"/>
  <c r="EP66"/>
  <c r="EQ66"/>
  <c r="ER66"/>
  <c r="ES66"/>
  <c r="ET66"/>
  <c r="EU66"/>
  <c r="EV66"/>
  <c r="EW66"/>
  <c r="EP67"/>
  <c r="EQ67"/>
  <c r="ER67"/>
  <c r="ES67"/>
  <c r="ET67"/>
  <c r="EU67"/>
  <c r="EV67"/>
  <c r="EW67"/>
  <c r="CW85"/>
  <c r="CX85"/>
  <c r="CY85"/>
  <c r="CW86"/>
  <c r="CX86"/>
  <c r="CY86"/>
  <c r="CW87"/>
  <c r="CX87"/>
  <c r="CY87"/>
  <c r="CW88"/>
  <c r="CX88"/>
  <c r="CY88"/>
  <c r="CW89"/>
  <c r="CX89"/>
  <c r="CY89"/>
  <c r="CW90"/>
  <c r="CX90"/>
  <c r="CY90"/>
  <c r="CW91"/>
  <c r="CX91"/>
  <c r="CY91"/>
  <c r="CW92"/>
  <c r="CX92"/>
  <c r="CY92"/>
  <c r="CW93"/>
  <c r="CX93"/>
  <c r="CY93"/>
  <c r="DD85"/>
  <c r="DD86"/>
  <c r="DD87"/>
  <c r="DD88"/>
  <c r="DD89"/>
  <c r="DD90"/>
  <c r="DD91"/>
  <c r="DD92"/>
  <c r="DD93"/>
  <c r="DI85"/>
  <c r="DJ85"/>
  <c r="DK85"/>
  <c r="DM85"/>
  <c r="DN85"/>
  <c r="DO85"/>
  <c r="DP85"/>
  <c r="DI86"/>
  <c r="DJ86"/>
  <c r="DK86"/>
  <c r="DM86"/>
  <c r="DN86"/>
  <c r="DO86"/>
  <c r="DP86"/>
  <c r="DI87"/>
  <c r="DJ87"/>
  <c r="DK87"/>
  <c r="DM87"/>
  <c r="DN87"/>
  <c r="DO87"/>
  <c r="DP87"/>
  <c r="DI88"/>
  <c r="DJ88"/>
  <c r="DK88"/>
  <c r="DM88"/>
  <c r="DN88"/>
  <c r="DO88"/>
  <c r="DP88"/>
  <c r="DI89"/>
  <c r="DJ89"/>
  <c r="DK89"/>
  <c r="DM89"/>
  <c r="DN89"/>
  <c r="DO89"/>
  <c r="DP89"/>
  <c r="DI90"/>
  <c r="DJ90"/>
  <c r="DK90"/>
  <c r="DM90"/>
  <c r="DN90"/>
  <c r="DO90"/>
  <c r="DP90"/>
  <c r="DI91"/>
  <c r="DJ91"/>
  <c r="DK91"/>
  <c r="DM91"/>
  <c r="DN91"/>
  <c r="DO91"/>
  <c r="DP91"/>
  <c r="DI92"/>
  <c r="DJ92"/>
  <c r="DK92"/>
  <c r="DM92"/>
  <c r="DN92"/>
  <c r="DO92"/>
  <c r="DP92"/>
  <c r="DI93"/>
  <c r="DJ93"/>
  <c r="DK93"/>
  <c r="DM93"/>
  <c r="DN93"/>
  <c r="DO93"/>
  <c r="DP93"/>
  <c r="CH85"/>
  <c r="CI85"/>
  <c r="CH86"/>
  <c r="CI86"/>
  <c r="CH87"/>
  <c r="CI87"/>
  <c r="CH88"/>
  <c r="CI88"/>
  <c r="CH89"/>
  <c r="CI89"/>
  <c r="CH90"/>
  <c r="CI90"/>
  <c r="CH91"/>
  <c r="CI91"/>
  <c r="CH92"/>
  <c r="CI92"/>
  <c r="CH93"/>
  <c r="CI93"/>
  <c r="CH72"/>
  <c r="CI72"/>
  <c r="CH73"/>
  <c r="CI73"/>
  <c r="CH74"/>
  <c r="CI74"/>
  <c r="CH75"/>
  <c r="CI75"/>
  <c r="CH76"/>
  <c r="CI76"/>
  <c r="CH77"/>
  <c r="CI77"/>
  <c r="CH78"/>
  <c r="CI78"/>
  <c r="CH79"/>
  <c r="CI79"/>
  <c r="CH80"/>
  <c r="CI80"/>
  <c r="CH59"/>
  <c r="CI59"/>
  <c r="CH60"/>
  <c r="CI60"/>
  <c r="CH61"/>
  <c r="CI61"/>
  <c r="CH62"/>
  <c r="CI62"/>
  <c r="CH63"/>
  <c r="CI63"/>
  <c r="CH64"/>
  <c r="CI64"/>
  <c r="CH65"/>
  <c r="CI65"/>
  <c r="CH66"/>
  <c r="CI66"/>
  <c r="CH67"/>
  <c r="CI67"/>
  <c r="DI72"/>
  <c r="DJ72"/>
  <c r="DK72"/>
  <c r="DM72"/>
  <c r="DN72"/>
  <c r="DO72"/>
  <c r="DP72"/>
  <c r="DI73"/>
  <c r="DJ73"/>
  <c r="DK73"/>
  <c r="DM73"/>
  <c r="DN73"/>
  <c r="DO73"/>
  <c r="DP73"/>
  <c r="DI74"/>
  <c r="DJ74"/>
  <c r="DK74"/>
  <c r="DM74"/>
  <c r="DN74"/>
  <c r="DO74"/>
  <c r="DP74"/>
  <c r="DI75"/>
  <c r="DJ75"/>
  <c r="DK75"/>
  <c r="DM75"/>
  <c r="DN75"/>
  <c r="DO75"/>
  <c r="DP75"/>
  <c r="DI76"/>
  <c r="DJ76"/>
  <c r="DK76"/>
  <c r="DM76"/>
  <c r="DN76"/>
  <c r="DO76"/>
  <c r="DP76"/>
  <c r="DI77"/>
  <c r="DJ77"/>
  <c r="DK77"/>
  <c r="DM77"/>
  <c r="DN77"/>
  <c r="DO77"/>
  <c r="DP77"/>
  <c r="DI78"/>
  <c r="DJ78"/>
  <c r="DK78"/>
  <c r="DM78"/>
  <c r="DN78"/>
  <c r="DO78"/>
  <c r="DP78"/>
  <c r="DI79"/>
  <c r="DJ79"/>
  <c r="DK79"/>
  <c r="DM79"/>
  <c r="DN79"/>
  <c r="DO79"/>
  <c r="DP79"/>
  <c r="DI80"/>
  <c r="DJ80"/>
  <c r="DK80"/>
  <c r="DM80"/>
  <c r="DN80"/>
  <c r="DO80"/>
  <c r="DP80"/>
  <c r="DI59"/>
  <c r="DJ59"/>
  <c r="DK59"/>
  <c r="DM59"/>
  <c r="DN59"/>
  <c r="DO59"/>
  <c r="DP59"/>
  <c r="DI60"/>
  <c r="DJ60"/>
  <c r="DK60"/>
  <c r="DM60"/>
  <c r="DN60"/>
  <c r="DO60"/>
  <c r="DP60"/>
  <c r="DI61"/>
  <c r="DJ61"/>
  <c r="DK61"/>
  <c r="DM61"/>
  <c r="DN61"/>
  <c r="DO61"/>
  <c r="DP61"/>
  <c r="DI62"/>
  <c r="DJ62"/>
  <c r="DK62"/>
  <c r="DM62"/>
  <c r="DN62"/>
  <c r="DO62"/>
  <c r="DP62"/>
  <c r="DI63"/>
  <c r="DJ63"/>
  <c r="DK63"/>
  <c r="DM63"/>
  <c r="DN63"/>
  <c r="DO63"/>
  <c r="DP63"/>
  <c r="DI64"/>
  <c r="DJ64"/>
  <c r="DK64"/>
  <c r="DM64"/>
  <c r="DN64"/>
  <c r="DO64"/>
  <c r="DP64"/>
  <c r="DI65"/>
  <c r="DJ65"/>
  <c r="DK65"/>
  <c r="DM65"/>
  <c r="DN65"/>
  <c r="DO65"/>
  <c r="DP65"/>
  <c r="DI66"/>
  <c r="DJ66"/>
  <c r="DK66"/>
  <c r="DM66"/>
  <c r="DN66"/>
  <c r="DO66"/>
  <c r="DP66"/>
  <c r="DI67"/>
  <c r="DJ67"/>
  <c r="DK67"/>
  <c r="DM67"/>
  <c r="DN67"/>
  <c r="DO67"/>
  <c r="DP67"/>
  <c r="CB85"/>
  <c r="CG85"/>
  <c r="CB86"/>
  <c r="CG86"/>
  <c r="CB87"/>
  <c r="CG87"/>
  <c r="CB88"/>
  <c r="CG88"/>
  <c r="CB89"/>
  <c r="CG89"/>
  <c r="CB90"/>
  <c r="CG90"/>
  <c r="CB91"/>
  <c r="CG91"/>
  <c r="CB92"/>
  <c r="CG92"/>
  <c r="CB93"/>
  <c r="CG93"/>
  <c r="CB72"/>
  <c r="CG72"/>
  <c r="CB73"/>
  <c r="CG73"/>
  <c r="CB74"/>
  <c r="CG74"/>
  <c r="CB75"/>
  <c r="CG75"/>
  <c r="CB76"/>
  <c r="CG76"/>
  <c r="CB77"/>
  <c r="CG77"/>
  <c r="CB78"/>
  <c r="CG78"/>
  <c r="CB79"/>
  <c r="CG79"/>
  <c r="CB80"/>
  <c r="CG80"/>
  <c r="CB59"/>
  <c r="CG59"/>
  <c r="CB60"/>
  <c r="CG60"/>
  <c r="CB61"/>
  <c r="CG61"/>
  <c r="CB62"/>
  <c r="CG62"/>
  <c r="CB63"/>
  <c r="CG63"/>
  <c r="CB64"/>
  <c r="CG64"/>
  <c r="CB65"/>
  <c r="CD68"/>
  <c r="CG65"/>
  <c r="CB66"/>
  <c r="CG66"/>
  <c r="CB67"/>
  <c r="CG67"/>
  <c r="CC68"/>
  <c r="CE68"/>
  <c r="CF68"/>
  <c r="S241" i="30" s="1"/>
  <c r="CF69" i="13"/>
  <c r="CF70"/>
  <c r="CF81"/>
  <c r="S245" i="30" s="1"/>
  <c r="CF82" i="13"/>
  <c r="CF83"/>
  <c r="CF94"/>
  <c r="S249" i="30" s="1"/>
  <c r="CF95" i="13"/>
  <c r="CF96"/>
  <c r="BA85"/>
  <c r="BB85"/>
  <c r="BC85"/>
  <c r="BA86"/>
  <c r="BB86"/>
  <c r="BC86"/>
  <c r="BA87"/>
  <c r="BB87"/>
  <c r="BC87"/>
  <c r="BA88"/>
  <c r="BB88"/>
  <c r="BC88"/>
  <c r="BA89"/>
  <c r="BB89"/>
  <c r="BC89"/>
  <c r="BA90"/>
  <c r="BB90"/>
  <c r="BC90"/>
  <c r="BA91"/>
  <c r="BB91"/>
  <c r="BC91"/>
  <c r="BA92"/>
  <c r="BB92"/>
  <c r="BC92"/>
  <c r="BA93"/>
  <c r="BB93"/>
  <c r="BC93"/>
  <c r="BA72"/>
  <c r="BB72"/>
  <c r="BC72"/>
  <c r="BA73"/>
  <c r="BB73"/>
  <c r="BC73"/>
  <c r="BA74"/>
  <c r="BB74"/>
  <c r="BC74"/>
  <c r="BA75"/>
  <c r="BB75"/>
  <c r="BC75"/>
  <c r="BA76"/>
  <c r="BB76"/>
  <c r="BC76"/>
  <c r="BA77"/>
  <c r="BB77"/>
  <c r="BC77"/>
  <c r="BA78"/>
  <c r="BB78"/>
  <c r="BC78"/>
  <c r="BA79"/>
  <c r="BB79"/>
  <c r="BC79"/>
  <c r="BA80"/>
  <c r="BB80"/>
  <c r="BC80"/>
  <c r="BA59"/>
  <c r="BB59"/>
  <c r="BC59"/>
  <c r="BA60"/>
  <c r="BB60"/>
  <c r="BC60"/>
  <c r="BA61"/>
  <c r="BB61"/>
  <c r="BC61"/>
  <c r="BA62"/>
  <c r="BB62"/>
  <c r="BC62"/>
  <c r="BA63"/>
  <c r="BB63"/>
  <c r="BC63"/>
  <c r="BA64"/>
  <c r="BB64"/>
  <c r="BC64"/>
  <c r="BA65"/>
  <c r="BB65"/>
  <c r="BC65"/>
  <c r="BA66"/>
  <c r="BB66"/>
  <c r="BC66"/>
  <c r="BA67"/>
  <c r="BB67"/>
  <c r="BC67"/>
  <c r="AZ93"/>
  <c r="AZ92"/>
  <c r="AZ91"/>
  <c r="AZ90"/>
  <c r="AZ89"/>
  <c r="AZ88"/>
  <c r="AZ87"/>
  <c r="AZ86"/>
  <c r="AZ85"/>
  <c r="AY82"/>
  <c r="AY83"/>
  <c r="AZ80"/>
  <c r="AZ79"/>
  <c r="AZ78"/>
  <c r="AZ77"/>
  <c r="AZ76"/>
  <c r="AZ75"/>
  <c r="AZ74"/>
  <c r="AZ73"/>
  <c r="AZ72"/>
  <c r="AZ67"/>
  <c r="AZ66"/>
  <c r="AZ65"/>
  <c r="AZ64"/>
  <c r="AZ63"/>
  <c r="AZ62"/>
  <c r="AZ61"/>
  <c r="AZ60"/>
  <c r="AZ59"/>
  <c r="AK74"/>
  <c r="AK72"/>
  <c r="AX81"/>
  <c r="AY81"/>
  <c r="AW81"/>
  <c r="AU59"/>
  <c r="AU60"/>
  <c r="AU61"/>
  <c r="AU62"/>
  <c r="AU63"/>
  <c r="AU64"/>
  <c r="AU65"/>
  <c r="AU66"/>
  <c r="AU67"/>
  <c r="AT68"/>
  <c r="AV68"/>
  <c r="AW68"/>
  <c r="AX68"/>
  <c r="AY68"/>
  <c r="AV81"/>
  <c r="Q85"/>
  <c r="R85"/>
  <c r="U85"/>
  <c r="V94"/>
  <c r="U247" i="30" s="1"/>
  <c r="W96" i="13"/>
  <c r="Q86"/>
  <c r="R86"/>
  <c r="U86"/>
  <c r="Q87"/>
  <c r="R87"/>
  <c r="U87"/>
  <c r="Q88"/>
  <c r="R88"/>
  <c r="U88"/>
  <c r="Q89"/>
  <c r="R89"/>
  <c r="U89"/>
  <c r="Q90"/>
  <c r="R90"/>
  <c r="U90"/>
  <c r="Q91"/>
  <c r="R91"/>
  <c r="U91"/>
  <c r="Q92"/>
  <c r="R92"/>
  <c r="U92"/>
  <c r="Q93"/>
  <c r="R93"/>
  <c r="U93"/>
  <c r="S94"/>
  <c r="T94"/>
  <c r="S247" i="30" s="1"/>
  <c r="W94" i="13"/>
  <c r="V247" i="30" s="1"/>
  <c r="U72" i="13"/>
  <c r="V81"/>
  <c r="U243" i="30" s="1"/>
  <c r="W82" i="13"/>
  <c r="U73"/>
  <c r="U74"/>
  <c r="U75"/>
  <c r="U76"/>
  <c r="U77"/>
  <c r="U78"/>
  <c r="U79"/>
  <c r="U80"/>
  <c r="W81"/>
  <c r="V243" i="30" s="1"/>
  <c r="R72" i="13"/>
  <c r="R73"/>
  <c r="R74"/>
  <c r="R75"/>
  <c r="R76"/>
  <c r="R77"/>
  <c r="R78"/>
  <c r="R79"/>
  <c r="R80"/>
  <c r="S81"/>
  <c r="T81"/>
  <c r="S243" i="30" s="1"/>
  <c r="Q59" i="13"/>
  <c r="R59"/>
  <c r="U59"/>
  <c r="Q60"/>
  <c r="R60"/>
  <c r="U60"/>
  <c r="Q61"/>
  <c r="R61"/>
  <c r="U61"/>
  <c r="Q62"/>
  <c r="R62"/>
  <c r="S68"/>
  <c r="U62"/>
  <c r="Q63"/>
  <c r="R63"/>
  <c r="U63"/>
  <c r="Q64"/>
  <c r="R64"/>
  <c r="T70"/>
  <c r="U64"/>
  <c r="Q65"/>
  <c r="R65"/>
  <c r="U65"/>
  <c r="Q66"/>
  <c r="R66"/>
  <c r="U66"/>
  <c r="Q67"/>
  <c r="R67"/>
  <c r="U67"/>
  <c r="T68"/>
  <c r="S239" i="30" s="1"/>
  <c r="W83" i="13"/>
  <c r="V59"/>
  <c r="W59"/>
  <c r="V60"/>
  <c r="W60"/>
  <c r="V61"/>
  <c r="W61"/>
  <c r="V62"/>
  <c r="W62"/>
  <c r="V63"/>
  <c r="W63"/>
  <c r="T69"/>
  <c r="V83"/>
  <c r="T95"/>
  <c r="V95"/>
  <c r="W95"/>
  <c r="U127" i="33"/>
  <c r="U167" s="1"/>
  <c r="U169" s="1"/>
  <c r="U128"/>
  <c r="U168" s="1"/>
  <c r="T51" i="31"/>
  <c r="T52"/>
  <c r="T35"/>
  <c r="T34"/>
  <c r="O129" i="33"/>
  <c r="P128"/>
  <c r="P127"/>
  <c r="T128" i="11"/>
  <c r="T129"/>
  <c r="R123" i="12"/>
  <c r="S123"/>
  <c r="T123"/>
  <c r="R124"/>
  <c r="S124"/>
  <c r="T124"/>
  <c r="J16" i="40"/>
  <c r="H7"/>
  <c r="J7"/>
  <c r="H8"/>
  <c r="J8"/>
  <c r="H9"/>
  <c r="I9" s="1"/>
  <c r="J9"/>
  <c r="I10"/>
  <c r="J10"/>
  <c r="K10" s="1"/>
  <c r="H11"/>
  <c r="I11" s="1"/>
  <c r="J11"/>
  <c r="H12"/>
  <c r="I12" s="1"/>
  <c r="J12"/>
  <c r="D6"/>
  <c r="U141" i="32"/>
  <c r="V141"/>
  <c r="S130" i="31"/>
  <c r="T130"/>
  <c r="S131"/>
  <c r="T131"/>
  <c r="S128"/>
  <c r="T128"/>
  <c r="S34"/>
  <c r="S35"/>
  <c r="T62" i="10"/>
  <c r="U62"/>
  <c r="T63"/>
  <c r="U63"/>
  <c r="T153" i="5"/>
  <c r="U153"/>
  <c r="T154"/>
  <c r="U154"/>
  <c r="T215" i="11"/>
  <c r="U215"/>
  <c r="T216"/>
  <c r="U216"/>
  <c r="T211" i="12"/>
  <c r="U211"/>
  <c r="T212"/>
  <c r="U212"/>
  <c r="T214" i="4"/>
  <c r="U214"/>
  <c r="T215"/>
  <c r="U215"/>
  <c r="T153" i="6"/>
  <c r="U153"/>
  <c r="T154"/>
  <c r="U154"/>
  <c r="T63"/>
  <c r="T64"/>
  <c r="U159" i="7"/>
  <c r="V159"/>
  <c r="U160"/>
  <c r="V160"/>
  <c r="T159"/>
  <c r="U260" i="4" l="1"/>
  <c r="T155" i="30" s="1"/>
  <c r="Z137" i="7"/>
  <c r="W130" i="4"/>
  <c r="Y132" i="6"/>
  <c r="Y273" i="11"/>
  <c r="Y272" i="4"/>
  <c r="AA273" i="11"/>
  <c r="AA130" i="4"/>
  <c r="Y272" i="6"/>
  <c r="Z132"/>
  <c r="AA137" i="7"/>
  <c r="Z84" i="10"/>
  <c r="Z273" i="11"/>
  <c r="Z212" i="5"/>
  <c r="Z272" i="4"/>
  <c r="AA132" i="6"/>
  <c r="U78" i="10"/>
  <c r="T145" i="30" s="1"/>
  <c r="Y84" i="10"/>
  <c r="AA84"/>
  <c r="T78"/>
  <c r="S145" i="30" s="1"/>
  <c r="T72" i="10"/>
  <c r="S123" i="30" s="1"/>
  <c r="U17" i="29"/>
  <c r="V250" i="4"/>
  <c r="W227"/>
  <c r="V30" i="30" s="1"/>
  <c r="W72" i="10"/>
  <c r="V123" i="30" s="1"/>
  <c r="V67" i="7"/>
  <c r="T14" i="29" s="1"/>
  <c r="AA212" i="5"/>
  <c r="V243" i="11"/>
  <c r="U87" i="30" s="1"/>
  <c r="W225" i="11"/>
  <c r="V21" i="30" s="1"/>
  <c r="T231" i="11"/>
  <c r="S43" i="30" s="1"/>
  <c r="AA272" i="6"/>
  <c r="Z272"/>
  <c r="AA272" i="4"/>
  <c r="W230" i="7"/>
  <c r="U16" i="30" s="1"/>
  <c r="W236" i="7"/>
  <c r="U38" i="30" s="1"/>
  <c r="X230" i="7"/>
  <c r="V16" i="30" s="1"/>
  <c r="X245" i="7"/>
  <c r="V71" i="30" s="1"/>
  <c r="U67" i="7"/>
  <c r="S14" i="29" s="1"/>
  <c r="X137" i="7"/>
  <c r="V132" i="6"/>
  <c r="U242" i="7"/>
  <c r="S60" i="30" s="1"/>
  <c r="U269" i="7"/>
  <c r="U245"/>
  <c r="S71" i="30" s="1"/>
  <c r="V266" i="4"/>
  <c r="U177" i="30" s="1"/>
  <c r="T230" i="4"/>
  <c r="S41" i="30" s="1"/>
  <c r="T224" i="4"/>
  <c r="S19" i="30" s="1"/>
  <c r="V242" i="7"/>
  <c r="T60" i="30" s="1"/>
  <c r="V269" i="7"/>
  <c r="V263"/>
  <c r="T139" i="30" s="1"/>
  <c r="W242" i="7"/>
  <c r="U60" i="30" s="1"/>
  <c r="W269" i="7"/>
  <c r="W263"/>
  <c r="U139" i="30" s="1"/>
  <c r="W234" i="11"/>
  <c r="V54" i="30" s="1"/>
  <c r="U225" i="11"/>
  <c r="T21" i="30" s="1"/>
  <c r="U237" i="11"/>
  <c r="T65" i="30" s="1"/>
  <c r="U194" i="5"/>
  <c r="T130" i="30" s="1"/>
  <c r="U200" i="5"/>
  <c r="T154" i="30" s="1"/>
  <c r="V251" i="4"/>
  <c r="U120" i="30" s="1"/>
  <c r="U271" i="6"/>
  <c r="W132"/>
  <c r="W266" i="4"/>
  <c r="V177" i="30" s="1"/>
  <c r="W260" i="4"/>
  <c r="V155" i="30" s="1"/>
  <c r="U230" i="4"/>
  <c r="T41" i="30" s="1"/>
  <c r="U224" i="4"/>
  <c r="T19" i="30" s="1"/>
  <c r="T254" i="4"/>
  <c r="S131" i="30" s="1"/>
  <c r="V248" i="4"/>
  <c r="U107" i="30" s="1"/>
  <c r="T271" i="6"/>
  <c r="T269" i="12"/>
  <c r="S189" i="30" s="1"/>
  <c r="T257" i="12"/>
  <c r="S143" i="30" s="1"/>
  <c r="U245" i="12"/>
  <c r="T108" i="30" s="1"/>
  <c r="V236" i="7"/>
  <c r="T38" i="30" s="1"/>
  <c r="W251" i="7"/>
  <c r="U93" i="30" s="1"/>
  <c r="V239" i="4"/>
  <c r="U74" i="30" s="1"/>
  <c r="U255" i="11"/>
  <c r="T133" i="30" s="1"/>
  <c r="U243" i="11"/>
  <c r="T87" i="30" s="1"/>
  <c r="V225" i="11"/>
  <c r="U21" i="30" s="1"/>
  <c r="U236" i="7"/>
  <c r="S38" i="30" s="1"/>
  <c r="U239" i="7"/>
  <c r="S49" i="30" s="1"/>
  <c r="V257" i="7"/>
  <c r="T117" i="30" s="1"/>
  <c r="V248" i="7"/>
  <c r="T82" i="30" s="1"/>
  <c r="V245" i="7"/>
  <c r="T71" i="30" s="1"/>
  <c r="U242" i="4"/>
  <c r="T85" i="30" s="1"/>
  <c r="U233" i="4"/>
  <c r="T52" i="30" s="1"/>
  <c r="U224" i="12"/>
  <c r="T31" i="30" s="1"/>
  <c r="T255" i="11"/>
  <c r="S133" i="30" s="1"/>
  <c r="T246" i="11"/>
  <c r="S98" i="30" s="1"/>
  <c r="T243" i="11"/>
  <c r="S87" i="30" s="1"/>
  <c r="T240" i="11"/>
  <c r="S76" i="30" s="1"/>
  <c r="T237" i="11"/>
  <c r="S65" i="30" s="1"/>
  <c r="T234" i="11"/>
  <c r="S54" i="30" s="1"/>
  <c r="U228" i="11"/>
  <c r="T32" i="30" s="1"/>
  <c r="V239" i="7"/>
  <c r="T49" i="30" s="1"/>
  <c r="W245" i="7"/>
  <c r="U71" i="30" s="1"/>
  <c r="V242" i="4"/>
  <c r="U85" i="30" s="1"/>
  <c r="V230" i="4"/>
  <c r="U41" i="30" s="1"/>
  <c r="U252" i="11"/>
  <c r="T122" i="30" s="1"/>
  <c r="U240" i="11"/>
  <c r="T76" i="30" s="1"/>
  <c r="V81" i="10"/>
  <c r="U257" i="7"/>
  <c r="S117" i="30" s="1"/>
  <c r="U251" i="7"/>
  <c r="S93" i="30" s="1"/>
  <c r="U248" i="7"/>
  <c r="S82" i="30" s="1"/>
  <c r="T248" i="4"/>
  <c r="S107" i="30" s="1"/>
  <c r="T245" i="4"/>
  <c r="S96" i="30" s="1"/>
  <c r="T236" i="4"/>
  <c r="S63" i="30" s="1"/>
  <c r="T236" i="12"/>
  <c r="S75" i="30" s="1"/>
  <c r="T233" i="12"/>
  <c r="S64" i="30" s="1"/>
  <c r="T227" i="12"/>
  <c r="S42" i="30" s="1"/>
  <c r="T224" i="12"/>
  <c r="S31" i="30" s="1"/>
  <c r="T267" i="11"/>
  <c r="S179" i="30" s="1"/>
  <c r="T264" i="11"/>
  <c r="S168" i="30" s="1"/>
  <c r="X251" i="7"/>
  <c r="V93" i="30" s="1"/>
  <c r="W248" i="4"/>
  <c r="V107" i="30" s="1"/>
  <c r="W242" i="4"/>
  <c r="V85" i="30" s="1"/>
  <c r="W264" i="11"/>
  <c r="V168" i="30" s="1"/>
  <c r="V249" i="11"/>
  <c r="U109" i="30" s="1"/>
  <c r="X236" i="7"/>
  <c r="V38" i="30" s="1"/>
  <c r="V275" i="7"/>
  <c r="T185" i="30" s="1"/>
  <c r="V272" i="7"/>
  <c r="T174" i="30" s="1"/>
  <c r="X269" i="7"/>
  <c r="X266"/>
  <c r="V163" i="30" s="1"/>
  <c r="V224" i="6"/>
  <c r="U17" i="30" s="1"/>
  <c r="W263" i="4"/>
  <c r="V166" i="30" s="1"/>
  <c r="T260" i="4"/>
  <c r="S155" i="30" s="1"/>
  <c r="U254" i="4"/>
  <c r="T131" i="30" s="1"/>
  <c r="T242" i="12"/>
  <c r="S97" i="30" s="1"/>
  <c r="U249" i="11"/>
  <c r="T109" i="30" s="1"/>
  <c r="U275" i="7"/>
  <c r="S185" i="30" s="1"/>
  <c r="U272" i="7"/>
  <c r="S174" i="30" s="1"/>
  <c r="V251" i="7"/>
  <c r="T93" i="30" s="1"/>
  <c r="W245" i="4"/>
  <c r="V96" i="30" s="1"/>
  <c r="U269" i="12"/>
  <c r="T189" i="30" s="1"/>
  <c r="U260" i="12"/>
  <c r="T156" i="30" s="1"/>
  <c r="W233" i="12"/>
  <c r="V64" i="30" s="1"/>
  <c r="T249" i="11"/>
  <c r="S109" i="30" s="1"/>
  <c r="W231" i="11"/>
  <c r="V43" i="30" s="1"/>
  <c r="T225" i="11"/>
  <c r="S21" i="30" s="1"/>
  <c r="T81" i="10"/>
  <c r="V72"/>
  <c r="U123" i="30" s="1"/>
  <c r="V276" i="7"/>
  <c r="X275"/>
  <c r="V185" i="30" s="1"/>
  <c r="V260" i="7"/>
  <c r="T128" i="30" s="1"/>
  <c r="X257" i="7"/>
  <c r="V117" i="30" s="1"/>
  <c r="X254" i="7"/>
  <c r="V104" i="30" s="1"/>
  <c r="U266" i="4"/>
  <c r="T177" i="30" s="1"/>
  <c r="U263" i="4"/>
  <c r="T166" i="30" s="1"/>
  <c r="V260" i="4"/>
  <c r="U155" i="30" s="1"/>
  <c r="T242" i="4"/>
  <c r="S85" i="30" s="1"/>
  <c r="U236" i="4"/>
  <c r="T63" i="30" s="1"/>
  <c r="T263" i="12"/>
  <c r="S167" i="30" s="1"/>
  <c r="T260" i="12"/>
  <c r="S156" i="30" s="1"/>
  <c r="U257" i="12"/>
  <c r="T143" i="30" s="1"/>
  <c r="V242" i="12"/>
  <c r="U97" i="30" s="1"/>
  <c r="W249" i="11"/>
  <c r="V109" i="30" s="1"/>
  <c r="W246" i="11"/>
  <c r="V98" i="30" s="1"/>
  <c r="V231" i="11"/>
  <c r="U43" i="30" s="1"/>
  <c r="U72" i="10"/>
  <c r="T123" i="30" s="1"/>
  <c r="T211" i="5"/>
  <c r="U230" i="7"/>
  <c r="S16" i="30" s="1"/>
  <c r="W275" i="7"/>
  <c r="U185" i="30" s="1"/>
  <c r="U263" i="7"/>
  <c r="S139" i="30" s="1"/>
  <c r="U260" i="7"/>
  <c r="S128" i="30" s="1"/>
  <c r="W257" i="7"/>
  <c r="U117" i="30" s="1"/>
  <c r="W254" i="7"/>
  <c r="U104" i="30" s="1"/>
  <c r="T266" i="4"/>
  <c r="S177" i="30" s="1"/>
  <c r="T263" i="4"/>
  <c r="S166" i="30" s="1"/>
  <c r="U248" i="4"/>
  <c r="T107" i="30" s="1"/>
  <c r="U245" i="4"/>
  <c r="T96" i="30" s="1"/>
  <c r="V224" i="4"/>
  <c r="U19" i="30" s="1"/>
  <c r="T251" i="12"/>
  <c r="S121" i="30" s="1"/>
  <c r="V255" i="11"/>
  <c r="U133" i="30" s="1"/>
  <c r="U231" i="11"/>
  <c r="T43" i="30" s="1"/>
  <c r="V78" i="10"/>
  <c r="U145" i="30" s="1"/>
  <c r="U161" i="7"/>
  <c r="S196" i="30" s="1"/>
  <c r="T75" i="10"/>
  <c r="S134" i="30" s="1"/>
  <c r="V245" i="4"/>
  <c r="U96" i="30" s="1"/>
  <c r="T233" i="4"/>
  <c r="S52" i="30" s="1"/>
  <c r="T266" i="12"/>
  <c r="S178" i="30" s="1"/>
  <c r="U263" i="12"/>
  <c r="T167" i="30" s="1"/>
  <c r="T221" i="12"/>
  <c r="S20" i="30" s="1"/>
  <c r="T270" i="11"/>
  <c r="S190" i="30" s="1"/>
  <c r="U267" i="11"/>
  <c r="T179" i="30" s="1"/>
  <c r="T258" i="11"/>
  <c r="S144" i="30" s="1"/>
  <c r="W252" i="11"/>
  <c r="V122" i="30" s="1"/>
  <c r="V240" i="11"/>
  <c r="U76" i="30" s="1"/>
  <c r="T228" i="11"/>
  <c r="S32" i="30" s="1"/>
  <c r="V222" i="7"/>
  <c r="T219" i="30" s="1"/>
  <c r="T216" i="4"/>
  <c r="S199" i="30" s="1"/>
  <c r="V254" i="7"/>
  <c r="T105" i="30" s="1"/>
  <c r="T254" i="12"/>
  <c r="S132" i="30" s="1"/>
  <c r="U234" i="11"/>
  <c r="T54" i="30" s="1"/>
  <c r="U81" i="10"/>
  <c r="W277" i="7"/>
  <c r="V266"/>
  <c r="T163" i="30" s="1"/>
  <c r="U254" i="7"/>
  <c r="S104" i="30" s="1"/>
  <c r="T227" i="4"/>
  <c r="S30" i="30" s="1"/>
  <c r="U63" i="12"/>
  <c r="T18" i="29" s="1"/>
  <c r="U227" i="4"/>
  <c r="T30" i="30" s="1"/>
  <c r="U251" i="12"/>
  <c r="T121" i="30" s="1"/>
  <c r="U185" i="5"/>
  <c r="T95" i="30" s="1"/>
  <c r="U197" i="5"/>
  <c r="T141" i="30" s="1"/>
  <c r="U206" i="5"/>
  <c r="T176" i="30" s="1"/>
  <c r="V233" i="7"/>
  <c r="T27" i="30" s="1"/>
  <c r="U266" i="7"/>
  <c r="S163" i="30" s="1"/>
  <c r="X260" i="7"/>
  <c r="V128" i="30" s="1"/>
  <c r="X248" i="7"/>
  <c r="V82" i="30" s="1"/>
  <c r="U224" i="6"/>
  <c r="T17" i="30" s="1"/>
  <c r="U269" i="4"/>
  <c r="T188" i="30" s="1"/>
  <c r="U239" i="4"/>
  <c r="T74" i="30" s="1"/>
  <c r="W233" i="4"/>
  <c r="V52" i="30" s="1"/>
  <c r="T245" i="12"/>
  <c r="S108" i="30" s="1"/>
  <c r="U242" i="12"/>
  <c r="T97" i="30" s="1"/>
  <c r="V236" i="12"/>
  <c r="U75" i="30" s="1"/>
  <c r="W224" i="12"/>
  <c r="V31" i="30" s="1"/>
  <c r="W258" i="11"/>
  <c r="V144" i="30" s="1"/>
  <c r="V246" i="11"/>
  <c r="U98" i="30" s="1"/>
  <c r="W228" i="11"/>
  <c r="V32" i="30" s="1"/>
  <c r="V230" i="7"/>
  <c r="T16" i="30" s="1"/>
  <c r="U64" i="4"/>
  <c r="T17" i="29" s="1"/>
  <c r="W269" i="4"/>
  <c r="V188" i="30" s="1"/>
  <c r="W257" i="4"/>
  <c r="V142" i="30" s="1"/>
  <c r="W239" i="4"/>
  <c r="V74" i="30" s="1"/>
  <c r="T252" i="11"/>
  <c r="S122" i="30" s="1"/>
  <c r="U233" i="7"/>
  <c r="S27" i="30" s="1"/>
  <c r="X272" i="7"/>
  <c r="V174" i="30" s="1"/>
  <c r="W248" i="7"/>
  <c r="U82" i="30" s="1"/>
  <c r="T224" i="6"/>
  <c r="S17" i="30" s="1"/>
  <c r="T269" i="4"/>
  <c r="S188" i="30" s="1"/>
  <c r="T257" i="4"/>
  <c r="S142" i="30" s="1"/>
  <c r="T239" i="4"/>
  <c r="S74" i="30" s="1"/>
  <c r="T239" i="12"/>
  <c r="S86" i="30" s="1"/>
  <c r="U236" i="12"/>
  <c r="T75" i="30" s="1"/>
  <c r="U246" i="11"/>
  <c r="T98" i="30" s="1"/>
  <c r="U75" i="10"/>
  <c r="T134" i="30" s="1"/>
  <c r="BA96" i="13"/>
  <c r="T82" i="10"/>
  <c r="T261" i="11"/>
  <c r="S157" i="30" s="1"/>
  <c r="T132" i="31"/>
  <c r="T203" i="30" s="1"/>
  <c r="V142" i="32"/>
  <c r="T204" i="30" s="1"/>
  <c r="W263" i="12"/>
  <c r="V167" i="30" s="1"/>
  <c r="U233" i="12"/>
  <c r="T64" i="30" s="1"/>
  <c r="V161" i="7"/>
  <c r="T196" i="30" s="1"/>
  <c r="U155" i="6"/>
  <c r="T197" i="30" s="1"/>
  <c r="U213" i="12"/>
  <c r="T200" i="30" s="1"/>
  <c r="U129" i="33"/>
  <c r="U179" i="5"/>
  <c r="T73" i="30" s="1"/>
  <c r="U266" i="12"/>
  <c r="T178" i="30" s="1"/>
  <c r="U82" i="10"/>
  <c r="T130" i="11"/>
  <c r="S41" i="29" s="1"/>
  <c r="CH81" i="13"/>
  <c r="U245" i="30" s="1"/>
  <c r="CH94" i="13"/>
  <c r="U249" i="30" s="1"/>
  <c r="V239" i="12"/>
  <c r="U86" i="30" s="1"/>
  <c r="U221" i="12"/>
  <c r="T20" i="30" s="1"/>
  <c r="T271" i="11"/>
  <c r="CG81" i="13"/>
  <c r="T245" i="30" s="1"/>
  <c r="T170" i="5"/>
  <c r="S40" i="30" s="1"/>
  <c r="T173" i="5"/>
  <c r="S51" i="30" s="1"/>
  <c r="T179" i="5"/>
  <c r="S73" i="30" s="1"/>
  <c r="U188" i="5"/>
  <c r="T106" i="30" s="1"/>
  <c r="T270" i="4"/>
  <c r="T271" i="12"/>
  <c r="U254"/>
  <c r="T132" i="30" s="1"/>
  <c r="W270" i="11"/>
  <c r="V190" i="30" s="1"/>
  <c r="W255" i="11"/>
  <c r="V133" i="30" s="1"/>
  <c r="W269" i="12"/>
  <c r="V189" i="30" s="1"/>
  <c r="W240" i="11"/>
  <c r="V76" i="30" s="1"/>
  <c r="W243" i="11"/>
  <c r="V87" i="30" s="1"/>
  <c r="X242" i="7"/>
  <c r="V60" i="30" s="1"/>
  <c r="X239" i="7"/>
  <c r="V49" i="30" s="1"/>
  <c r="BA81" i="13"/>
  <c r="T244" i="30" s="1"/>
  <c r="U239" i="12"/>
  <c r="T86" i="30" s="1"/>
  <c r="CH95" i="13"/>
  <c r="CG69"/>
  <c r="CB68"/>
  <c r="CG94"/>
  <c r="T249" i="30" s="1"/>
  <c r="CI70" i="13"/>
  <c r="CI69"/>
  <c r="CI81"/>
  <c r="V245" i="30" s="1"/>
  <c r="CI94" i="13"/>
  <c r="V249" i="30" s="1"/>
  <c r="U95" i="12"/>
  <c r="T29" i="29" s="1"/>
  <c r="U176" i="4"/>
  <c r="T211" i="30" s="1"/>
  <c r="U276" i="7"/>
  <c r="U270" i="12"/>
  <c r="V245"/>
  <c r="U108" i="30" s="1"/>
  <c r="AM10" i="40"/>
  <c r="AZ96" i="13"/>
  <c r="BB68"/>
  <c r="U240" i="30" s="1"/>
  <c r="BC70" i="13"/>
  <c r="BB82"/>
  <c r="BA83"/>
  <c r="U227" i="12"/>
  <c r="T42" i="30" s="1"/>
  <c r="U272" i="11"/>
  <c r="AM12" i="40"/>
  <c r="AM11"/>
  <c r="CH96" i="13"/>
  <c r="CI68"/>
  <c r="V241" i="30" s="1"/>
  <c r="CG70" i="13"/>
  <c r="T38" i="29"/>
  <c r="U258" i="11"/>
  <c r="T144" i="30" s="1"/>
  <c r="X263" i="7"/>
  <c r="V139" i="30" s="1"/>
  <c r="X277" i="7"/>
  <c r="T58" i="31"/>
  <c r="AZ68" i="13"/>
  <c r="S240" i="30" s="1"/>
  <c r="S36" i="31"/>
  <c r="T125" i="12"/>
  <c r="S40" i="29" s="1"/>
  <c r="T53" i="31"/>
  <c r="CG96" i="13"/>
  <c r="CG95"/>
  <c r="CI82"/>
  <c r="CG68"/>
  <c r="T241" i="30" s="1"/>
  <c r="CG83" i="13"/>
  <c r="CH68"/>
  <c r="U241" i="30" s="1"/>
  <c r="V136" i="7"/>
  <c r="W266" i="12"/>
  <c r="V178" i="30" s="1"/>
  <c r="V227" i="12"/>
  <c r="U42" i="30" s="1"/>
  <c r="W267" i="11"/>
  <c r="V179" i="30" s="1"/>
  <c r="W237" i="11"/>
  <c r="V65" i="30" s="1"/>
  <c r="BC95" i="13"/>
  <c r="W236" i="4"/>
  <c r="V63" i="30" s="1"/>
  <c r="U270" i="11"/>
  <c r="T190" i="30" s="1"/>
  <c r="S132" i="31"/>
  <c r="S203" i="30" s="1"/>
  <c r="CI96" i="13"/>
  <c r="CI95"/>
  <c r="CI83"/>
  <c r="CG82"/>
  <c r="V221" i="12"/>
  <c r="U20" i="30" s="1"/>
  <c r="W261" i="11"/>
  <c r="V157" i="30" s="1"/>
  <c r="W78" i="10"/>
  <c r="V145" i="30" s="1"/>
  <c r="W272" i="11"/>
  <c r="W257" i="12"/>
  <c r="V143" i="30" s="1"/>
  <c r="W254" i="12"/>
  <c r="V132" i="30" s="1"/>
  <c r="W251" i="12"/>
  <c r="V121" i="30" s="1"/>
  <c r="W245" i="12"/>
  <c r="V108" i="30" s="1"/>
  <c r="W242" i="12"/>
  <c r="V97" i="30" s="1"/>
  <c r="W239" i="12"/>
  <c r="V86" i="30" s="1"/>
  <c r="W236" i="12"/>
  <c r="V75" i="30" s="1"/>
  <c r="W271" i="12"/>
  <c r="W227"/>
  <c r="V42" i="30" s="1"/>
  <c r="W221" i="12"/>
  <c r="V20" i="30" s="1"/>
  <c r="W254" i="4"/>
  <c r="V131" i="30" s="1"/>
  <c r="W224" i="4"/>
  <c r="V19" i="30" s="1"/>
  <c r="X67" i="7"/>
  <c r="V14" i="29" s="1"/>
  <c r="W224" i="6"/>
  <c r="V17" i="30" s="1"/>
  <c r="W271" i="6"/>
  <c r="W270"/>
  <c r="U257" i="4"/>
  <c r="T142" i="30" s="1"/>
  <c r="X276" i="7"/>
  <c r="X233"/>
  <c r="V27" i="30" s="1"/>
  <c r="P167" i="33"/>
  <c r="T36" i="31"/>
  <c r="AZ83" i="13"/>
  <c r="BC96"/>
  <c r="CH70"/>
  <c r="CH69"/>
  <c r="V131" i="7"/>
  <c r="T36" i="29" s="1"/>
  <c r="T270" i="6"/>
  <c r="W270" i="4"/>
  <c r="W270" i="12"/>
  <c r="W271" i="11"/>
  <c r="V258"/>
  <c r="U144" i="30" s="1"/>
  <c r="W82" i="10"/>
  <c r="W137" i="7"/>
  <c r="AZ94" i="13"/>
  <c r="S248" i="30" s="1"/>
  <c r="BC68" i="13"/>
  <c r="V240" i="30" s="1"/>
  <c r="BA70" i="13"/>
  <c r="U270" i="4"/>
  <c r="W260" i="12"/>
  <c r="V156" i="30" s="1"/>
  <c r="V270" i="11"/>
  <c r="U190" i="30" s="1"/>
  <c r="V264" i="11"/>
  <c r="U168" i="30" s="1"/>
  <c r="W12" i="40"/>
  <c r="P168" i="33"/>
  <c r="V135" i="7"/>
  <c r="U164" i="5"/>
  <c r="T18" i="30" s="1"/>
  <c r="U167" i="5"/>
  <c r="T29" i="30" s="1"/>
  <c r="U170" i="5"/>
  <c r="T40" i="30" s="1"/>
  <c r="V271" i="6"/>
  <c r="V272" s="1"/>
  <c r="V254" i="4"/>
  <c r="U131" i="30" s="1"/>
  <c r="V260" i="12"/>
  <c r="U156" i="30" s="1"/>
  <c r="T270" i="12"/>
  <c r="V254"/>
  <c r="U132" i="30" s="1"/>
  <c r="U271" i="11"/>
  <c r="T65" i="6"/>
  <c r="S15" i="29" s="1"/>
  <c r="U142" i="32"/>
  <c r="S204" i="30" s="1"/>
  <c r="K7" i="40"/>
  <c r="AK7" s="1"/>
  <c r="R81" i="13"/>
  <c r="AU68"/>
  <c r="AZ69"/>
  <c r="AZ82"/>
  <c r="BC94"/>
  <c r="V248" i="30" s="1"/>
  <c r="AZ95" i="13"/>
  <c r="U130" i="6"/>
  <c r="U270"/>
  <c r="U272" s="1"/>
  <c r="V236" i="4"/>
  <c r="U63" i="30" s="1"/>
  <c r="V266" i="12"/>
  <c r="U178" i="30" s="1"/>
  <c r="U264" i="11"/>
  <c r="T168" i="30" s="1"/>
  <c r="V237" i="11"/>
  <c r="U65" i="30" s="1"/>
  <c r="AA8" i="40"/>
  <c r="W8"/>
  <c r="K11"/>
  <c r="AK11" s="1"/>
  <c r="K8"/>
  <c r="AK8" s="1"/>
  <c r="W10"/>
  <c r="S7"/>
  <c r="AW7" s="1"/>
  <c r="K9"/>
  <c r="W7"/>
  <c r="V233" i="12"/>
  <c r="U64" i="30" s="1"/>
  <c r="V228" i="11"/>
  <c r="U32" i="30" s="1"/>
  <c r="V224" i="12"/>
  <c r="U31" i="30" s="1"/>
  <c r="V227" i="4"/>
  <c r="U30" i="30" s="1"/>
  <c r="W233" i="7"/>
  <c r="U27" i="30" s="1"/>
  <c r="V234" i="11"/>
  <c r="U54" i="30" s="1"/>
  <c r="V233" i="4"/>
  <c r="U52" i="30" s="1"/>
  <c r="W67" i="7"/>
  <c r="U14" i="29" s="1"/>
  <c r="W239" i="7"/>
  <c r="U49" i="30" s="1"/>
  <c r="V267" i="11"/>
  <c r="U179" i="30" s="1"/>
  <c r="W272" i="7"/>
  <c r="U174" i="30" s="1"/>
  <c r="V272" i="11"/>
  <c r="V269" i="12"/>
  <c r="U189" i="30" s="1"/>
  <c r="V269" i="4"/>
  <c r="U188" i="30" s="1"/>
  <c r="V261" i="11"/>
  <c r="U157" i="30" s="1"/>
  <c r="U261" i="11"/>
  <c r="T157" i="30" s="1"/>
  <c r="W266" i="7"/>
  <c r="U152" i="30" s="1"/>
  <c r="T155" i="5"/>
  <c r="S198" i="30" s="1"/>
  <c r="U155" i="5"/>
  <c r="T198" i="30" s="1"/>
  <c r="U191" i="5"/>
  <c r="T119" i="30" s="1"/>
  <c r="T197" i="5"/>
  <c r="S141" i="30" s="1"/>
  <c r="T203" i="5"/>
  <c r="S165" i="30" s="1"/>
  <c r="T164" i="5"/>
  <c r="S18" i="30" s="1"/>
  <c r="U176" i="5"/>
  <c r="T62" i="30" s="1"/>
  <c r="U182" i="5"/>
  <c r="T84" i="30" s="1"/>
  <c r="T188" i="5"/>
  <c r="S106" i="30" s="1"/>
  <c r="U173" i="5"/>
  <c r="T51" i="30" s="1"/>
  <c r="V263" i="12"/>
  <c r="U167" i="30" s="1"/>
  <c r="V263" i="4"/>
  <c r="U166" i="30" s="1"/>
  <c r="U251" i="4"/>
  <c r="T120" i="30" s="1"/>
  <c r="T251" i="4"/>
  <c r="S120" i="30" s="1"/>
  <c r="W75" i="10"/>
  <c r="V134" i="30" s="1"/>
  <c r="V252" i="11"/>
  <c r="U122" i="30" s="1"/>
  <c r="V251" i="12"/>
  <c r="U121" i="30" s="1"/>
  <c r="W251" i="4"/>
  <c r="V120" i="30" s="1"/>
  <c r="V82" i="10"/>
  <c r="V75"/>
  <c r="U134" i="30" s="1"/>
  <c r="V270" i="12"/>
  <c r="V270" i="4"/>
  <c r="W260" i="7"/>
  <c r="U128" i="30" s="1"/>
  <c r="V271" i="11"/>
  <c r="V257" i="12"/>
  <c r="U143" i="30" s="1"/>
  <c r="V257" i="4"/>
  <c r="U142" i="30" s="1"/>
  <c r="W276" i="7"/>
  <c r="K12" i="40"/>
  <c r="AK12" s="1"/>
  <c r="BB81" i="13"/>
  <c r="U244" i="30" s="1"/>
  <c r="BB69" i="13"/>
  <c r="U97" i="6"/>
  <c r="T26" i="29" s="1"/>
  <c r="U128" i="12"/>
  <c r="T167" i="5"/>
  <c r="S29" i="30" s="1"/>
  <c r="T191" i="5"/>
  <c r="S119" i="30" s="1"/>
  <c r="U209" i="5"/>
  <c r="T187" i="30" s="1"/>
  <c r="AZ70" i="13"/>
  <c r="BA68"/>
  <c r="T240" i="30" s="1"/>
  <c r="U125" i="12"/>
  <c r="T40" i="29" s="1"/>
  <c r="T182" i="5"/>
  <c r="S84" i="30" s="1"/>
  <c r="V271" i="12"/>
  <c r="Q94" i="13"/>
  <c r="AZ81"/>
  <c r="S244" i="30" s="1"/>
  <c r="BC82" i="13"/>
  <c r="V277" i="7"/>
  <c r="U271" i="12"/>
  <c r="T155" i="6"/>
  <c r="S197" i="30" s="1"/>
  <c r="T213" i="12"/>
  <c r="S200" i="30" s="1"/>
  <c r="BB83" i="13"/>
  <c r="T210" i="5"/>
  <c r="U277" i="7"/>
  <c r="T57" i="31"/>
  <c r="BB70" i="13"/>
  <c r="U203" i="5"/>
  <c r="T165" i="30" s="1"/>
  <c r="W271" i="4"/>
  <c r="U234" i="30"/>
  <c r="S125" i="12"/>
  <c r="T194" i="5"/>
  <c r="S130" i="30" s="1"/>
  <c r="T206" i="5"/>
  <c r="S176" i="30" s="1"/>
  <c r="V271" i="4"/>
  <c r="U217" i="11"/>
  <c r="T201" i="30" s="1"/>
  <c r="U64" i="10"/>
  <c r="T202" i="30" s="1"/>
  <c r="H6" i="40"/>
  <c r="R125" i="12"/>
  <c r="P129" i="33"/>
  <c r="BB95" i="13"/>
  <c r="U65" i="6"/>
  <c r="T15" i="29" s="1"/>
  <c r="U133" i="11"/>
  <c r="U38" i="29"/>
  <c r="T185" i="5"/>
  <c r="S95" i="30" s="1"/>
  <c r="U271" i="4"/>
  <c r="T217" i="11"/>
  <c r="S201" i="30" s="1"/>
  <c r="T64" i="10"/>
  <c r="S202" i="30" s="1"/>
  <c r="BC69" i="13"/>
  <c r="T176" i="5"/>
  <c r="S62" i="30" s="1"/>
  <c r="T200" i="5"/>
  <c r="S154" i="30" s="1"/>
  <c r="T209" i="5"/>
  <c r="S187" i="30" s="1"/>
  <c r="T271" i="4"/>
  <c r="T272" i="11"/>
  <c r="T83" i="10"/>
  <c r="T84" s="1"/>
  <c r="S11" i="40"/>
  <c r="AW11" s="1"/>
  <c r="Z6"/>
  <c r="AA10"/>
  <c r="X6"/>
  <c r="N6"/>
  <c r="O10"/>
  <c r="AI6"/>
  <c r="V6"/>
  <c r="AK10"/>
  <c r="T6"/>
  <c r="W83" i="10"/>
  <c r="V83"/>
  <c r="W11" i="40"/>
  <c r="S8"/>
  <c r="AW8" s="1"/>
  <c r="R6"/>
  <c r="U83" i="10"/>
  <c r="U84" s="1"/>
  <c r="S10" i="40"/>
  <c r="AW10" s="1"/>
  <c r="AA7"/>
  <c r="P6"/>
  <c r="AM7"/>
  <c r="L6"/>
  <c r="S9"/>
  <c r="O9"/>
  <c r="AM8"/>
  <c r="U194" i="4"/>
  <c r="T222" i="30" s="1"/>
  <c r="U216" i="4"/>
  <c r="T199" i="30" s="1"/>
  <c r="T64" i="4"/>
  <c r="S17" i="29" s="1"/>
  <c r="U210" i="5"/>
  <c r="U211"/>
  <c r="V206" i="7"/>
  <c r="T208" i="30" s="1"/>
  <c r="V38" i="29"/>
  <c r="U130" i="11"/>
  <c r="T41" i="29" s="1"/>
  <c r="U134" i="11"/>
  <c r="U99"/>
  <c r="T30" i="29" s="1"/>
  <c r="U129" i="12"/>
  <c r="U125" i="4"/>
  <c r="T39" i="29" s="1"/>
  <c r="U96" i="4"/>
  <c r="T28" i="29" s="1"/>
  <c r="U128" i="4"/>
  <c r="U129"/>
  <c r="U127" i="6"/>
  <c r="T37" i="29" s="1"/>
  <c r="U131" i="6"/>
  <c r="V99" i="7"/>
  <c r="T25" i="29" s="1"/>
  <c r="CH83" i="13"/>
  <c r="CH82"/>
  <c r="V68"/>
  <c r="U239" i="30" s="1"/>
  <c r="U94" i="13"/>
  <c r="T247" i="30" s="1"/>
  <c r="U95" i="13"/>
  <c r="R94"/>
  <c r="V70"/>
  <c r="U82"/>
  <c r="V69"/>
  <c r="W69"/>
  <c r="Q68"/>
  <c r="R68"/>
  <c r="W68"/>
  <c r="V239" i="30" s="1"/>
  <c r="U81" i="13"/>
  <c r="T243" i="30" s="1"/>
  <c r="W70" i="13"/>
  <c r="U68"/>
  <c r="T239" i="30" s="1"/>
  <c r="BA95" i="13"/>
  <c r="BA82"/>
  <c r="BA94"/>
  <c r="T248" i="30" s="1"/>
  <c r="BA69" i="13"/>
  <c r="BB94"/>
  <c r="U248" i="30" s="1"/>
  <c r="BB96" i="13"/>
  <c r="BC81"/>
  <c r="V244" i="30" s="1"/>
  <c r="BC83" i="13"/>
  <c r="U83"/>
  <c r="U70"/>
  <c r="U69"/>
  <c r="U96"/>
  <c r="V96"/>
  <c r="V82"/>
  <c r="T83"/>
  <c r="AP9" i="40" s="1"/>
  <c r="T82" i="13"/>
  <c r="AN9" i="40" s="1"/>
  <c r="T96" i="13"/>
  <c r="J6" i="40"/>
  <c r="T64" i="11"/>
  <c r="T65"/>
  <c r="T62" i="12"/>
  <c r="T61"/>
  <c r="T41" i="10"/>
  <c r="T42"/>
  <c r="T125" i="5"/>
  <c r="T127" s="1"/>
  <c r="T95"/>
  <c r="U95"/>
  <c r="U130" s="1"/>
  <c r="V95"/>
  <c r="V130" s="1"/>
  <c r="W95"/>
  <c r="W130" s="1"/>
  <c r="T96"/>
  <c r="U96"/>
  <c r="U131" s="1"/>
  <c r="V96"/>
  <c r="V131" s="1"/>
  <c r="W96"/>
  <c r="W131" s="1"/>
  <c r="T97" i="11"/>
  <c r="T98"/>
  <c r="T59" i="31" l="1"/>
  <c r="T233" i="30" s="1"/>
  <c r="T234"/>
  <c r="S105"/>
  <c r="T272" i="4"/>
  <c r="V105" i="30"/>
  <c r="T273" i="11"/>
  <c r="U272" i="12"/>
  <c r="T272" i="6"/>
  <c r="U130" i="12"/>
  <c r="T212" i="5"/>
  <c r="T104" i="30"/>
  <c r="U105"/>
  <c r="V152"/>
  <c r="S152"/>
  <c r="T152"/>
  <c r="V137" i="7"/>
  <c r="U272" i="4"/>
  <c r="T272" i="12"/>
  <c r="U132" i="6"/>
  <c r="K6" i="40"/>
  <c r="U273" i="11"/>
  <c r="U135"/>
  <c r="W84" i="10"/>
  <c r="W273" i="11"/>
  <c r="W272" i="12"/>
  <c r="W272" i="4"/>
  <c r="W272" i="6"/>
  <c r="U163" i="30"/>
  <c r="P169" i="33"/>
  <c r="O232" i="30" s="1"/>
  <c r="V273" i="11"/>
  <c r="V132" i="5"/>
  <c r="V84" i="10"/>
  <c r="V272" i="12"/>
  <c r="V272" i="4"/>
  <c r="W132" i="5"/>
  <c r="U132"/>
  <c r="T63" i="12"/>
  <c r="S18" i="29" s="1"/>
  <c r="V97" i="5"/>
  <c r="U27" i="29" s="1"/>
  <c r="T134" i="11"/>
  <c r="T66"/>
  <c r="S19" i="29" s="1"/>
  <c r="T133" i="11"/>
  <c r="T43" i="10"/>
  <c r="S31" i="29" s="1"/>
  <c r="S6" i="40"/>
  <c r="AW6" s="1"/>
  <c r="W97" i="5"/>
  <c r="V27" i="29" s="1"/>
  <c r="W6" i="40"/>
  <c r="AA6"/>
  <c r="O6"/>
  <c r="U212" i="5"/>
  <c r="T131"/>
  <c r="T130"/>
  <c r="U130" i="4"/>
  <c r="S38" i="29"/>
  <c r="U97" i="5"/>
  <c r="T27" i="29" s="1"/>
  <c r="T97" i="5"/>
  <c r="S27" i="29" s="1"/>
  <c r="T99" i="11"/>
  <c r="S30" i="29" s="1"/>
  <c r="T93" i="12"/>
  <c r="T128" s="1"/>
  <c r="T94"/>
  <c r="T129" s="1"/>
  <c r="T123" i="4"/>
  <c r="T124"/>
  <c r="U129" i="7"/>
  <c r="U130"/>
  <c r="T94" i="4"/>
  <c r="T95"/>
  <c r="U98" i="7"/>
  <c r="U97"/>
  <c r="S52" i="31"/>
  <c r="S58" s="1"/>
  <c r="S51"/>
  <c r="S57" s="1"/>
  <c r="T126" i="6"/>
  <c r="T125"/>
  <c r="T96"/>
  <c r="T95"/>
  <c r="T110" i="33"/>
  <c r="U110"/>
  <c r="V110"/>
  <c r="W110"/>
  <c r="T109"/>
  <c r="U109"/>
  <c r="V109"/>
  <c r="W109"/>
  <c r="T90"/>
  <c r="U90"/>
  <c r="V90"/>
  <c r="W90"/>
  <c r="T89"/>
  <c r="U89"/>
  <c r="V89"/>
  <c r="W89"/>
  <c r="T74"/>
  <c r="S73"/>
  <c r="U73"/>
  <c r="V73"/>
  <c r="W73"/>
  <c r="S72"/>
  <c r="U72"/>
  <c r="V72"/>
  <c r="W72"/>
  <c r="T55"/>
  <c r="U55"/>
  <c r="V55"/>
  <c r="W55"/>
  <c r="T54"/>
  <c r="U54"/>
  <c r="V54"/>
  <c r="W54"/>
  <c r="T37"/>
  <c r="U37"/>
  <c r="V37"/>
  <c r="W37"/>
  <c r="T36"/>
  <c r="U36"/>
  <c r="V36"/>
  <c r="W36"/>
  <c r="T22"/>
  <c r="U22"/>
  <c r="U59" s="1"/>
  <c r="V22"/>
  <c r="V59" s="1"/>
  <c r="W22"/>
  <c r="W59" s="1"/>
  <c r="T21"/>
  <c r="U21"/>
  <c r="V21"/>
  <c r="W21"/>
  <c r="W58" s="1"/>
  <c r="T141" i="32"/>
  <c r="U205" i="7"/>
  <c r="U204"/>
  <c r="U221"/>
  <c r="U220"/>
  <c r="T175" i="4"/>
  <c r="T174"/>
  <c r="T193"/>
  <c r="T192"/>
  <c r="S63"/>
  <c r="S62"/>
  <c r="Q52" i="31"/>
  <c r="R52"/>
  <c r="Q51"/>
  <c r="R51"/>
  <c r="R35"/>
  <c r="R34"/>
  <c r="S90" i="33"/>
  <c r="S89"/>
  <c r="R55"/>
  <c r="S55"/>
  <c r="R54"/>
  <c r="S54"/>
  <c r="R37"/>
  <c r="S37"/>
  <c r="R36"/>
  <c r="S36"/>
  <c r="R22"/>
  <c r="S22"/>
  <c r="R21"/>
  <c r="S21"/>
  <c r="P130" i="31"/>
  <c r="Q130"/>
  <c r="R130"/>
  <c r="P131"/>
  <c r="Q131"/>
  <c r="R131"/>
  <c r="Q30" i="39"/>
  <c r="P16" i="41"/>
  <c r="R16"/>
  <c r="R30"/>
  <c r="Q31"/>
  <c r="Q62" i="12"/>
  <c r="Q94"/>
  <c r="Q124"/>
  <c r="Q61"/>
  <c r="Q93"/>
  <c r="Q123"/>
  <c r="Q35" i="41"/>
  <c r="Q36"/>
  <c r="Q37"/>
  <c r="Q41"/>
  <c r="Q42"/>
  <c r="Q43"/>
  <c r="S31"/>
  <c r="U47"/>
  <c r="W46"/>
  <c r="U46"/>
  <c r="V45"/>
  <c r="T45"/>
  <c r="U41"/>
  <c r="W40"/>
  <c r="U40"/>
  <c r="V39"/>
  <c r="T39"/>
  <c r="W35"/>
  <c r="U35"/>
  <c r="W34"/>
  <c r="U34"/>
  <c r="V33"/>
  <c r="T33"/>
  <c r="U33" s="1"/>
  <c r="U31"/>
  <c r="U30"/>
  <c r="W28"/>
  <c r="U28"/>
  <c r="W27"/>
  <c r="U27"/>
  <c r="W26"/>
  <c r="U26"/>
  <c r="W23"/>
  <c r="U23"/>
  <c r="W21"/>
  <c r="U21"/>
  <c r="V20"/>
  <c r="T20"/>
  <c r="U20" s="1"/>
  <c r="U16"/>
  <c r="W15"/>
  <c r="U15"/>
  <c r="V14"/>
  <c r="T14"/>
  <c r="U14" s="1"/>
  <c r="W12"/>
  <c r="U12"/>
  <c r="W11"/>
  <c r="U11"/>
  <c r="W10"/>
  <c r="U10"/>
  <c r="W8"/>
  <c r="U8"/>
  <c r="W7"/>
  <c r="U7"/>
  <c r="V6"/>
  <c r="T6"/>
  <c r="U6" s="1"/>
  <c r="AE37" i="40"/>
  <c r="AC37"/>
  <c r="AG34"/>
  <c r="AG35"/>
  <c r="AG40"/>
  <c r="AG41"/>
  <c r="AG46"/>
  <c r="AG47"/>
  <c r="Q62" i="4"/>
  <c r="R62"/>
  <c r="R63"/>
  <c r="AG27" i="40"/>
  <c r="AG29"/>
  <c r="AG30"/>
  <c r="AG31"/>
  <c r="AI21"/>
  <c r="AI23"/>
  <c r="AF14"/>
  <c r="S141" i="32"/>
  <c r="R141"/>
  <c r="Q141"/>
  <c r="O58" i="31"/>
  <c r="O57"/>
  <c r="O53"/>
  <c r="AI15" i="40"/>
  <c r="AJ15"/>
  <c r="AL15"/>
  <c r="AJ16"/>
  <c r="AL16"/>
  <c r="AJ17"/>
  <c r="AL17"/>
  <c r="AJ18"/>
  <c r="AL18"/>
  <c r="AJ21"/>
  <c r="AL21"/>
  <c r="AJ22"/>
  <c r="AL22"/>
  <c r="AJ23"/>
  <c r="AL23"/>
  <c r="AM23" s="1"/>
  <c r="AI26"/>
  <c r="AJ26"/>
  <c r="AL26"/>
  <c r="AI27"/>
  <c r="AJ27"/>
  <c r="AL27"/>
  <c r="AI28"/>
  <c r="AJ28"/>
  <c r="AL28"/>
  <c r="AI29"/>
  <c r="AJ29"/>
  <c r="AL29"/>
  <c r="AJ30"/>
  <c r="AL30"/>
  <c r="AJ31"/>
  <c r="AL31"/>
  <c r="AI34"/>
  <c r="AJ34"/>
  <c r="AL34"/>
  <c r="AI35"/>
  <c r="AJ35"/>
  <c r="AL35"/>
  <c r="AJ36"/>
  <c r="AL36"/>
  <c r="AI40"/>
  <c r="AJ40"/>
  <c r="AL40"/>
  <c r="AJ41"/>
  <c r="AL41"/>
  <c r="AI46"/>
  <c r="AJ46"/>
  <c r="AL46"/>
  <c r="AJ47"/>
  <c r="AJ48"/>
  <c r="AL48"/>
  <c r="AJ49"/>
  <c r="AM49" s="1"/>
  <c r="N73" i="33"/>
  <c r="P73"/>
  <c r="N72"/>
  <c r="P72"/>
  <c r="P90"/>
  <c r="P89"/>
  <c r="P110"/>
  <c r="N109"/>
  <c r="P109"/>
  <c r="R110"/>
  <c r="S110"/>
  <c r="X110"/>
  <c r="X115" s="1"/>
  <c r="Y110"/>
  <c r="Y115" s="1"/>
  <c r="Z110"/>
  <c r="AA110"/>
  <c r="AA115" s="1"/>
  <c r="AB115"/>
  <c r="R109"/>
  <c r="S109"/>
  <c r="X109"/>
  <c r="Y109"/>
  <c r="AA109"/>
  <c r="R90"/>
  <c r="R89"/>
  <c r="R73"/>
  <c r="R72"/>
  <c r="Q55"/>
  <c r="Q54"/>
  <c r="Q34" i="31"/>
  <c r="Q35"/>
  <c r="H47" i="41"/>
  <c r="I47" s="1"/>
  <c r="K9"/>
  <c r="G17"/>
  <c r="G18"/>
  <c r="G12"/>
  <c r="D46"/>
  <c r="E46" s="1"/>
  <c r="F46"/>
  <c r="D47"/>
  <c r="F47"/>
  <c r="I46"/>
  <c r="I49"/>
  <c r="I40"/>
  <c r="I31"/>
  <c r="I18"/>
  <c r="I9"/>
  <c r="K46"/>
  <c r="P49"/>
  <c r="Q49" s="1"/>
  <c r="S42"/>
  <c r="S43"/>
  <c r="S37"/>
  <c r="Q178" i="11"/>
  <c r="P55" i="33"/>
  <c r="P37"/>
  <c r="N22"/>
  <c r="P22"/>
  <c r="M21"/>
  <c r="N21"/>
  <c r="P21"/>
  <c r="P36"/>
  <c r="N54"/>
  <c r="P54"/>
  <c r="M54"/>
  <c r="M56" s="1"/>
  <c r="L54"/>
  <c r="M55"/>
  <c r="N55"/>
  <c r="S36" i="41"/>
  <c r="U39"/>
  <c r="AH39" i="40"/>
  <c r="AH33"/>
  <c r="AH25"/>
  <c r="AH20"/>
  <c r="AH45"/>
  <c r="AF45"/>
  <c r="AF39"/>
  <c r="AF33"/>
  <c r="AF25"/>
  <c r="AF20"/>
  <c r="AH14"/>
  <c r="AI14" s="1"/>
  <c r="H48" i="41"/>
  <c r="J45"/>
  <c r="C45"/>
  <c r="J43"/>
  <c r="H43"/>
  <c r="I43" s="1"/>
  <c r="J42"/>
  <c r="H42"/>
  <c r="I42" s="1"/>
  <c r="D42"/>
  <c r="G42" s="1"/>
  <c r="J41"/>
  <c r="H41"/>
  <c r="I41" s="1"/>
  <c r="F41"/>
  <c r="D41"/>
  <c r="E41" s="1"/>
  <c r="F40"/>
  <c r="D40"/>
  <c r="C39"/>
  <c r="J37"/>
  <c r="H37"/>
  <c r="I37" s="1"/>
  <c r="J36"/>
  <c r="H36"/>
  <c r="F36"/>
  <c r="D36"/>
  <c r="E36" s="1"/>
  <c r="J35"/>
  <c r="H35"/>
  <c r="I35" s="1"/>
  <c r="F35"/>
  <c r="D35"/>
  <c r="E35" s="1"/>
  <c r="J34"/>
  <c r="H34"/>
  <c r="I34" s="1"/>
  <c r="F34"/>
  <c r="D34"/>
  <c r="D33" s="1"/>
  <c r="C33"/>
  <c r="J31"/>
  <c r="J30"/>
  <c r="H30"/>
  <c r="I30" s="1"/>
  <c r="F30"/>
  <c r="D30"/>
  <c r="E30" s="1"/>
  <c r="J29"/>
  <c r="H29"/>
  <c r="I29" s="1"/>
  <c r="F29"/>
  <c r="G29" s="1"/>
  <c r="E29"/>
  <c r="H28"/>
  <c r="F28"/>
  <c r="D28"/>
  <c r="C28"/>
  <c r="J27"/>
  <c r="H27"/>
  <c r="I27" s="1"/>
  <c r="F27"/>
  <c r="D27"/>
  <c r="E27" s="1"/>
  <c r="J26"/>
  <c r="H26"/>
  <c r="F26"/>
  <c r="D26"/>
  <c r="C26"/>
  <c r="J23"/>
  <c r="H23"/>
  <c r="F23"/>
  <c r="D23"/>
  <c r="C23"/>
  <c r="Q23" s="1"/>
  <c r="J22"/>
  <c r="H22"/>
  <c r="F22"/>
  <c r="D22"/>
  <c r="C22"/>
  <c r="J21"/>
  <c r="H21"/>
  <c r="F21"/>
  <c r="D21"/>
  <c r="C21"/>
  <c r="J17"/>
  <c r="H17"/>
  <c r="I17" s="1"/>
  <c r="J16"/>
  <c r="H16"/>
  <c r="F16"/>
  <c r="D16"/>
  <c r="C16"/>
  <c r="J15"/>
  <c r="H15"/>
  <c r="F15"/>
  <c r="D15"/>
  <c r="C15"/>
  <c r="H12"/>
  <c r="K12" s="1"/>
  <c r="H11"/>
  <c r="I11" s="1"/>
  <c r="D11"/>
  <c r="G11" s="1"/>
  <c r="J10"/>
  <c r="H10"/>
  <c r="I10" s="1"/>
  <c r="F10"/>
  <c r="D10"/>
  <c r="E10" s="1"/>
  <c r="F9"/>
  <c r="D9"/>
  <c r="J8"/>
  <c r="H8"/>
  <c r="F8"/>
  <c r="C8"/>
  <c r="E8" s="1"/>
  <c r="J7"/>
  <c r="H7"/>
  <c r="F7"/>
  <c r="G7" s="1"/>
  <c r="C7"/>
  <c r="E7" s="1"/>
  <c r="P48"/>
  <c r="Q48" s="1"/>
  <c r="Q213" i="6"/>
  <c r="Q210"/>
  <c r="Q207"/>
  <c r="K40" i="41"/>
  <c r="P52" i="31"/>
  <c r="P51"/>
  <c r="P35"/>
  <c r="P34"/>
  <c r="Q89" i="33"/>
  <c r="Q143"/>
  <c r="Q145" s="1"/>
  <c r="Q128"/>
  <c r="Q127"/>
  <c r="Q109"/>
  <c r="Q110"/>
  <c r="Q90"/>
  <c r="Q73"/>
  <c r="Q72"/>
  <c r="Q37"/>
  <c r="Q36"/>
  <c r="Q22"/>
  <c r="Q21"/>
  <c r="V49" i="40"/>
  <c r="T49"/>
  <c r="U49" s="1"/>
  <c r="K49"/>
  <c r="I49"/>
  <c r="F49"/>
  <c r="D49"/>
  <c r="E49" s="1"/>
  <c r="X48"/>
  <c r="Y48" s="1"/>
  <c r="V48"/>
  <c r="T48"/>
  <c r="U48" s="1"/>
  <c r="R48"/>
  <c r="P48"/>
  <c r="Q48" s="1"/>
  <c r="O48"/>
  <c r="M48"/>
  <c r="K48"/>
  <c r="I48"/>
  <c r="F48"/>
  <c r="D48"/>
  <c r="E48" s="1"/>
  <c r="AB47"/>
  <c r="Y47"/>
  <c r="P47"/>
  <c r="Q47" s="1"/>
  <c r="N47"/>
  <c r="L47"/>
  <c r="M47" s="1"/>
  <c r="J47"/>
  <c r="H47"/>
  <c r="I47" s="1"/>
  <c r="F47"/>
  <c r="D47"/>
  <c r="E47" s="1"/>
  <c r="V46"/>
  <c r="T46"/>
  <c r="U46" s="1"/>
  <c r="R46"/>
  <c r="P46"/>
  <c r="Q46" s="1"/>
  <c r="N46"/>
  <c r="L46"/>
  <c r="M46" s="1"/>
  <c r="J46"/>
  <c r="H46"/>
  <c r="F46"/>
  <c r="D46"/>
  <c r="E46" s="1"/>
  <c r="C45"/>
  <c r="Z43"/>
  <c r="X43"/>
  <c r="J43"/>
  <c r="H43"/>
  <c r="I43" s="1"/>
  <c r="F43"/>
  <c r="D43"/>
  <c r="E43" s="1"/>
  <c r="Z42"/>
  <c r="X42"/>
  <c r="R42"/>
  <c r="P42"/>
  <c r="Q42" s="1"/>
  <c r="L42"/>
  <c r="O42" s="1"/>
  <c r="J42"/>
  <c r="H42"/>
  <c r="I42" s="1"/>
  <c r="F42"/>
  <c r="D42"/>
  <c r="E42" s="1"/>
  <c r="AD41"/>
  <c r="AB41"/>
  <c r="Z41"/>
  <c r="X41"/>
  <c r="R41"/>
  <c r="P41"/>
  <c r="Q41" s="1"/>
  <c r="N41"/>
  <c r="L41"/>
  <c r="M41" s="1"/>
  <c r="J41"/>
  <c r="H41"/>
  <c r="I41" s="1"/>
  <c r="F41"/>
  <c r="D41"/>
  <c r="E41" s="1"/>
  <c r="Z40"/>
  <c r="X40"/>
  <c r="Y40" s="1"/>
  <c r="V40"/>
  <c r="V39" s="1"/>
  <c r="T40"/>
  <c r="T39" s="1"/>
  <c r="R40"/>
  <c r="P40"/>
  <c r="Q40" s="1"/>
  <c r="N40"/>
  <c r="L40"/>
  <c r="M40" s="1"/>
  <c r="J40"/>
  <c r="H40"/>
  <c r="F40"/>
  <c r="D40"/>
  <c r="E40" s="1"/>
  <c r="C39"/>
  <c r="Z37"/>
  <c r="X37"/>
  <c r="J37"/>
  <c r="H37"/>
  <c r="I37" s="1"/>
  <c r="F37"/>
  <c r="D37"/>
  <c r="E37" s="1"/>
  <c r="AD36"/>
  <c r="AB36"/>
  <c r="AC36" s="1"/>
  <c r="Z36"/>
  <c r="X36"/>
  <c r="P36"/>
  <c r="S36" s="1"/>
  <c r="N36"/>
  <c r="L36"/>
  <c r="M36" s="1"/>
  <c r="J36"/>
  <c r="H36"/>
  <c r="I36" s="1"/>
  <c r="F36"/>
  <c r="D36"/>
  <c r="E36" s="1"/>
  <c r="AD35"/>
  <c r="AB35"/>
  <c r="AC35" s="1"/>
  <c r="Z35"/>
  <c r="X35"/>
  <c r="Y35" s="1"/>
  <c r="N35"/>
  <c r="L35"/>
  <c r="M35" s="1"/>
  <c r="J35"/>
  <c r="H35"/>
  <c r="I35" s="1"/>
  <c r="F35"/>
  <c r="D35"/>
  <c r="E35" s="1"/>
  <c r="Z34"/>
  <c r="X34"/>
  <c r="Y34" s="1"/>
  <c r="V34"/>
  <c r="V33" s="1"/>
  <c r="T34"/>
  <c r="T33" s="1"/>
  <c r="R34"/>
  <c r="R33" s="1"/>
  <c r="P34"/>
  <c r="Q34" s="1"/>
  <c r="N34"/>
  <c r="L34"/>
  <c r="L33" s="1"/>
  <c r="J34"/>
  <c r="H34"/>
  <c r="I34" s="1"/>
  <c r="F34"/>
  <c r="D34"/>
  <c r="E34" s="1"/>
  <c r="C33"/>
  <c r="AD31"/>
  <c r="AB31"/>
  <c r="Z31"/>
  <c r="X31"/>
  <c r="J31"/>
  <c r="H31"/>
  <c r="I31" s="1"/>
  <c r="F31"/>
  <c r="D31"/>
  <c r="E31" s="1"/>
  <c r="AD30"/>
  <c r="Z30"/>
  <c r="X30"/>
  <c r="R30"/>
  <c r="P30"/>
  <c r="Q30" s="1"/>
  <c r="N30"/>
  <c r="L30"/>
  <c r="M30" s="1"/>
  <c r="J30"/>
  <c r="H30"/>
  <c r="I30" s="1"/>
  <c r="F30"/>
  <c r="D30"/>
  <c r="E30" s="1"/>
  <c r="Z29"/>
  <c r="X29"/>
  <c r="R29"/>
  <c r="P29"/>
  <c r="Q29" s="1"/>
  <c r="N29"/>
  <c r="O29" s="1"/>
  <c r="M29"/>
  <c r="J29"/>
  <c r="K29" s="1"/>
  <c r="I29"/>
  <c r="F29"/>
  <c r="D29"/>
  <c r="E29" s="1"/>
  <c r="X28"/>
  <c r="R28"/>
  <c r="P28"/>
  <c r="N28"/>
  <c r="L28"/>
  <c r="J28"/>
  <c r="H28"/>
  <c r="F28"/>
  <c r="D28"/>
  <c r="C28"/>
  <c r="Z27"/>
  <c r="X27"/>
  <c r="Y27" s="1"/>
  <c r="V27"/>
  <c r="T27"/>
  <c r="U27" s="1"/>
  <c r="R27"/>
  <c r="P27"/>
  <c r="N27"/>
  <c r="L27"/>
  <c r="M27" s="1"/>
  <c r="J27"/>
  <c r="H27"/>
  <c r="I27" s="1"/>
  <c r="F27"/>
  <c r="D27"/>
  <c r="E27" s="1"/>
  <c r="Z26"/>
  <c r="X26"/>
  <c r="V26"/>
  <c r="T26"/>
  <c r="R26"/>
  <c r="P26"/>
  <c r="N26"/>
  <c r="L26"/>
  <c r="J26"/>
  <c r="H26"/>
  <c r="F26"/>
  <c r="D26"/>
  <c r="C26"/>
  <c r="AG26" s="1"/>
  <c r="AD23"/>
  <c r="AB23"/>
  <c r="Z23"/>
  <c r="X23"/>
  <c r="R23"/>
  <c r="P23"/>
  <c r="N23"/>
  <c r="L23"/>
  <c r="J23"/>
  <c r="H23"/>
  <c r="F23"/>
  <c r="D23"/>
  <c r="C23"/>
  <c r="AG23" s="1"/>
  <c r="Z22"/>
  <c r="X22"/>
  <c r="R22"/>
  <c r="P22"/>
  <c r="N22"/>
  <c r="L22"/>
  <c r="J22"/>
  <c r="H22"/>
  <c r="F22"/>
  <c r="D22"/>
  <c r="C22"/>
  <c r="Z21"/>
  <c r="X21"/>
  <c r="V21"/>
  <c r="V20" s="1"/>
  <c r="T21"/>
  <c r="T20" s="1"/>
  <c r="R21"/>
  <c r="P21"/>
  <c r="N21"/>
  <c r="L21"/>
  <c r="J21"/>
  <c r="H21"/>
  <c r="F21"/>
  <c r="D21"/>
  <c r="C21"/>
  <c r="AG21" s="1"/>
  <c r="Z18"/>
  <c r="X18"/>
  <c r="V18"/>
  <c r="T18"/>
  <c r="U18" s="1"/>
  <c r="K18"/>
  <c r="I18"/>
  <c r="F18"/>
  <c r="D18"/>
  <c r="E18" s="1"/>
  <c r="Z17"/>
  <c r="X17"/>
  <c r="V17"/>
  <c r="T17"/>
  <c r="U17" s="1"/>
  <c r="R17"/>
  <c r="P17"/>
  <c r="Q17" s="1"/>
  <c r="O17"/>
  <c r="M17"/>
  <c r="K17"/>
  <c r="I17"/>
  <c r="F17"/>
  <c r="D17"/>
  <c r="E17" s="1"/>
  <c r="AD16"/>
  <c r="AB16"/>
  <c r="Z16"/>
  <c r="X16"/>
  <c r="V16"/>
  <c r="T16"/>
  <c r="R16"/>
  <c r="P16"/>
  <c r="N16"/>
  <c r="L16"/>
  <c r="H16"/>
  <c r="K16" s="1"/>
  <c r="F16"/>
  <c r="D16"/>
  <c r="C16"/>
  <c r="AG16" s="1"/>
  <c r="Z15"/>
  <c r="X15"/>
  <c r="V15"/>
  <c r="T15"/>
  <c r="R15"/>
  <c r="P15"/>
  <c r="N15"/>
  <c r="L15"/>
  <c r="J15"/>
  <c r="J14" s="1"/>
  <c r="H15"/>
  <c r="F15"/>
  <c r="D15"/>
  <c r="C15"/>
  <c r="G12"/>
  <c r="E12"/>
  <c r="G11"/>
  <c r="Y11" s="1"/>
  <c r="E11"/>
  <c r="G10"/>
  <c r="E10"/>
  <c r="G9"/>
  <c r="E9"/>
  <c r="G8"/>
  <c r="C8"/>
  <c r="G7"/>
  <c r="C7"/>
  <c r="M7" s="1"/>
  <c r="F6"/>
  <c r="G6" s="1"/>
  <c r="AA46"/>
  <c r="Y46"/>
  <c r="Z45"/>
  <c r="P127" i="39"/>
  <c r="P126"/>
  <c r="P125"/>
  <c r="P124"/>
  <c r="P123"/>
  <c r="P122"/>
  <c r="P118"/>
  <c r="P117"/>
  <c r="P116"/>
  <c r="P115"/>
  <c r="P114"/>
  <c r="P113"/>
  <c r="P109"/>
  <c r="P108"/>
  <c r="P107"/>
  <c r="P106"/>
  <c r="P105"/>
  <c r="P104"/>
  <c r="P93" i="13"/>
  <c r="P92"/>
  <c r="P91"/>
  <c r="P90"/>
  <c r="P89"/>
  <c r="P88"/>
  <c r="P87"/>
  <c r="P86"/>
  <c r="P85"/>
  <c r="P80"/>
  <c r="P79"/>
  <c r="P78"/>
  <c r="P77"/>
  <c r="P76"/>
  <c r="P75"/>
  <c r="P74"/>
  <c r="P73"/>
  <c r="P72"/>
  <c r="P67"/>
  <c r="P66"/>
  <c r="P65"/>
  <c r="P64"/>
  <c r="P63"/>
  <c r="P62"/>
  <c r="P61"/>
  <c r="P60"/>
  <c r="P59"/>
  <c r="M59"/>
  <c r="O59"/>
  <c r="V84" i="39"/>
  <c r="V66"/>
  <c r="O131" i="31"/>
  <c r="O130"/>
  <c r="R128"/>
  <c r="Q128"/>
  <c r="P128"/>
  <c r="O128"/>
  <c r="K194" i="12"/>
  <c r="K135" i="6"/>
  <c r="O153" i="33"/>
  <c r="O154"/>
  <c r="O155"/>
  <c r="O156"/>
  <c r="O157"/>
  <c r="O158"/>
  <c r="O159"/>
  <c r="O160"/>
  <c r="O161"/>
  <c r="O152"/>
  <c r="A78"/>
  <c r="A31"/>
  <c r="B67" i="6"/>
  <c r="A66" i="4"/>
  <c r="O100" i="33"/>
  <c r="O101"/>
  <c r="O102"/>
  <c r="O103"/>
  <c r="O104"/>
  <c r="O105"/>
  <c r="O106"/>
  <c r="O107"/>
  <c r="O108"/>
  <c r="O99"/>
  <c r="O83"/>
  <c r="O84"/>
  <c r="O85"/>
  <c r="O86"/>
  <c r="O68"/>
  <c r="O69"/>
  <c r="O70"/>
  <c r="O71"/>
  <c r="O67"/>
  <c r="O45"/>
  <c r="O46"/>
  <c r="O47"/>
  <c r="O48"/>
  <c r="O49"/>
  <c r="O50"/>
  <c r="O51"/>
  <c r="O52"/>
  <c r="O53"/>
  <c r="O44"/>
  <c r="O31"/>
  <c r="O32"/>
  <c r="O33"/>
  <c r="O30"/>
  <c r="O17"/>
  <c r="O18"/>
  <c r="O19"/>
  <c r="O20"/>
  <c r="O16"/>
  <c r="P127" i="32"/>
  <c r="P128"/>
  <c r="P129"/>
  <c r="P130"/>
  <c r="P131"/>
  <c r="P132"/>
  <c r="P133"/>
  <c r="P134"/>
  <c r="P135"/>
  <c r="P136"/>
  <c r="P137"/>
  <c r="P138"/>
  <c r="P139"/>
  <c r="P126"/>
  <c r="P81"/>
  <c r="P82"/>
  <c r="P83"/>
  <c r="P84"/>
  <c r="P85"/>
  <c r="P86"/>
  <c r="P87"/>
  <c r="P88"/>
  <c r="P89"/>
  <c r="P90"/>
  <c r="P92"/>
  <c r="P93"/>
  <c r="P95"/>
  <c r="P96"/>
  <c r="P98"/>
  <c r="P99"/>
  <c r="P100"/>
  <c r="P101"/>
  <c r="P102"/>
  <c r="P103"/>
  <c r="P104"/>
  <c r="P105"/>
  <c r="P107"/>
  <c r="P110"/>
  <c r="P114"/>
  <c r="P115"/>
  <c r="P80"/>
  <c r="P64"/>
  <c r="P65"/>
  <c r="P66"/>
  <c r="P67"/>
  <c r="P68"/>
  <c r="P69"/>
  <c r="P70"/>
  <c r="P71"/>
  <c r="P63"/>
  <c r="P43"/>
  <c r="P44"/>
  <c r="P45"/>
  <c r="P46"/>
  <c r="P47"/>
  <c r="P48"/>
  <c r="P49"/>
  <c r="P50"/>
  <c r="P51"/>
  <c r="P42"/>
  <c r="P28"/>
  <c r="P29"/>
  <c r="P30"/>
  <c r="P31"/>
  <c r="P15"/>
  <c r="P16"/>
  <c r="P17"/>
  <c r="P18"/>
  <c r="P14"/>
  <c r="K127"/>
  <c r="K128"/>
  <c r="K129"/>
  <c r="K130"/>
  <c r="K131"/>
  <c r="K132"/>
  <c r="K133"/>
  <c r="K134"/>
  <c r="K135"/>
  <c r="K136"/>
  <c r="K137"/>
  <c r="K138"/>
  <c r="K139"/>
  <c r="K126"/>
  <c r="K81"/>
  <c r="K82"/>
  <c r="N87" i="39" s="1"/>
  <c r="K83" i="32"/>
  <c r="K84"/>
  <c r="K85"/>
  <c r="K86"/>
  <c r="N86" i="39" s="1"/>
  <c r="K87" i="32"/>
  <c r="K88"/>
  <c r="K89"/>
  <c r="K90"/>
  <c r="K92"/>
  <c r="K93"/>
  <c r="K95"/>
  <c r="K96"/>
  <c r="K98"/>
  <c r="K99"/>
  <c r="K100"/>
  <c r="K101"/>
  <c r="K102"/>
  <c r="K103"/>
  <c r="K104"/>
  <c r="K105"/>
  <c r="K107"/>
  <c r="K110"/>
  <c r="K114"/>
  <c r="K115"/>
  <c r="K80"/>
  <c r="K63"/>
  <c r="K64"/>
  <c r="K65"/>
  <c r="K66"/>
  <c r="K67"/>
  <c r="K68"/>
  <c r="K69"/>
  <c r="K70"/>
  <c r="K71"/>
  <c r="K43"/>
  <c r="K44"/>
  <c r="K45"/>
  <c r="K46"/>
  <c r="K47"/>
  <c r="K48"/>
  <c r="K49"/>
  <c r="K50"/>
  <c r="K51"/>
  <c r="K42"/>
  <c r="K28"/>
  <c r="K29"/>
  <c r="K30"/>
  <c r="K31"/>
  <c r="K32"/>
  <c r="K33"/>
  <c r="K27"/>
  <c r="K15"/>
  <c r="K16"/>
  <c r="K17"/>
  <c r="K18"/>
  <c r="K14"/>
  <c r="E80" i="10"/>
  <c r="F80"/>
  <c r="G80"/>
  <c r="H80"/>
  <c r="I80"/>
  <c r="J80"/>
  <c r="K80"/>
  <c r="L80"/>
  <c r="M80"/>
  <c r="N80"/>
  <c r="O80"/>
  <c r="P80"/>
  <c r="Q80"/>
  <c r="R80"/>
  <c r="S80"/>
  <c r="X80"/>
  <c r="X81" s="1"/>
  <c r="D80"/>
  <c r="E79"/>
  <c r="F79"/>
  <c r="F81" s="1"/>
  <c r="G79"/>
  <c r="H79"/>
  <c r="I79"/>
  <c r="J79"/>
  <c r="K79"/>
  <c r="L79"/>
  <c r="M79"/>
  <c r="N79"/>
  <c r="N81" s="1"/>
  <c r="O79"/>
  <c r="P79"/>
  <c r="Q79"/>
  <c r="R79"/>
  <c r="S79"/>
  <c r="D79"/>
  <c r="D81" s="1"/>
  <c r="L169" i="5"/>
  <c r="L168"/>
  <c r="O273" i="7"/>
  <c r="O274"/>
  <c r="O270"/>
  <c r="O271"/>
  <c r="O267"/>
  <c r="O268"/>
  <c r="O264"/>
  <c r="O265"/>
  <c r="O261"/>
  <c r="O262"/>
  <c r="O258"/>
  <c r="O259"/>
  <c r="O255"/>
  <c r="O256"/>
  <c r="O252"/>
  <c r="O253"/>
  <c r="O249"/>
  <c r="O250"/>
  <c r="O246"/>
  <c r="O247"/>
  <c r="O243"/>
  <c r="O244"/>
  <c r="O240"/>
  <c r="O241"/>
  <c r="O237"/>
  <c r="O238"/>
  <c r="O234"/>
  <c r="O235"/>
  <c r="O231"/>
  <c r="O232"/>
  <c r="O229"/>
  <c r="O228"/>
  <c r="O215" i="11"/>
  <c r="O216"/>
  <c r="O153" i="5"/>
  <c r="O154"/>
  <c r="O214" i="4"/>
  <c r="O215"/>
  <c r="O153" i="6"/>
  <c r="O154"/>
  <c r="O159" i="7"/>
  <c r="O160"/>
  <c r="N125" i="6"/>
  <c r="N126"/>
  <c r="O129" i="7"/>
  <c r="O130"/>
  <c r="P65"/>
  <c r="P66"/>
  <c r="O65"/>
  <c r="O66"/>
  <c r="P97"/>
  <c r="P98"/>
  <c r="O97"/>
  <c r="O98"/>
  <c r="N27" i="39"/>
  <c r="CE96" i="13"/>
  <c r="CD96"/>
  <c r="CC96"/>
  <c r="CB96"/>
  <c r="CE83"/>
  <c r="CD83"/>
  <c r="CC83"/>
  <c r="CB83"/>
  <c r="CB70"/>
  <c r="CC70"/>
  <c r="CD70"/>
  <c r="CE70"/>
  <c r="AY96"/>
  <c r="AX96"/>
  <c r="AW96"/>
  <c r="AV96"/>
  <c r="AX83"/>
  <c r="AW83"/>
  <c r="AV83"/>
  <c r="AV70"/>
  <c r="AW70"/>
  <c r="AX70"/>
  <c r="AY70"/>
  <c r="D156" i="5"/>
  <c r="D128"/>
  <c r="D98"/>
  <c r="D66"/>
  <c r="J54" i="33"/>
  <c r="H54"/>
  <c r="F54"/>
  <c r="D54"/>
  <c r="E54"/>
  <c r="G54"/>
  <c r="I54"/>
  <c r="K54"/>
  <c r="C54"/>
  <c r="D36"/>
  <c r="D38" s="1"/>
  <c r="E36"/>
  <c r="F36"/>
  <c r="G36"/>
  <c r="H36"/>
  <c r="I36"/>
  <c r="J36"/>
  <c r="K36"/>
  <c r="L36"/>
  <c r="M36"/>
  <c r="N36"/>
  <c r="C36"/>
  <c r="D21"/>
  <c r="E21"/>
  <c r="F21"/>
  <c r="G21"/>
  <c r="H21"/>
  <c r="I21"/>
  <c r="J21"/>
  <c r="K21"/>
  <c r="L21"/>
  <c r="L58" s="1"/>
  <c r="C21"/>
  <c r="C97" i="13"/>
  <c r="C84"/>
  <c r="C71"/>
  <c r="CE95"/>
  <c r="CD95"/>
  <c r="CC95"/>
  <c r="CB95"/>
  <c r="CE82"/>
  <c r="CD82"/>
  <c r="CC82"/>
  <c r="CB82"/>
  <c r="AY95"/>
  <c r="AX95"/>
  <c r="AW95"/>
  <c r="AV95"/>
  <c r="AX82"/>
  <c r="AW82"/>
  <c r="AV82"/>
  <c r="S95"/>
  <c r="R95"/>
  <c r="Q95"/>
  <c r="S82"/>
  <c r="R82"/>
  <c r="Q82"/>
  <c r="CE69"/>
  <c r="CD69"/>
  <c r="CC69"/>
  <c r="CB69"/>
  <c r="AY69"/>
  <c r="AX69"/>
  <c r="AW69"/>
  <c r="AV69"/>
  <c r="Q69"/>
  <c r="R69"/>
  <c r="S69"/>
  <c r="S96"/>
  <c r="R96"/>
  <c r="Q96"/>
  <c r="S83"/>
  <c r="R83"/>
  <c r="Q83"/>
  <c r="Q70"/>
  <c r="R70"/>
  <c r="S70"/>
  <c r="D63"/>
  <c r="E88" i="39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D99"/>
  <c r="D98"/>
  <c r="D97"/>
  <c r="D96"/>
  <c r="D95"/>
  <c r="D94"/>
  <c r="D93"/>
  <c r="D92"/>
  <c r="D91"/>
  <c r="D90"/>
  <c r="D89"/>
  <c r="D88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E82"/>
  <c r="F82"/>
  <c r="G82"/>
  <c r="H82"/>
  <c r="I82"/>
  <c r="J82"/>
  <c r="K82"/>
  <c r="L82"/>
  <c r="M82"/>
  <c r="N82"/>
  <c r="O82"/>
  <c r="P82"/>
  <c r="Q82"/>
  <c r="R82"/>
  <c r="S82"/>
  <c r="T82"/>
  <c r="U82"/>
  <c r="W82"/>
  <c r="X82"/>
  <c r="Y82"/>
  <c r="Z82"/>
  <c r="AA82"/>
  <c r="AB82"/>
  <c r="AC82"/>
  <c r="AD82"/>
  <c r="AE82"/>
  <c r="E83"/>
  <c r="F83"/>
  <c r="G83"/>
  <c r="H83"/>
  <c r="I83"/>
  <c r="J83"/>
  <c r="K83"/>
  <c r="L83"/>
  <c r="M83"/>
  <c r="N83"/>
  <c r="O83"/>
  <c r="P83"/>
  <c r="Q83"/>
  <c r="R83"/>
  <c r="S83"/>
  <c r="T83"/>
  <c r="U83"/>
  <c r="W83"/>
  <c r="X83"/>
  <c r="Y83"/>
  <c r="Z83"/>
  <c r="AA83"/>
  <c r="AB83"/>
  <c r="AC83"/>
  <c r="AD83"/>
  <c r="AE83"/>
  <c r="E84"/>
  <c r="F84"/>
  <c r="G84"/>
  <c r="H84"/>
  <c r="I84"/>
  <c r="J84"/>
  <c r="K84"/>
  <c r="L84"/>
  <c r="M84"/>
  <c r="N84"/>
  <c r="O84"/>
  <c r="P84"/>
  <c r="Q84"/>
  <c r="R84"/>
  <c r="S84"/>
  <c r="T84"/>
  <c r="U84"/>
  <c r="W84"/>
  <c r="X84"/>
  <c r="Y84"/>
  <c r="Z84"/>
  <c r="AA84"/>
  <c r="AB84"/>
  <c r="AC84"/>
  <c r="AD84"/>
  <c r="AE84"/>
  <c r="E85"/>
  <c r="F85"/>
  <c r="G85"/>
  <c r="H85"/>
  <c r="I85"/>
  <c r="J85"/>
  <c r="K85"/>
  <c r="L85"/>
  <c r="M85"/>
  <c r="O85"/>
  <c r="P85"/>
  <c r="Q85"/>
  <c r="S85"/>
  <c r="T85"/>
  <c r="U85"/>
  <c r="V85"/>
  <c r="W85"/>
  <c r="X85"/>
  <c r="Y85"/>
  <c r="Z85"/>
  <c r="AA85"/>
  <c r="AB85"/>
  <c r="AC85"/>
  <c r="AD85"/>
  <c r="AE85"/>
  <c r="E86"/>
  <c r="F86"/>
  <c r="G86"/>
  <c r="H86"/>
  <c r="I86"/>
  <c r="J86"/>
  <c r="K86"/>
  <c r="L86"/>
  <c r="M86"/>
  <c r="O86"/>
  <c r="P86"/>
  <c r="Q86"/>
  <c r="R86"/>
  <c r="S86"/>
  <c r="T86"/>
  <c r="U86"/>
  <c r="V86"/>
  <c r="W86"/>
  <c r="X86"/>
  <c r="Y86"/>
  <c r="Z86"/>
  <c r="AA86"/>
  <c r="AB86"/>
  <c r="AC86"/>
  <c r="AD86"/>
  <c r="AE86"/>
  <c r="E87"/>
  <c r="F87"/>
  <c r="G87"/>
  <c r="H87"/>
  <c r="I87"/>
  <c r="J87"/>
  <c r="K87"/>
  <c r="L87"/>
  <c r="M87"/>
  <c r="O87"/>
  <c r="P87"/>
  <c r="Q87"/>
  <c r="S87"/>
  <c r="T87"/>
  <c r="U87"/>
  <c r="V87"/>
  <c r="W87"/>
  <c r="X87"/>
  <c r="Y87"/>
  <c r="Z87"/>
  <c r="AA87"/>
  <c r="AB87"/>
  <c r="AC87"/>
  <c r="AD87"/>
  <c r="AE87"/>
  <c r="D81"/>
  <c r="D80"/>
  <c r="D84"/>
  <c r="D83"/>
  <c r="D87"/>
  <c r="D86"/>
  <c r="D85"/>
  <c r="D82"/>
  <c r="D79"/>
  <c r="D78"/>
  <c r="D77"/>
  <c r="D76"/>
  <c r="D75"/>
  <c r="D74"/>
  <c r="D73"/>
  <c r="D72"/>
  <c r="D71"/>
  <c r="D70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E55"/>
  <c r="F55"/>
  <c r="G55"/>
  <c r="H55"/>
  <c r="I55"/>
  <c r="J55"/>
  <c r="K55"/>
  <c r="L55"/>
  <c r="M55"/>
  <c r="N55"/>
  <c r="O55"/>
  <c r="P55"/>
  <c r="R55"/>
  <c r="S55"/>
  <c r="T55"/>
  <c r="U55"/>
  <c r="V55"/>
  <c r="W55"/>
  <c r="X55"/>
  <c r="Y55"/>
  <c r="Z55"/>
  <c r="AA55"/>
  <c r="AB55"/>
  <c r="AC55"/>
  <c r="AD55"/>
  <c r="AE55"/>
  <c r="E56"/>
  <c r="F56"/>
  <c r="G56"/>
  <c r="H56"/>
  <c r="I56"/>
  <c r="J56"/>
  <c r="K56"/>
  <c r="L56"/>
  <c r="M56"/>
  <c r="N56"/>
  <c r="O56"/>
  <c r="P56"/>
  <c r="R56"/>
  <c r="S56"/>
  <c r="T56"/>
  <c r="U56"/>
  <c r="V56"/>
  <c r="W56"/>
  <c r="X56"/>
  <c r="Y56"/>
  <c r="Z56"/>
  <c r="AA56"/>
  <c r="AB56"/>
  <c r="AC56"/>
  <c r="AD56"/>
  <c r="AE56"/>
  <c r="E57"/>
  <c r="F57"/>
  <c r="G57"/>
  <c r="H57"/>
  <c r="I57"/>
  <c r="J57"/>
  <c r="K57"/>
  <c r="L57"/>
  <c r="M57"/>
  <c r="N57"/>
  <c r="O57"/>
  <c r="P57"/>
  <c r="R57"/>
  <c r="S57"/>
  <c r="T57"/>
  <c r="U57"/>
  <c r="V57"/>
  <c r="W57"/>
  <c r="X57"/>
  <c r="Y57"/>
  <c r="Z57"/>
  <c r="AA57"/>
  <c r="AB57"/>
  <c r="AC57"/>
  <c r="AD57"/>
  <c r="AE57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E64"/>
  <c r="F64"/>
  <c r="G64"/>
  <c r="H64"/>
  <c r="I64"/>
  <c r="J64"/>
  <c r="K64"/>
  <c r="L64"/>
  <c r="M64"/>
  <c r="N64"/>
  <c r="O64"/>
  <c r="P64"/>
  <c r="Q64"/>
  <c r="R64"/>
  <c r="S64"/>
  <c r="T64"/>
  <c r="U64"/>
  <c r="W64"/>
  <c r="X64"/>
  <c r="Y64"/>
  <c r="Z64"/>
  <c r="AA64"/>
  <c r="AB64"/>
  <c r="AC64"/>
  <c r="AD64"/>
  <c r="AE64"/>
  <c r="E65"/>
  <c r="F65"/>
  <c r="G65"/>
  <c r="H65"/>
  <c r="I65"/>
  <c r="J65"/>
  <c r="K65"/>
  <c r="L65"/>
  <c r="M65"/>
  <c r="N65"/>
  <c r="O65"/>
  <c r="P65"/>
  <c r="Q65"/>
  <c r="R65"/>
  <c r="S65"/>
  <c r="T65"/>
  <c r="U65"/>
  <c r="W65"/>
  <c r="X65"/>
  <c r="Y65"/>
  <c r="Z65"/>
  <c r="AA65"/>
  <c r="AB65"/>
  <c r="AC65"/>
  <c r="AD65"/>
  <c r="AE65"/>
  <c r="E66"/>
  <c r="F66"/>
  <c r="G66"/>
  <c r="H66"/>
  <c r="I66"/>
  <c r="J66"/>
  <c r="K66"/>
  <c r="L66"/>
  <c r="M66"/>
  <c r="N66"/>
  <c r="O66"/>
  <c r="P66"/>
  <c r="Q66"/>
  <c r="R66"/>
  <c r="S66"/>
  <c r="T66"/>
  <c r="U66"/>
  <c r="W66"/>
  <c r="X66"/>
  <c r="Y66"/>
  <c r="Z66"/>
  <c r="AA66"/>
  <c r="AB66"/>
  <c r="AC66"/>
  <c r="AD66"/>
  <c r="AE66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E25"/>
  <c r="F25"/>
  <c r="G25"/>
  <c r="H25"/>
  <c r="I25"/>
  <c r="J25"/>
  <c r="K25"/>
  <c r="L25"/>
  <c r="M25"/>
  <c r="O25"/>
  <c r="P25"/>
  <c r="Q25"/>
  <c r="R25"/>
  <c r="S25"/>
  <c r="T25"/>
  <c r="U25"/>
  <c r="V25"/>
  <c r="W25"/>
  <c r="X25"/>
  <c r="Y25"/>
  <c r="Z25"/>
  <c r="AA25"/>
  <c r="AB25"/>
  <c r="AC25"/>
  <c r="AD25"/>
  <c r="AE25"/>
  <c r="E26"/>
  <c r="F26"/>
  <c r="G26"/>
  <c r="H26"/>
  <c r="I26"/>
  <c r="J26"/>
  <c r="K26"/>
  <c r="L26"/>
  <c r="M26"/>
  <c r="O26"/>
  <c r="P26"/>
  <c r="Q26"/>
  <c r="R26"/>
  <c r="S26"/>
  <c r="T26"/>
  <c r="U26"/>
  <c r="V26"/>
  <c r="W26"/>
  <c r="X26"/>
  <c r="Y26"/>
  <c r="Z26"/>
  <c r="AA26"/>
  <c r="AB26"/>
  <c r="AC26"/>
  <c r="AD26"/>
  <c r="AE26"/>
  <c r="E27"/>
  <c r="F27"/>
  <c r="G27"/>
  <c r="H27"/>
  <c r="I27"/>
  <c r="J27"/>
  <c r="K27"/>
  <c r="L27"/>
  <c r="M27"/>
  <c r="O27"/>
  <c r="P27"/>
  <c r="Q27"/>
  <c r="R27"/>
  <c r="S27"/>
  <c r="T27"/>
  <c r="U27"/>
  <c r="V27"/>
  <c r="W27"/>
  <c r="X27"/>
  <c r="Y27"/>
  <c r="Z27"/>
  <c r="AA27"/>
  <c r="AB27"/>
  <c r="AC27"/>
  <c r="AD27"/>
  <c r="AE27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E30"/>
  <c r="F30"/>
  <c r="G30"/>
  <c r="H30"/>
  <c r="I30"/>
  <c r="J30"/>
  <c r="K30"/>
  <c r="L30"/>
  <c r="M30"/>
  <c r="N30"/>
  <c r="O30"/>
  <c r="P30"/>
  <c r="R30"/>
  <c r="S30"/>
  <c r="T30"/>
  <c r="U30"/>
  <c r="V30"/>
  <c r="W30"/>
  <c r="X30"/>
  <c r="Y30"/>
  <c r="Z30"/>
  <c r="AA30"/>
  <c r="AB30"/>
  <c r="AC30"/>
  <c r="AD30"/>
  <c r="AE30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D51"/>
  <c r="D50"/>
  <c r="D48"/>
  <c r="D47"/>
  <c r="D45"/>
  <c r="D44"/>
  <c r="D42"/>
  <c r="D41"/>
  <c r="D39"/>
  <c r="D38"/>
  <c r="D49"/>
  <c r="D46"/>
  <c r="D43"/>
  <c r="D40"/>
  <c r="D37"/>
  <c r="D36"/>
  <c r="D35"/>
  <c r="D34"/>
  <c r="D33"/>
  <c r="D32"/>
  <c r="D31"/>
  <c r="D30"/>
  <c r="D29"/>
  <c r="D28"/>
  <c r="D27"/>
  <c r="D26"/>
  <c r="D25"/>
  <c r="O226" i="30"/>
  <c r="Q226"/>
  <c r="R226"/>
  <c r="O215"/>
  <c r="P215"/>
  <c r="R215"/>
  <c r="Q204"/>
  <c r="R204"/>
  <c r="E13" i="39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D24"/>
  <c r="D23"/>
  <c r="D22"/>
  <c r="D21"/>
  <c r="D20"/>
  <c r="D19"/>
  <c r="D18"/>
  <c r="D17"/>
  <c r="D16"/>
  <c r="D15"/>
  <c r="D14"/>
  <c r="D13"/>
  <c r="E10"/>
  <c r="F10"/>
  <c r="G10"/>
  <c r="H10"/>
  <c r="I10"/>
  <c r="J10"/>
  <c r="K10"/>
  <c r="L10"/>
  <c r="M10"/>
  <c r="N10"/>
  <c r="O10"/>
  <c r="P10"/>
  <c r="Q10"/>
  <c r="R10"/>
  <c r="S10"/>
  <c r="T10"/>
  <c r="V10"/>
  <c r="W10"/>
  <c r="X10"/>
  <c r="Y10"/>
  <c r="Z10"/>
  <c r="AA10"/>
  <c r="AB10"/>
  <c r="AC10"/>
  <c r="AD10"/>
  <c r="AE10"/>
  <c r="E11"/>
  <c r="F11"/>
  <c r="G11"/>
  <c r="H11"/>
  <c r="I11"/>
  <c r="J11"/>
  <c r="K11"/>
  <c r="L11"/>
  <c r="M11"/>
  <c r="N11"/>
  <c r="O11"/>
  <c r="P11"/>
  <c r="Q11"/>
  <c r="R11"/>
  <c r="S11"/>
  <c r="T11"/>
  <c r="V11"/>
  <c r="W11"/>
  <c r="X11"/>
  <c r="Y11"/>
  <c r="Z11"/>
  <c r="AA11"/>
  <c r="AB11"/>
  <c r="AC11"/>
  <c r="AD11"/>
  <c r="AE11"/>
  <c r="E12"/>
  <c r="F12"/>
  <c r="G12"/>
  <c r="H12"/>
  <c r="I12"/>
  <c r="J12"/>
  <c r="K12"/>
  <c r="L12"/>
  <c r="M12"/>
  <c r="N12"/>
  <c r="O12"/>
  <c r="P12"/>
  <c r="Q12"/>
  <c r="R12"/>
  <c r="S12"/>
  <c r="T12"/>
  <c r="V12"/>
  <c r="W12"/>
  <c r="X12"/>
  <c r="Y12"/>
  <c r="Z12"/>
  <c r="AA12"/>
  <c r="AB12"/>
  <c r="AC12"/>
  <c r="AD12"/>
  <c r="AE12"/>
  <c r="D12"/>
  <c r="D11"/>
  <c r="D10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D9"/>
  <c r="E6"/>
  <c r="F6"/>
  <c r="G6"/>
  <c r="H6"/>
  <c r="I6"/>
  <c r="J6"/>
  <c r="K6"/>
  <c r="L6"/>
  <c r="M6"/>
  <c r="N6"/>
  <c r="O6"/>
  <c r="P6"/>
  <c r="Q6"/>
  <c r="R6"/>
  <c r="S6"/>
  <c r="T6"/>
  <c r="V6"/>
  <c r="W6"/>
  <c r="X6"/>
  <c r="Y6"/>
  <c r="Z6"/>
  <c r="AA6"/>
  <c r="AB6"/>
  <c r="AC6"/>
  <c r="AD6"/>
  <c r="AE6"/>
  <c r="D6"/>
  <c r="D8"/>
  <c r="D7"/>
  <c r="E5"/>
  <c r="F5"/>
  <c r="G5"/>
  <c r="H5"/>
  <c r="I5"/>
  <c r="J5"/>
  <c r="K5"/>
  <c r="L5"/>
  <c r="M5"/>
  <c r="N5"/>
  <c r="O5"/>
  <c r="P5"/>
  <c r="Q5"/>
  <c r="R5"/>
  <c r="S5"/>
  <c r="T5"/>
  <c r="V5"/>
  <c r="W5"/>
  <c r="X5"/>
  <c r="Y5"/>
  <c r="Z5"/>
  <c r="AA5"/>
  <c r="AB5"/>
  <c r="AC5"/>
  <c r="AD5"/>
  <c r="AE5"/>
  <c r="D5"/>
  <c r="F4"/>
  <c r="G4"/>
  <c r="H4"/>
  <c r="I4"/>
  <c r="J4"/>
  <c r="K4"/>
  <c r="L4"/>
  <c r="M4"/>
  <c r="N4"/>
  <c r="O4"/>
  <c r="P4"/>
  <c r="Q4"/>
  <c r="R4"/>
  <c r="S4"/>
  <c r="T4"/>
  <c r="V4"/>
  <c r="W4"/>
  <c r="X4"/>
  <c r="Y4"/>
  <c r="Z4"/>
  <c r="AA4"/>
  <c r="AB4"/>
  <c r="AC4"/>
  <c r="AD4"/>
  <c r="AE4"/>
  <c r="E4"/>
  <c r="D4"/>
  <c r="Q232" i="30"/>
  <c r="R232"/>
  <c r="D59" i="13"/>
  <c r="C53" i="32"/>
  <c r="C20"/>
  <c r="C35"/>
  <c r="C73"/>
  <c r="E215" i="30"/>
  <c r="C119" i="32"/>
  <c r="C120" s="1"/>
  <c r="C215" i="30" s="1"/>
  <c r="G215"/>
  <c r="C133" i="31"/>
  <c r="D131"/>
  <c r="E131"/>
  <c r="F131"/>
  <c r="G131"/>
  <c r="H131"/>
  <c r="I131"/>
  <c r="J131"/>
  <c r="K131"/>
  <c r="L131"/>
  <c r="M131"/>
  <c r="N131"/>
  <c r="C131"/>
  <c r="D130"/>
  <c r="E130"/>
  <c r="E132" s="1"/>
  <c r="E203" i="30" s="1"/>
  <c r="F130" i="31"/>
  <c r="F132" s="1"/>
  <c r="F203" i="30" s="1"/>
  <c r="G130" i="31"/>
  <c r="H130"/>
  <c r="I130"/>
  <c r="J130"/>
  <c r="K130"/>
  <c r="L130"/>
  <c r="M130"/>
  <c r="M132" s="1"/>
  <c r="M203" i="30" s="1"/>
  <c r="N130" i="31"/>
  <c r="N132" s="1"/>
  <c r="N203" i="30" s="1"/>
  <c r="C130" i="31"/>
  <c r="C52"/>
  <c r="E130" i="7"/>
  <c r="E98"/>
  <c r="E66"/>
  <c r="D42" i="10"/>
  <c r="F63"/>
  <c r="E63"/>
  <c r="E64" s="1"/>
  <c r="D202" i="30" s="1"/>
  <c r="D63" i="10"/>
  <c r="E77"/>
  <c r="F77"/>
  <c r="G77"/>
  <c r="H77"/>
  <c r="I77"/>
  <c r="J77"/>
  <c r="K77"/>
  <c r="L77"/>
  <c r="M77"/>
  <c r="N77"/>
  <c r="O77"/>
  <c r="P77"/>
  <c r="Q77"/>
  <c r="R77"/>
  <c r="S77"/>
  <c r="X77"/>
  <c r="E74"/>
  <c r="F74"/>
  <c r="G74"/>
  <c r="H74"/>
  <c r="I74"/>
  <c r="J74"/>
  <c r="K74"/>
  <c r="L74"/>
  <c r="M74"/>
  <c r="N74"/>
  <c r="O74"/>
  <c r="O83" s="1"/>
  <c r="P74"/>
  <c r="Q74"/>
  <c r="R74"/>
  <c r="S74"/>
  <c r="X74"/>
  <c r="D77"/>
  <c r="D74"/>
  <c r="E71"/>
  <c r="F71"/>
  <c r="G71"/>
  <c r="H71"/>
  <c r="I71"/>
  <c r="J71"/>
  <c r="K71"/>
  <c r="L71"/>
  <c r="M71"/>
  <c r="N71"/>
  <c r="O71"/>
  <c r="P71"/>
  <c r="Q71"/>
  <c r="R71"/>
  <c r="S71"/>
  <c r="X71"/>
  <c r="D71"/>
  <c r="E224" i="11"/>
  <c r="F224"/>
  <c r="G224"/>
  <c r="H224"/>
  <c r="I224"/>
  <c r="J224"/>
  <c r="K224"/>
  <c r="L224"/>
  <c r="L272" s="1"/>
  <c r="M224"/>
  <c r="N224"/>
  <c r="O224"/>
  <c r="P224"/>
  <c r="Q224"/>
  <c r="R224"/>
  <c r="S224"/>
  <c r="X224"/>
  <c r="E227"/>
  <c r="F227"/>
  <c r="G227"/>
  <c r="H227"/>
  <c r="I227"/>
  <c r="J227"/>
  <c r="K227"/>
  <c r="L227"/>
  <c r="M227"/>
  <c r="N227"/>
  <c r="O227"/>
  <c r="P227"/>
  <c r="Q227"/>
  <c r="R227"/>
  <c r="S227"/>
  <c r="X227"/>
  <c r="E230"/>
  <c r="F230"/>
  <c r="G230"/>
  <c r="H230"/>
  <c r="I230"/>
  <c r="J230"/>
  <c r="K230"/>
  <c r="L230"/>
  <c r="M230"/>
  <c r="N230"/>
  <c r="O230"/>
  <c r="P230"/>
  <c r="Q230"/>
  <c r="R230"/>
  <c r="S230"/>
  <c r="X230"/>
  <c r="E233"/>
  <c r="F233"/>
  <c r="G233"/>
  <c r="H233"/>
  <c r="I233"/>
  <c r="J233"/>
  <c r="K233"/>
  <c r="L233"/>
  <c r="M233"/>
  <c r="N233"/>
  <c r="O233"/>
  <c r="P233"/>
  <c r="Q233"/>
  <c r="R233"/>
  <c r="S233"/>
  <c r="X233"/>
  <c r="E236"/>
  <c r="F236"/>
  <c r="G236"/>
  <c r="H236"/>
  <c r="I236"/>
  <c r="J236"/>
  <c r="K236"/>
  <c r="L236"/>
  <c r="M236"/>
  <c r="N236"/>
  <c r="O236"/>
  <c r="P236"/>
  <c r="Q236"/>
  <c r="R236"/>
  <c r="S236"/>
  <c r="X236"/>
  <c r="E239"/>
  <c r="F239"/>
  <c r="G239"/>
  <c r="H239"/>
  <c r="I239"/>
  <c r="J239"/>
  <c r="K239"/>
  <c r="L239"/>
  <c r="M239"/>
  <c r="N239"/>
  <c r="O239"/>
  <c r="P239"/>
  <c r="Q239"/>
  <c r="R239"/>
  <c r="S239"/>
  <c r="X239"/>
  <c r="E242"/>
  <c r="F242"/>
  <c r="G242"/>
  <c r="H242"/>
  <c r="I242"/>
  <c r="J242"/>
  <c r="K242"/>
  <c r="L242"/>
  <c r="M242"/>
  <c r="N242"/>
  <c r="O242"/>
  <c r="P242"/>
  <c r="Q242"/>
  <c r="R242"/>
  <c r="S242"/>
  <c r="X242"/>
  <c r="E245"/>
  <c r="F245"/>
  <c r="G245"/>
  <c r="H245"/>
  <c r="I245"/>
  <c r="J245"/>
  <c r="K245"/>
  <c r="L245"/>
  <c r="M245"/>
  <c r="N245"/>
  <c r="O245"/>
  <c r="P245"/>
  <c r="Q245"/>
  <c r="R245"/>
  <c r="S245"/>
  <c r="X245"/>
  <c r="E248"/>
  <c r="F248"/>
  <c r="G248"/>
  <c r="H248"/>
  <c r="I248"/>
  <c r="J248"/>
  <c r="K248"/>
  <c r="L248"/>
  <c r="M248"/>
  <c r="N248"/>
  <c r="O248"/>
  <c r="P248"/>
  <c r="Q248"/>
  <c r="R248"/>
  <c r="S248"/>
  <c r="X248"/>
  <c r="E251"/>
  <c r="F251"/>
  <c r="G251"/>
  <c r="H251"/>
  <c r="I251"/>
  <c r="J251"/>
  <c r="K251"/>
  <c r="L251"/>
  <c r="M251"/>
  <c r="N251"/>
  <c r="O251"/>
  <c r="P251"/>
  <c r="Q251"/>
  <c r="R251"/>
  <c r="S251"/>
  <c r="X251"/>
  <c r="E254"/>
  <c r="F254"/>
  <c r="G254"/>
  <c r="H254"/>
  <c r="I254"/>
  <c r="J254"/>
  <c r="K254"/>
  <c r="L254"/>
  <c r="M254"/>
  <c r="N254"/>
  <c r="O254"/>
  <c r="P254"/>
  <c r="Q254"/>
  <c r="R254"/>
  <c r="S254"/>
  <c r="X254"/>
  <c r="E257"/>
  <c r="F257"/>
  <c r="G257"/>
  <c r="H257"/>
  <c r="I257"/>
  <c r="J257"/>
  <c r="K257"/>
  <c r="L257"/>
  <c r="M257"/>
  <c r="N257"/>
  <c r="O257"/>
  <c r="P257"/>
  <c r="Q257"/>
  <c r="R257"/>
  <c r="S257"/>
  <c r="X257"/>
  <c r="E260"/>
  <c r="F260"/>
  <c r="G260"/>
  <c r="H260"/>
  <c r="I260"/>
  <c r="J260"/>
  <c r="K260"/>
  <c r="L260"/>
  <c r="M260"/>
  <c r="N260"/>
  <c r="O260"/>
  <c r="P260"/>
  <c r="Q260"/>
  <c r="R260"/>
  <c r="S260"/>
  <c r="X260"/>
  <c r="E263"/>
  <c r="F263"/>
  <c r="G263"/>
  <c r="H263"/>
  <c r="I263"/>
  <c r="J263"/>
  <c r="K263"/>
  <c r="L263"/>
  <c r="M263"/>
  <c r="N263"/>
  <c r="O263"/>
  <c r="P263"/>
  <c r="Q263"/>
  <c r="R263"/>
  <c r="S263"/>
  <c r="X263"/>
  <c r="E266"/>
  <c r="F266"/>
  <c r="G266"/>
  <c r="H266"/>
  <c r="I266"/>
  <c r="J266"/>
  <c r="K266"/>
  <c r="L266"/>
  <c r="M266"/>
  <c r="N266"/>
  <c r="O266"/>
  <c r="P266"/>
  <c r="Q266"/>
  <c r="R266"/>
  <c r="S266"/>
  <c r="X266"/>
  <c r="E269"/>
  <c r="F269"/>
  <c r="G269"/>
  <c r="H269"/>
  <c r="I269"/>
  <c r="J269"/>
  <c r="K269"/>
  <c r="L269"/>
  <c r="M269"/>
  <c r="N269"/>
  <c r="O269"/>
  <c r="P269"/>
  <c r="Q269"/>
  <c r="R269"/>
  <c r="S269"/>
  <c r="X269"/>
  <c r="D269"/>
  <c r="D266"/>
  <c r="D263"/>
  <c r="D260"/>
  <c r="D257"/>
  <c r="D254"/>
  <c r="D251"/>
  <c r="D248"/>
  <c r="D245"/>
  <c r="D242"/>
  <c r="D239"/>
  <c r="D236"/>
  <c r="D233"/>
  <c r="D230"/>
  <c r="D227"/>
  <c r="D224"/>
  <c r="D267" i="12"/>
  <c r="D268"/>
  <c r="E232"/>
  <c r="F232"/>
  <c r="G232"/>
  <c r="H232"/>
  <c r="I232"/>
  <c r="J232"/>
  <c r="K232"/>
  <c r="L232"/>
  <c r="M232"/>
  <c r="N232"/>
  <c r="O232"/>
  <c r="P232"/>
  <c r="Q232"/>
  <c r="R232"/>
  <c r="S232"/>
  <c r="X232"/>
  <c r="E235"/>
  <c r="F235"/>
  <c r="G235"/>
  <c r="H235"/>
  <c r="I235"/>
  <c r="J235"/>
  <c r="K235"/>
  <c r="L235"/>
  <c r="M235"/>
  <c r="N235"/>
  <c r="O235"/>
  <c r="P235"/>
  <c r="Q235"/>
  <c r="R235"/>
  <c r="S235"/>
  <c r="X235"/>
  <c r="E238"/>
  <c r="F238"/>
  <c r="G238"/>
  <c r="H238"/>
  <c r="I238"/>
  <c r="J238"/>
  <c r="K238"/>
  <c r="L238"/>
  <c r="M238"/>
  <c r="N238"/>
  <c r="O238"/>
  <c r="P238"/>
  <c r="Q238"/>
  <c r="R238"/>
  <c r="S238"/>
  <c r="X238"/>
  <c r="E241"/>
  <c r="F241"/>
  <c r="G241"/>
  <c r="H241"/>
  <c r="I241"/>
  <c r="J241"/>
  <c r="K241"/>
  <c r="L241"/>
  <c r="M241"/>
  <c r="N241"/>
  <c r="O241"/>
  <c r="P241"/>
  <c r="Q241"/>
  <c r="R241"/>
  <c r="S241"/>
  <c r="X241"/>
  <c r="E244"/>
  <c r="F244"/>
  <c r="G244"/>
  <c r="H244"/>
  <c r="I244"/>
  <c r="J244"/>
  <c r="K244"/>
  <c r="L244"/>
  <c r="M244"/>
  <c r="N244"/>
  <c r="O244"/>
  <c r="P244"/>
  <c r="Q244"/>
  <c r="R244"/>
  <c r="S244"/>
  <c r="X244"/>
  <c r="E250"/>
  <c r="F250"/>
  <c r="G250"/>
  <c r="H250"/>
  <c r="I250"/>
  <c r="J250"/>
  <c r="K250"/>
  <c r="L250"/>
  <c r="M250"/>
  <c r="M249"/>
  <c r="N250"/>
  <c r="O250"/>
  <c r="P250"/>
  <c r="Q250"/>
  <c r="R250"/>
  <c r="S250"/>
  <c r="X250"/>
  <c r="E249"/>
  <c r="E253"/>
  <c r="F253"/>
  <c r="G253"/>
  <c r="H253"/>
  <c r="I253"/>
  <c r="J253"/>
  <c r="K253"/>
  <c r="L253"/>
  <c r="M253"/>
  <c r="N253"/>
  <c r="O253"/>
  <c r="P253"/>
  <c r="Q253"/>
  <c r="R253"/>
  <c r="S253"/>
  <c r="X253"/>
  <c r="E256"/>
  <c r="F256"/>
  <c r="G256"/>
  <c r="H256"/>
  <c r="I256"/>
  <c r="J256"/>
  <c r="K256"/>
  <c r="L256"/>
  <c r="M256"/>
  <c r="N256"/>
  <c r="O256"/>
  <c r="P256"/>
  <c r="Q256"/>
  <c r="R256"/>
  <c r="S256"/>
  <c r="X256"/>
  <c r="E259"/>
  <c r="F259"/>
  <c r="G259"/>
  <c r="H259"/>
  <c r="I259"/>
  <c r="J259"/>
  <c r="K259"/>
  <c r="L259"/>
  <c r="M259"/>
  <c r="N259"/>
  <c r="O259"/>
  <c r="P259"/>
  <c r="Q259"/>
  <c r="R259"/>
  <c r="S259"/>
  <c r="X259"/>
  <c r="E262"/>
  <c r="F262"/>
  <c r="G262"/>
  <c r="H262"/>
  <c r="I262"/>
  <c r="J262"/>
  <c r="K262"/>
  <c r="L262"/>
  <c r="M262"/>
  <c r="N262"/>
  <c r="O262"/>
  <c r="P262"/>
  <c r="Q262"/>
  <c r="R262"/>
  <c r="S262"/>
  <c r="X262"/>
  <c r="E265"/>
  <c r="F265"/>
  <c r="G265"/>
  <c r="H265"/>
  <c r="I265"/>
  <c r="J265"/>
  <c r="K265"/>
  <c r="L265"/>
  <c r="M265"/>
  <c r="N265"/>
  <c r="O265"/>
  <c r="P265"/>
  <c r="Q265"/>
  <c r="R265"/>
  <c r="S265"/>
  <c r="X265"/>
  <c r="E268"/>
  <c r="F268"/>
  <c r="G268"/>
  <c r="H268"/>
  <c r="I268"/>
  <c r="J268"/>
  <c r="K268"/>
  <c r="L268"/>
  <c r="M268"/>
  <c r="N268"/>
  <c r="O268"/>
  <c r="P268"/>
  <c r="Q268"/>
  <c r="R268"/>
  <c r="R267"/>
  <c r="S268"/>
  <c r="X268"/>
  <c r="E229"/>
  <c r="F229"/>
  <c r="G229"/>
  <c r="H229"/>
  <c r="I229"/>
  <c r="J229"/>
  <c r="K229"/>
  <c r="L229"/>
  <c r="M229"/>
  <c r="N229"/>
  <c r="O229"/>
  <c r="P229"/>
  <c r="Q229"/>
  <c r="R229"/>
  <c r="S229"/>
  <c r="X229"/>
  <c r="D229"/>
  <c r="E226"/>
  <c r="F226"/>
  <c r="G226"/>
  <c r="H226"/>
  <c r="I226"/>
  <c r="J226"/>
  <c r="K226"/>
  <c r="L226"/>
  <c r="M226"/>
  <c r="N226"/>
  <c r="O226"/>
  <c r="P226"/>
  <c r="Q226"/>
  <c r="R226"/>
  <c r="S226"/>
  <c r="X226"/>
  <c r="E223"/>
  <c r="F223"/>
  <c r="G223"/>
  <c r="H223"/>
  <c r="I223"/>
  <c r="J223"/>
  <c r="K223"/>
  <c r="L223"/>
  <c r="M223"/>
  <c r="N223"/>
  <c r="O223"/>
  <c r="P223"/>
  <c r="Q223"/>
  <c r="R223"/>
  <c r="S223"/>
  <c r="X223"/>
  <c r="E220"/>
  <c r="F220"/>
  <c r="G220"/>
  <c r="H220"/>
  <c r="I220"/>
  <c r="J220"/>
  <c r="K220"/>
  <c r="L220"/>
  <c r="M220"/>
  <c r="N220"/>
  <c r="O220"/>
  <c r="P220"/>
  <c r="Q220"/>
  <c r="R220"/>
  <c r="S220"/>
  <c r="X220"/>
  <c r="D265"/>
  <c r="D262"/>
  <c r="D259"/>
  <c r="D256"/>
  <c r="D253"/>
  <c r="D250"/>
  <c r="D244"/>
  <c r="D241"/>
  <c r="D238"/>
  <c r="D235"/>
  <c r="D232"/>
  <c r="D226"/>
  <c r="D223"/>
  <c r="D220"/>
  <c r="E226" i="4"/>
  <c r="F226"/>
  <c r="G226"/>
  <c r="H226"/>
  <c r="I226"/>
  <c r="J226"/>
  <c r="K226"/>
  <c r="L226"/>
  <c r="M226"/>
  <c r="N226"/>
  <c r="O226"/>
  <c r="P226"/>
  <c r="Q226"/>
  <c r="R226"/>
  <c r="S226"/>
  <c r="X226"/>
  <c r="E229"/>
  <c r="F229"/>
  <c r="G229"/>
  <c r="H229"/>
  <c r="I229"/>
  <c r="J229"/>
  <c r="K229"/>
  <c r="L229"/>
  <c r="M229"/>
  <c r="N229"/>
  <c r="O229"/>
  <c r="P229"/>
  <c r="Q229"/>
  <c r="R229"/>
  <c r="S229"/>
  <c r="X229"/>
  <c r="E232"/>
  <c r="F232"/>
  <c r="G232"/>
  <c r="H232"/>
  <c r="I232"/>
  <c r="J232"/>
  <c r="K232"/>
  <c r="L232"/>
  <c r="M232"/>
  <c r="N232"/>
  <c r="O232"/>
  <c r="P232"/>
  <c r="Q232"/>
  <c r="R232"/>
  <c r="S232"/>
  <c r="X232"/>
  <c r="E235"/>
  <c r="F235"/>
  <c r="G235"/>
  <c r="H235"/>
  <c r="I235"/>
  <c r="J235"/>
  <c r="K235"/>
  <c r="L235"/>
  <c r="M235"/>
  <c r="N235"/>
  <c r="O235"/>
  <c r="P235"/>
  <c r="Q235"/>
  <c r="R235"/>
  <c r="S235"/>
  <c r="X235"/>
  <c r="E238"/>
  <c r="F238"/>
  <c r="G238"/>
  <c r="H238"/>
  <c r="I238"/>
  <c r="J238"/>
  <c r="K238"/>
  <c r="L238"/>
  <c r="M238"/>
  <c r="N238"/>
  <c r="O238"/>
  <c r="P238"/>
  <c r="Q238"/>
  <c r="R238"/>
  <c r="S238"/>
  <c r="X238"/>
  <c r="E241"/>
  <c r="F241"/>
  <c r="G241"/>
  <c r="H241"/>
  <c r="I241"/>
  <c r="J241"/>
  <c r="K241"/>
  <c r="L241"/>
  <c r="M241"/>
  <c r="N241"/>
  <c r="O241"/>
  <c r="P241"/>
  <c r="Q241"/>
  <c r="R241"/>
  <c r="S241"/>
  <c r="X241"/>
  <c r="E244"/>
  <c r="F244"/>
  <c r="G244"/>
  <c r="H244"/>
  <c r="I244"/>
  <c r="J244"/>
  <c r="K244"/>
  <c r="L244"/>
  <c r="M244"/>
  <c r="N244"/>
  <c r="O244"/>
  <c r="P244"/>
  <c r="Q244"/>
  <c r="R244"/>
  <c r="S244"/>
  <c r="X244"/>
  <c r="E247"/>
  <c r="F247"/>
  <c r="G247"/>
  <c r="H247"/>
  <c r="I247"/>
  <c r="J247"/>
  <c r="K247"/>
  <c r="L247"/>
  <c r="M247"/>
  <c r="N247"/>
  <c r="O247"/>
  <c r="P247"/>
  <c r="Q247"/>
  <c r="R247"/>
  <c r="S247"/>
  <c r="X247"/>
  <c r="E250"/>
  <c r="F250"/>
  <c r="G250"/>
  <c r="H250"/>
  <c r="I250"/>
  <c r="J250"/>
  <c r="K250"/>
  <c r="L250"/>
  <c r="M250"/>
  <c r="N250"/>
  <c r="O250"/>
  <c r="P250"/>
  <c r="Q250"/>
  <c r="R250"/>
  <c r="S250"/>
  <c r="X250"/>
  <c r="E253"/>
  <c r="F253"/>
  <c r="G253"/>
  <c r="H253"/>
  <c r="I253"/>
  <c r="J253"/>
  <c r="K253"/>
  <c r="L253"/>
  <c r="M253"/>
  <c r="N253"/>
  <c r="O253"/>
  <c r="P253"/>
  <c r="Q253"/>
  <c r="R253"/>
  <c r="S253"/>
  <c r="X253"/>
  <c r="E256"/>
  <c r="F256"/>
  <c r="G256"/>
  <c r="H256"/>
  <c r="I256"/>
  <c r="J256"/>
  <c r="K256"/>
  <c r="L256"/>
  <c r="M256"/>
  <c r="N256"/>
  <c r="O256"/>
  <c r="P256"/>
  <c r="Q256"/>
  <c r="R256"/>
  <c r="S256"/>
  <c r="X256"/>
  <c r="E259"/>
  <c r="F259"/>
  <c r="G259"/>
  <c r="H259"/>
  <c r="I259"/>
  <c r="J259"/>
  <c r="K259"/>
  <c r="L259"/>
  <c r="M259"/>
  <c r="N259"/>
  <c r="O259"/>
  <c r="P259"/>
  <c r="Q259"/>
  <c r="R259"/>
  <c r="S259"/>
  <c r="X259"/>
  <c r="E262"/>
  <c r="F262"/>
  <c r="G262"/>
  <c r="H262"/>
  <c r="I262"/>
  <c r="J262"/>
  <c r="K262"/>
  <c r="L262"/>
  <c r="M262"/>
  <c r="N262"/>
  <c r="O262"/>
  <c r="P262"/>
  <c r="Q262"/>
  <c r="R262"/>
  <c r="S262"/>
  <c r="X262"/>
  <c r="E265"/>
  <c r="F265"/>
  <c r="G265"/>
  <c r="H265"/>
  <c r="I265"/>
  <c r="J265"/>
  <c r="K265"/>
  <c r="L265"/>
  <c r="M265"/>
  <c r="N265"/>
  <c r="O265"/>
  <c r="P265"/>
  <c r="Q265"/>
  <c r="R265"/>
  <c r="S265"/>
  <c r="X265"/>
  <c r="E268"/>
  <c r="F268"/>
  <c r="G268"/>
  <c r="H268"/>
  <c r="I268"/>
  <c r="J268"/>
  <c r="K268"/>
  <c r="L268"/>
  <c r="M268"/>
  <c r="N268"/>
  <c r="O268"/>
  <c r="P268"/>
  <c r="Q268"/>
  <c r="R268"/>
  <c r="S268"/>
  <c r="X268"/>
  <c r="D268"/>
  <c r="D265"/>
  <c r="D262"/>
  <c r="D259"/>
  <c r="D256"/>
  <c r="D253"/>
  <c r="D250"/>
  <c r="D247"/>
  <c r="D244"/>
  <c r="D241"/>
  <c r="D238"/>
  <c r="D235"/>
  <c r="D232"/>
  <c r="D229"/>
  <c r="D226"/>
  <c r="E223"/>
  <c r="F223"/>
  <c r="G223"/>
  <c r="H223"/>
  <c r="I223"/>
  <c r="J223"/>
  <c r="J271" s="1"/>
  <c r="K223"/>
  <c r="L223"/>
  <c r="M223"/>
  <c r="N223"/>
  <c r="O223"/>
  <c r="P223"/>
  <c r="Q223"/>
  <c r="R223"/>
  <c r="R271" s="1"/>
  <c r="S223"/>
  <c r="X223"/>
  <c r="D223"/>
  <c r="E199" i="5"/>
  <c r="F199"/>
  <c r="G199"/>
  <c r="H199"/>
  <c r="H200" s="1"/>
  <c r="G154" i="30" s="1"/>
  <c r="I199" i="5"/>
  <c r="J199"/>
  <c r="K199"/>
  <c r="L199"/>
  <c r="M199"/>
  <c r="N199"/>
  <c r="O199"/>
  <c r="P199"/>
  <c r="P200" s="1"/>
  <c r="O154" i="30" s="1"/>
  <c r="Q199" i="5"/>
  <c r="R199"/>
  <c r="S199"/>
  <c r="X199"/>
  <c r="E163"/>
  <c r="F163"/>
  <c r="G163"/>
  <c r="H163"/>
  <c r="H211" s="1"/>
  <c r="I163"/>
  <c r="J163"/>
  <c r="K163"/>
  <c r="L163"/>
  <c r="M163"/>
  <c r="N163"/>
  <c r="O163"/>
  <c r="P163"/>
  <c r="P211" s="1"/>
  <c r="Q163"/>
  <c r="R163"/>
  <c r="S163"/>
  <c r="X163"/>
  <c r="E166"/>
  <c r="F166"/>
  <c r="G166"/>
  <c r="H166"/>
  <c r="I166"/>
  <c r="J166"/>
  <c r="K166"/>
  <c r="L166"/>
  <c r="M166"/>
  <c r="N166"/>
  <c r="O166"/>
  <c r="P166"/>
  <c r="Q166"/>
  <c r="R166"/>
  <c r="S166"/>
  <c r="X166"/>
  <c r="E169"/>
  <c r="F169"/>
  <c r="G169"/>
  <c r="H169"/>
  <c r="I169"/>
  <c r="J169"/>
  <c r="K169"/>
  <c r="M169"/>
  <c r="N169"/>
  <c r="O169"/>
  <c r="P169"/>
  <c r="Q169"/>
  <c r="Q211" s="1"/>
  <c r="R169"/>
  <c r="S169"/>
  <c r="X169"/>
  <c r="E172"/>
  <c r="F172"/>
  <c r="G172"/>
  <c r="H172"/>
  <c r="I172"/>
  <c r="J172"/>
  <c r="K172"/>
  <c r="L172"/>
  <c r="M172"/>
  <c r="N172"/>
  <c r="O172"/>
  <c r="P172"/>
  <c r="Q172"/>
  <c r="R172"/>
  <c r="S172"/>
  <c r="X172"/>
  <c r="E175"/>
  <c r="F175"/>
  <c r="G175"/>
  <c r="H175"/>
  <c r="I175"/>
  <c r="J175"/>
  <c r="K175"/>
  <c r="L175"/>
  <c r="M175"/>
  <c r="N175"/>
  <c r="O175"/>
  <c r="P175"/>
  <c r="Q175"/>
  <c r="R175"/>
  <c r="S175"/>
  <c r="X175"/>
  <c r="E178"/>
  <c r="F178"/>
  <c r="G178"/>
  <c r="H178"/>
  <c r="I178"/>
  <c r="J178"/>
  <c r="K178"/>
  <c r="L178"/>
  <c r="M178"/>
  <c r="N178"/>
  <c r="O178"/>
  <c r="P178"/>
  <c r="Q178"/>
  <c r="R178"/>
  <c r="S178"/>
  <c r="X178"/>
  <c r="E181"/>
  <c r="F181"/>
  <c r="G181"/>
  <c r="H181"/>
  <c r="I181"/>
  <c r="J181"/>
  <c r="K181"/>
  <c r="L181"/>
  <c r="M181"/>
  <c r="N181"/>
  <c r="O181"/>
  <c r="P181"/>
  <c r="Q181"/>
  <c r="R181"/>
  <c r="S181"/>
  <c r="X181"/>
  <c r="E184"/>
  <c r="F184"/>
  <c r="G184"/>
  <c r="H184"/>
  <c r="I184"/>
  <c r="J184"/>
  <c r="K184"/>
  <c r="L184"/>
  <c r="M184"/>
  <c r="N184"/>
  <c r="O184"/>
  <c r="P184"/>
  <c r="Q184"/>
  <c r="R184"/>
  <c r="S184"/>
  <c r="X184"/>
  <c r="E187"/>
  <c r="F187"/>
  <c r="G187"/>
  <c r="H187"/>
  <c r="I187"/>
  <c r="J187"/>
  <c r="K187"/>
  <c r="L187"/>
  <c r="M187"/>
  <c r="N187"/>
  <c r="O187"/>
  <c r="P187"/>
  <c r="Q187"/>
  <c r="R187"/>
  <c r="S187"/>
  <c r="X187"/>
  <c r="E190"/>
  <c r="F190"/>
  <c r="G190"/>
  <c r="H190"/>
  <c r="I190"/>
  <c r="J190"/>
  <c r="K190"/>
  <c r="L190"/>
  <c r="M190"/>
  <c r="N190"/>
  <c r="O190"/>
  <c r="P190"/>
  <c r="Q190"/>
  <c r="R190"/>
  <c r="S190"/>
  <c r="X190"/>
  <c r="E193"/>
  <c r="F193"/>
  <c r="G193"/>
  <c r="H193"/>
  <c r="I193"/>
  <c r="J193"/>
  <c r="K193"/>
  <c r="L193"/>
  <c r="M193"/>
  <c r="N193"/>
  <c r="O193"/>
  <c r="P193"/>
  <c r="Q193"/>
  <c r="R193"/>
  <c r="S193"/>
  <c r="X193"/>
  <c r="E196"/>
  <c r="F196"/>
  <c r="G196"/>
  <c r="H196"/>
  <c r="I196"/>
  <c r="J196"/>
  <c r="K196"/>
  <c r="L196"/>
  <c r="M196"/>
  <c r="N196"/>
  <c r="O196"/>
  <c r="P196"/>
  <c r="Q196"/>
  <c r="R196"/>
  <c r="S196"/>
  <c r="X196"/>
  <c r="E195"/>
  <c r="E197" s="1"/>
  <c r="D141" i="30" s="1"/>
  <c r="F195" i="5"/>
  <c r="F197" s="1"/>
  <c r="E141" i="30" s="1"/>
  <c r="G195" i="5"/>
  <c r="G197" s="1"/>
  <c r="F141" i="30" s="1"/>
  <c r="H195" i="5"/>
  <c r="H197" s="1"/>
  <c r="G141" i="30" s="1"/>
  <c r="I195" i="5"/>
  <c r="I197" s="1"/>
  <c r="J195"/>
  <c r="J197" s="1"/>
  <c r="K195"/>
  <c r="K197" s="1"/>
  <c r="J141" i="30" s="1"/>
  <c r="L195" i="5"/>
  <c r="M195"/>
  <c r="N195"/>
  <c r="N197" s="1"/>
  <c r="M141" i="30" s="1"/>
  <c r="O195" i="5"/>
  <c r="P195"/>
  <c r="P197" s="1"/>
  <c r="O141" i="30" s="1"/>
  <c r="Q195" i="5"/>
  <c r="Q197" s="1"/>
  <c r="P141" i="30" s="1"/>
  <c r="R195" i="5"/>
  <c r="S195"/>
  <c r="X195"/>
  <c r="E198"/>
  <c r="F198"/>
  <c r="G198"/>
  <c r="H198"/>
  <c r="I198"/>
  <c r="I200" s="1"/>
  <c r="H154" i="30" s="1"/>
  <c r="J198" i="5"/>
  <c r="K198"/>
  <c r="L198"/>
  <c r="M198"/>
  <c r="N198"/>
  <c r="O198"/>
  <c r="P198"/>
  <c r="Q198"/>
  <c r="R198"/>
  <c r="S198"/>
  <c r="X198"/>
  <c r="E202"/>
  <c r="F202"/>
  <c r="G202"/>
  <c r="H202"/>
  <c r="I202"/>
  <c r="J202"/>
  <c r="K202"/>
  <c r="L202"/>
  <c r="M202"/>
  <c r="N202"/>
  <c r="O202"/>
  <c r="P202"/>
  <c r="Q202"/>
  <c r="R202"/>
  <c r="S202"/>
  <c r="X202"/>
  <c r="E205"/>
  <c r="F205"/>
  <c r="G205"/>
  <c r="H205"/>
  <c r="I205"/>
  <c r="I206" s="1"/>
  <c r="H176" i="30" s="1"/>
  <c r="J205" i="5"/>
  <c r="K205"/>
  <c r="L205"/>
  <c r="M205"/>
  <c r="N205"/>
  <c r="O205"/>
  <c r="P205"/>
  <c r="Q205"/>
  <c r="R205"/>
  <c r="S205"/>
  <c r="X205"/>
  <c r="E208"/>
  <c r="F208"/>
  <c r="G208"/>
  <c r="H208"/>
  <c r="I208"/>
  <c r="J208"/>
  <c r="K208"/>
  <c r="L208"/>
  <c r="M208"/>
  <c r="N208"/>
  <c r="O208"/>
  <c r="P208"/>
  <c r="Q208"/>
  <c r="R208"/>
  <c r="S208"/>
  <c r="X208"/>
  <c r="D208"/>
  <c r="D205"/>
  <c r="D202"/>
  <c r="D199"/>
  <c r="D196"/>
  <c r="D193"/>
  <c r="D190"/>
  <c r="D187"/>
  <c r="D184"/>
  <c r="D181"/>
  <c r="D178"/>
  <c r="D175"/>
  <c r="D172"/>
  <c r="D169"/>
  <c r="D166"/>
  <c r="D163"/>
  <c r="E229" i="6"/>
  <c r="F229"/>
  <c r="G229"/>
  <c r="H229"/>
  <c r="I229"/>
  <c r="J229"/>
  <c r="K229"/>
  <c r="L229"/>
  <c r="M229"/>
  <c r="N229"/>
  <c r="O229"/>
  <c r="P229"/>
  <c r="Q229"/>
  <c r="R229"/>
  <c r="S229"/>
  <c r="X229"/>
  <c r="E232"/>
  <c r="F232"/>
  <c r="G232"/>
  <c r="H232"/>
  <c r="I232"/>
  <c r="J232"/>
  <c r="K232"/>
  <c r="L232"/>
  <c r="M232"/>
  <c r="N232"/>
  <c r="O232"/>
  <c r="P232"/>
  <c r="Q232"/>
  <c r="R232"/>
  <c r="S232"/>
  <c r="X232"/>
  <c r="E235"/>
  <c r="F235"/>
  <c r="G235"/>
  <c r="H235"/>
  <c r="I235"/>
  <c r="J235"/>
  <c r="K235"/>
  <c r="L235"/>
  <c r="M235"/>
  <c r="N235"/>
  <c r="O235"/>
  <c r="P235"/>
  <c r="Q235"/>
  <c r="R235"/>
  <c r="S235"/>
  <c r="X235"/>
  <c r="E238"/>
  <c r="F238"/>
  <c r="G238"/>
  <c r="H238"/>
  <c r="I238"/>
  <c r="J238"/>
  <c r="K238"/>
  <c r="L238"/>
  <c r="M238"/>
  <c r="N238"/>
  <c r="O238"/>
  <c r="P238"/>
  <c r="Q238"/>
  <c r="R238"/>
  <c r="S238"/>
  <c r="X238"/>
  <c r="E241"/>
  <c r="F241"/>
  <c r="G241"/>
  <c r="H241"/>
  <c r="I241"/>
  <c r="J241"/>
  <c r="K241"/>
  <c r="L241"/>
  <c r="M241"/>
  <c r="N241"/>
  <c r="O241"/>
  <c r="P241"/>
  <c r="Q241"/>
  <c r="R241"/>
  <c r="S241"/>
  <c r="X241"/>
  <c r="E244"/>
  <c r="F244"/>
  <c r="G244"/>
  <c r="H244"/>
  <c r="I244"/>
  <c r="J244"/>
  <c r="K244"/>
  <c r="L244"/>
  <c r="M244"/>
  <c r="N244"/>
  <c r="O244"/>
  <c r="P244"/>
  <c r="Q244"/>
  <c r="R244"/>
  <c r="S244"/>
  <c r="X244"/>
  <c r="E247"/>
  <c r="F247"/>
  <c r="G247"/>
  <c r="H247"/>
  <c r="I247"/>
  <c r="J247"/>
  <c r="K247"/>
  <c r="L247"/>
  <c r="M247"/>
  <c r="N247"/>
  <c r="O247"/>
  <c r="P247"/>
  <c r="Q247"/>
  <c r="R247"/>
  <c r="S247"/>
  <c r="X247"/>
  <c r="E250"/>
  <c r="F250"/>
  <c r="G250"/>
  <c r="H250"/>
  <c r="I250"/>
  <c r="J250"/>
  <c r="K250"/>
  <c r="L250"/>
  <c r="M250"/>
  <c r="N250"/>
  <c r="O250"/>
  <c r="P250"/>
  <c r="Q250"/>
  <c r="R250"/>
  <c r="S250"/>
  <c r="X250"/>
  <c r="E253"/>
  <c r="F253"/>
  <c r="G253"/>
  <c r="H253"/>
  <c r="I253"/>
  <c r="J253"/>
  <c r="K253"/>
  <c r="L253"/>
  <c r="M253"/>
  <c r="N253"/>
  <c r="O253"/>
  <c r="P253"/>
  <c r="Q253"/>
  <c r="R253"/>
  <c r="S253"/>
  <c r="X253"/>
  <c r="E256"/>
  <c r="F256"/>
  <c r="G256"/>
  <c r="H256"/>
  <c r="I256"/>
  <c r="J256"/>
  <c r="K256"/>
  <c r="L256"/>
  <c r="M256"/>
  <c r="N256"/>
  <c r="O256"/>
  <c r="P256"/>
  <c r="Q256"/>
  <c r="R256"/>
  <c r="S256"/>
  <c r="X256"/>
  <c r="E259"/>
  <c r="F259"/>
  <c r="G259"/>
  <c r="H259"/>
  <c r="I259"/>
  <c r="J259"/>
  <c r="K259"/>
  <c r="L259"/>
  <c r="M259"/>
  <c r="N259"/>
  <c r="O259"/>
  <c r="P259"/>
  <c r="Q259"/>
  <c r="R259"/>
  <c r="S259"/>
  <c r="X259"/>
  <c r="E262"/>
  <c r="F262"/>
  <c r="G262"/>
  <c r="H262"/>
  <c r="I262"/>
  <c r="J262"/>
  <c r="K262"/>
  <c r="L262"/>
  <c r="M262"/>
  <c r="N262"/>
  <c r="O262"/>
  <c r="P262"/>
  <c r="Q262"/>
  <c r="R262"/>
  <c r="S262"/>
  <c r="X262"/>
  <c r="E265"/>
  <c r="F265"/>
  <c r="G265"/>
  <c r="H265"/>
  <c r="I265"/>
  <c r="J265"/>
  <c r="K265"/>
  <c r="L265"/>
  <c r="M265"/>
  <c r="N265"/>
  <c r="O265"/>
  <c r="P265"/>
  <c r="Q265"/>
  <c r="R265"/>
  <c r="S265"/>
  <c r="X265"/>
  <c r="E268"/>
  <c r="F268"/>
  <c r="G268"/>
  <c r="H268"/>
  <c r="I268"/>
  <c r="J268"/>
  <c r="K268"/>
  <c r="L268"/>
  <c r="M268"/>
  <c r="N268"/>
  <c r="O268"/>
  <c r="P268"/>
  <c r="Q268"/>
  <c r="R268"/>
  <c r="S268"/>
  <c r="X268"/>
  <c r="D268"/>
  <c r="D265"/>
  <c r="D262"/>
  <c r="D259"/>
  <c r="D256"/>
  <c r="D253"/>
  <c r="D250"/>
  <c r="D247"/>
  <c r="D244"/>
  <c r="D241"/>
  <c r="D238"/>
  <c r="D235"/>
  <c r="D232"/>
  <c r="D229"/>
  <c r="E226"/>
  <c r="F226"/>
  <c r="G226"/>
  <c r="H226"/>
  <c r="I226"/>
  <c r="J226"/>
  <c r="K226"/>
  <c r="L226"/>
  <c r="M226"/>
  <c r="N226"/>
  <c r="O226"/>
  <c r="P226"/>
  <c r="Q226"/>
  <c r="R226"/>
  <c r="S226"/>
  <c r="X226"/>
  <c r="D226"/>
  <c r="E223"/>
  <c r="F223"/>
  <c r="G223"/>
  <c r="H223"/>
  <c r="I223"/>
  <c r="J223"/>
  <c r="K223"/>
  <c r="L223"/>
  <c r="M223"/>
  <c r="N223"/>
  <c r="O223"/>
  <c r="P223"/>
  <c r="Q223"/>
  <c r="R223"/>
  <c r="S223"/>
  <c r="X223"/>
  <c r="D223"/>
  <c r="F274" i="7"/>
  <c r="G274"/>
  <c r="H274"/>
  <c r="I274"/>
  <c r="J274"/>
  <c r="K274"/>
  <c r="L274"/>
  <c r="M274"/>
  <c r="N274"/>
  <c r="P274"/>
  <c r="Q274"/>
  <c r="R274"/>
  <c r="S274"/>
  <c r="T274"/>
  <c r="AA274"/>
  <c r="E274"/>
  <c r="F271"/>
  <c r="G271"/>
  <c r="H271"/>
  <c r="I271"/>
  <c r="J271"/>
  <c r="K271"/>
  <c r="L271"/>
  <c r="M271"/>
  <c r="N271"/>
  <c r="P271"/>
  <c r="Q271"/>
  <c r="R271"/>
  <c r="S271"/>
  <c r="T271"/>
  <c r="AA271"/>
  <c r="E271"/>
  <c r="F268"/>
  <c r="G268"/>
  <c r="H268"/>
  <c r="I268"/>
  <c r="J268"/>
  <c r="K268"/>
  <c r="L268"/>
  <c r="M268"/>
  <c r="N268"/>
  <c r="P268"/>
  <c r="Q268"/>
  <c r="R268"/>
  <c r="S268"/>
  <c r="T268"/>
  <c r="AA268"/>
  <c r="E268"/>
  <c r="F265"/>
  <c r="G265"/>
  <c r="H265"/>
  <c r="I265"/>
  <c r="J265"/>
  <c r="K265"/>
  <c r="L265"/>
  <c r="M265"/>
  <c r="N265"/>
  <c r="P265"/>
  <c r="Q265"/>
  <c r="R265"/>
  <c r="S265"/>
  <c r="T265"/>
  <c r="AA265"/>
  <c r="E265"/>
  <c r="F262"/>
  <c r="G262"/>
  <c r="H262"/>
  <c r="I262"/>
  <c r="J262"/>
  <c r="K262"/>
  <c r="L262"/>
  <c r="M262"/>
  <c r="N262"/>
  <c r="P262"/>
  <c r="Q262"/>
  <c r="R262"/>
  <c r="S262"/>
  <c r="T262"/>
  <c r="AA262"/>
  <c r="E262"/>
  <c r="F259"/>
  <c r="G259"/>
  <c r="H259"/>
  <c r="I259"/>
  <c r="J259"/>
  <c r="K259"/>
  <c r="L259"/>
  <c r="M259"/>
  <c r="N259"/>
  <c r="P259"/>
  <c r="Q259"/>
  <c r="R259"/>
  <c r="S259"/>
  <c r="T259"/>
  <c r="AA259"/>
  <c r="E259"/>
  <c r="F256"/>
  <c r="G256"/>
  <c r="H256"/>
  <c r="I256"/>
  <c r="J256"/>
  <c r="K256"/>
  <c r="L256"/>
  <c r="M256"/>
  <c r="N256"/>
  <c r="P256"/>
  <c r="Q256"/>
  <c r="R256"/>
  <c r="S256"/>
  <c r="T256"/>
  <c r="AA256"/>
  <c r="E256"/>
  <c r="F253"/>
  <c r="G253"/>
  <c r="H253"/>
  <c r="I253"/>
  <c r="J253"/>
  <c r="K253"/>
  <c r="L253"/>
  <c r="M253"/>
  <c r="N253"/>
  <c r="P253"/>
  <c r="Q253"/>
  <c r="R253"/>
  <c r="S253"/>
  <c r="T253"/>
  <c r="AA253"/>
  <c r="E253"/>
  <c r="F250"/>
  <c r="G250"/>
  <c r="H250"/>
  <c r="I250"/>
  <c r="J250"/>
  <c r="K250"/>
  <c r="L250"/>
  <c r="M250"/>
  <c r="N250"/>
  <c r="P250"/>
  <c r="Q250"/>
  <c r="R250"/>
  <c r="S250"/>
  <c r="T250"/>
  <c r="AA250"/>
  <c r="E250"/>
  <c r="F247"/>
  <c r="G247"/>
  <c r="H247"/>
  <c r="I247"/>
  <c r="J247"/>
  <c r="K247"/>
  <c r="L247"/>
  <c r="M247"/>
  <c r="N247"/>
  <c r="P247"/>
  <c r="Q247"/>
  <c r="R247"/>
  <c r="S247"/>
  <c r="T247"/>
  <c r="AA247"/>
  <c r="E247"/>
  <c r="F244"/>
  <c r="G244"/>
  <c r="H244"/>
  <c r="I244"/>
  <c r="J244"/>
  <c r="K244"/>
  <c r="L244"/>
  <c r="M244"/>
  <c r="N244"/>
  <c r="P244"/>
  <c r="Q244"/>
  <c r="R244"/>
  <c r="S244"/>
  <c r="T244"/>
  <c r="AA244"/>
  <c r="E244"/>
  <c r="E246"/>
  <c r="F241"/>
  <c r="G241"/>
  <c r="H241"/>
  <c r="I241"/>
  <c r="J241"/>
  <c r="K241"/>
  <c r="L241"/>
  <c r="M241"/>
  <c r="N241"/>
  <c r="P241"/>
  <c r="Q241"/>
  <c r="R241"/>
  <c r="S241"/>
  <c r="T241"/>
  <c r="AA241"/>
  <c r="E241"/>
  <c r="F238"/>
  <c r="G238"/>
  <c r="H238"/>
  <c r="I238"/>
  <c r="J238"/>
  <c r="K238"/>
  <c r="L238"/>
  <c r="M238"/>
  <c r="N238"/>
  <c r="P238"/>
  <c r="Q238"/>
  <c r="R238"/>
  <c r="S238"/>
  <c r="T238"/>
  <c r="AA238"/>
  <c r="E238"/>
  <c r="F235"/>
  <c r="G235"/>
  <c r="H235"/>
  <c r="I235"/>
  <c r="J235"/>
  <c r="K235"/>
  <c r="L235"/>
  <c r="M235"/>
  <c r="N235"/>
  <c r="P235"/>
  <c r="Q235"/>
  <c r="R235"/>
  <c r="S235"/>
  <c r="T235"/>
  <c r="AA235"/>
  <c r="E235"/>
  <c r="F232"/>
  <c r="G232"/>
  <c r="H232"/>
  <c r="I232"/>
  <c r="J232"/>
  <c r="K232"/>
  <c r="L232"/>
  <c r="M232"/>
  <c r="N232"/>
  <c r="P232"/>
  <c r="Q232"/>
  <c r="R232"/>
  <c r="S232"/>
  <c r="T232"/>
  <c r="AA232"/>
  <c r="E232"/>
  <c r="F229"/>
  <c r="G229"/>
  <c r="H229"/>
  <c r="I229"/>
  <c r="J229"/>
  <c r="K229"/>
  <c r="L229"/>
  <c r="M229"/>
  <c r="N229"/>
  <c r="P229"/>
  <c r="Q229"/>
  <c r="R229"/>
  <c r="S229"/>
  <c r="T229"/>
  <c r="AA229"/>
  <c r="E229"/>
  <c r="D219" i="12"/>
  <c r="H162" i="5"/>
  <c r="C162"/>
  <c r="H35" i="31"/>
  <c r="H52"/>
  <c r="E70" i="10"/>
  <c r="F70"/>
  <c r="G70"/>
  <c r="H70"/>
  <c r="I70"/>
  <c r="J70"/>
  <c r="K70"/>
  <c r="L70"/>
  <c r="M70"/>
  <c r="N70"/>
  <c r="O70"/>
  <c r="P70"/>
  <c r="Q70"/>
  <c r="R70"/>
  <c r="S70"/>
  <c r="X70"/>
  <c r="E73"/>
  <c r="F73"/>
  <c r="F75" s="1"/>
  <c r="E134" i="30" s="1"/>
  <c r="G73" i="10"/>
  <c r="G75" s="1"/>
  <c r="F134" i="30" s="1"/>
  <c r="H73" i="10"/>
  <c r="H75" s="1"/>
  <c r="G134" i="30" s="1"/>
  <c r="I73" i="10"/>
  <c r="I75" s="1"/>
  <c r="H134" i="30" s="1"/>
  <c r="J73" i="10"/>
  <c r="K73"/>
  <c r="L73"/>
  <c r="M73"/>
  <c r="N73"/>
  <c r="N75" s="1"/>
  <c r="M134" i="30" s="1"/>
  <c r="O73" i="10"/>
  <c r="O75" s="1"/>
  <c r="N134" i="30" s="1"/>
  <c r="P73" i="10"/>
  <c r="P75" s="1"/>
  <c r="O134" i="30" s="1"/>
  <c r="Q73" i="10"/>
  <c r="Q75" s="1"/>
  <c r="P134" i="30" s="1"/>
  <c r="R73" i="10"/>
  <c r="S73"/>
  <c r="X73"/>
  <c r="E76"/>
  <c r="F76"/>
  <c r="F78" s="1"/>
  <c r="E145" i="30" s="1"/>
  <c r="G76" i="10"/>
  <c r="G78" s="1"/>
  <c r="F145" i="30" s="1"/>
  <c r="H76" i="10"/>
  <c r="H78" s="1"/>
  <c r="G145" i="30" s="1"/>
  <c r="I76" i="10"/>
  <c r="I78" s="1"/>
  <c r="H145" i="30" s="1"/>
  <c r="J76" i="10"/>
  <c r="K76"/>
  <c r="K78" s="1"/>
  <c r="J145" i="30" s="1"/>
  <c r="L76" i="10"/>
  <c r="M76"/>
  <c r="N76"/>
  <c r="N78" s="1"/>
  <c r="M145" i="30" s="1"/>
  <c r="O76" i="10"/>
  <c r="O78" s="1"/>
  <c r="N145" i="30" s="1"/>
  <c r="P76" i="10"/>
  <c r="P78" s="1"/>
  <c r="O145" i="30" s="1"/>
  <c r="Q76" i="10"/>
  <c r="Q78" s="1"/>
  <c r="P145" i="30" s="1"/>
  <c r="R76" i="10"/>
  <c r="S76"/>
  <c r="X76"/>
  <c r="D76"/>
  <c r="D73"/>
  <c r="D70"/>
  <c r="D72" s="1"/>
  <c r="C123" i="30" s="1"/>
  <c r="C76" i="10"/>
  <c r="C73"/>
  <c r="C70"/>
  <c r="B22"/>
  <c r="E223" i="11"/>
  <c r="F223"/>
  <c r="F225" s="1"/>
  <c r="E21" i="30" s="1"/>
  <c r="G223" i="11"/>
  <c r="G225" s="1"/>
  <c r="F21" i="30" s="1"/>
  <c r="H223" i="11"/>
  <c r="H225" s="1"/>
  <c r="G21" i="30" s="1"/>
  <c r="I223" i="11"/>
  <c r="I225" s="1"/>
  <c r="H21" i="30" s="1"/>
  <c r="J223" i="11"/>
  <c r="K223"/>
  <c r="K225" s="1"/>
  <c r="J21" i="30" s="1"/>
  <c r="L223" i="11"/>
  <c r="L225" s="1"/>
  <c r="K21" i="30" s="1"/>
  <c r="M223" i="11"/>
  <c r="M225" s="1"/>
  <c r="L21" i="30" s="1"/>
  <c r="N223" i="11"/>
  <c r="O223"/>
  <c r="O225" s="1"/>
  <c r="N21" i="30" s="1"/>
  <c r="P223" i="11"/>
  <c r="Q223"/>
  <c r="Q225" s="1"/>
  <c r="P21" i="30" s="1"/>
  <c r="R223" i="11"/>
  <c r="R225" s="1"/>
  <c r="Q21" i="30" s="1"/>
  <c r="S223" i="11"/>
  <c r="S225" s="1"/>
  <c r="R21" i="30" s="1"/>
  <c r="X223" i="11"/>
  <c r="X271" s="1"/>
  <c r="E226"/>
  <c r="E228" s="1"/>
  <c r="D32" i="30" s="1"/>
  <c r="F226" i="11"/>
  <c r="F228" s="1"/>
  <c r="E32" i="30" s="1"/>
  <c r="G226" i="11"/>
  <c r="G228" s="1"/>
  <c r="F32" i="30" s="1"/>
  <c r="H226" i="11"/>
  <c r="H228" s="1"/>
  <c r="G32" i="30" s="1"/>
  <c r="I226" i="11"/>
  <c r="I228" s="1"/>
  <c r="H32" i="30" s="1"/>
  <c r="J226" i="11"/>
  <c r="J228" s="1"/>
  <c r="I32" i="30" s="1"/>
  <c r="K226" i="11"/>
  <c r="K228" s="1"/>
  <c r="J32" i="30" s="1"/>
  <c r="L226" i="11"/>
  <c r="L228" s="1"/>
  <c r="K32" i="30" s="1"/>
  <c r="M226" i="11"/>
  <c r="N226"/>
  <c r="N228" s="1"/>
  <c r="M32" i="30" s="1"/>
  <c r="O226" i="11"/>
  <c r="O228" s="1"/>
  <c r="N32" i="30" s="1"/>
  <c r="P226" i="11"/>
  <c r="P228" s="1"/>
  <c r="O32" i="30" s="1"/>
  <c r="Q226" i="11"/>
  <c r="Q228" s="1"/>
  <c r="P32" i="30" s="1"/>
  <c r="R226" i="11"/>
  <c r="R228" s="1"/>
  <c r="Q32" i="30" s="1"/>
  <c r="S226" i="11"/>
  <c r="S228" s="1"/>
  <c r="R32" i="30" s="1"/>
  <c r="X226" i="11"/>
  <c r="X228" s="1"/>
  <c r="E229"/>
  <c r="E231" s="1"/>
  <c r="D43" i="30" s="1"/>
  <c r="F229" i="11"/>
  <c r="F231" s="1"/>
  <c r="E43" i="30" s="1"/>
  <c r="G229" i="11"/>
  <c r="G231" s="1"/>
  <c r="F43" i="30" s="1"/>
  <c r="H229" i="11"/>
  <c r="H231" s="1"/>
  <c r="G43" i="30" s="1"/>
  <c r="I229" i="11"/>
  <c r="I231" s="1"/>
  <c r="H43" i="30" s="1"/>
  <c r="J229" i="11"/>
  <c r="J231" s="1"/>
  <c r="I43" i="30" s="1"/>
  <c r="K229" i="11"/>
  <c r="K231" s="1"/>
  <c r="J43" i="30" s="1"/>
  <c r="L229" i="11"/>
  <c r="L231" s="1"/>
  <c r="K43" i="30" s="1"/>
  <c r="M229" i="11"/>
  <c r="M231" s="1"/>
  <c r="L43" i="30" s="1"/>
  <c r="N229" i="11"/>
  <c r="N231" s="1"/>
  <c r="M43" i="30" s="1"/>
  <c r="O229" i="11"/>
  <c r="O231" s="1"/>
  <c r="N43" i="30" s="1"/>
  <c r="P229" i="11"/>
  <c r="P231" s="1"/>
  <c r="O43" i="30" s="1"/>
  <c r="Q229" i="11"/>
  <c r="Q231" s="1"/>
  <c r="P43" i="30" s="1"/>
  <c r="R229" i="11"/>
  <c r="R231" s="1"/>
  <c r="Q43" i="30" s="1"/>
  <c r="S229" i="11"/>
  <c r="S231" s="1"/>
  <c r="R43" i="30" s="1"/>
  <c r="X229" i="11"/>
  <c r="X231" s="1"/>
  <c r="E232"/>
  <c r="F232"/>
  <c r="F234" s="1"/>
  <c r="E54" i="30" s="1"/>
  <c r="G232" i="11"/>
  <c r="G234" s="1"/>
  <c r="F54" i="30" s="1"/>
  <c r="H232" i="11"/>
  <c r="H234" s="1"/>
  <c r="G54" i="30" s="1"/>
  <c r="I232" i="11"/>
  <c r="I234" s="1"/>
  <c r="H54" i="30" s="1"/>
  <c r="J232" i="11"/>
  <c r="J234" s="1"/>
  <c r="I54" i="30" s="1"/>
  <c r="K232" i="11"/>
  <c r="K234" s="1"/>
  <c r="J54" i="30" s="1"/>
  <c r="L232" i="11"/>
  <c r="L234" s="1"/>
  <c r="K54" i="30" s="1"/>
  <c r="M232" i="11"/>
  <c r="N232"/>
  <c r="O232"/>
  <c r="O234" s="1"/>
  <c r="N54" i="30" s="1"/>
  <c r="P232" i="11"/>
  <c r="P234" s="1"/>
  <c r="O54" i="30" s="1"/>
  <c r="Q232" i="11"/>
  <c r="Q234" s="1"/>
  <c r="P54" i="30" s="1"/>
  <c r="R232" i="11"/>
  <c r="R234" s="1"/>
  <c r="Q54" i="30" s="1"/>
  <c r="S232" i="11"/>
  <c r="S234" s="1"/>
  <c r="R54" i="30" s="1"/>
  <c r="X232" i="11"/>
  <c r="X234" s="1"/>
  <c r="E235"/>
  <c r="F235"/>
  <c r="F237" s="1"/>
  <c r="E65" i="30" s="1"/>
  <c r="G235" i="11"/>
  <c r="G237" s="1"/>
  <c r="F65" i="30" s="1"/>
  <c r="H235" i="11"/>
  <c r="H237" s="1"/>
  <c r="G65" i="30" s="1"/>
  <c r="I235" i="11"/>
  <c r="I237" s="1"/>
  <c r="H65" i="30" s="1"/>
  <c r="J235" i="11"/>
  <c r="J237" s="1"/>
  <c r="I65" i="30" s="1"/>
  <c r="K235" i="11"/>
  <c r="K237" s="1"/>
  <c r="J65" i="30" s="1"/>
  <c r="L235" i="11"/>
  <c r="L237" s="1"/>
  <c r="K65" i="30" s="1"/>
  <c r="M235" i="11"/>
  <c r="M237" s="1"/>
  <c r="L65" i="30" s="1"/>
  <c r="N235" i="11"/>
  <c r="N237" s="1"/>
  <c r="M65" i="30" s="1"/>
  <c r="O235" i="11"/>
  <c r="O237" s="1"/>
  <c r="N65" i="30" s="1"/>
  <c r="P235" i="11"/>
  <c r="P237" s="1"/>
  <c r="O65" i="30" s="1"/>
  <c r="Q235" i="11"/>
  <c r="Q237" s="1"/>
  <c r="P65" i="30" s="1"/>
  <c r="R235" i="11"/>
  <c r="R237" s="1"/>
  <c r="Q65" i="30" s="1"/>
  <c r="S235" i="11"/>
  <c r="S237" s="1"/>
  <c r="R65" i="30" s="1"/>
  <c r="X235" i="11"/>
  <c r="X237" s="1"/>
  <c r="E238"/>
  <c r="E240" s="1"/>
  <c r="D76" i="30" s="1"/>
  <c r="F238" i="11"/>
  <c r="F240" s="1"/>
  <c r="E76" i="30" s="1"/>
  <c r="G238" i="11"/>
  <c r="G240" s="1"/>
  <c r="F76" i="30" s="1"/>
  <c r="H238" i="11"/>
  <c r="H240" s="1"/>
  <c r="G76" i="30" s="1"/>
  <c r="I238" i="11"/>
  <c r="I240" s="1"/>
  <c r="H76" i="30" s="1"/>
  <c r="J238" i="11"/>
  <c r="J240" s="1"/>
  <c r="I76" i="30" s="1"/>
  <c r="K238" i="11"/>
  <c r="K240" s="1"/>
  <c r="J76" i="30" s="1"/>
  <c r="L238" i="11"/>
  <c r="L240" s="1"/>
  <c r="K76" i="30" s="1"/>
  <c r="M238" i="11"/>
  <c r="N238"/>
  <c r="N240" s="1"/>
  <c r="M76" i="30" s="1"/>
  <c r="O238" i="11"/>
  <c r="O240" s="1"/>
  <c r="N76" i="30" s="1"/>
  <c r="P238" i="11"/>
  <c r="P240" s="1"/>
  <c r="O76" i="30" s="1"/>
  <c r="Q238" i="11"/>
  <c r="Q240" s="1"/>
  <c r="P76" i="30" s="1"/>
  <c r="R238" i="11"/>
  <c r="R240" s="1"/>
  <c r="Q76" i="30" s="1"/>
  <c r="S238" i="11"/>
  <c r="S240" s="1"/>
  <c r="R76" i="30" s="1"/>
  <c r="X238" i="11"/>
  <c r="X240" s="1"/>
  <c r="E241"/>
  <c r="E243" s="1"/>
  <c r="D87" i="30" s="1"/>
  <c r="F241" i="11"/>
  <c r="F243" s="1"/>
  <c r="E87" i="30" s="1"/>
  <c r="G241" i="11"/>
  <c r="G243" s="1"/>
  <c r="F87" i="30" s="1"/>
  <c r="H241" i="11"/>
  <c r="H243" s="1"/>
  <c r="G87" i="30" s="1"/>
  <c r="I241" i="11"/>
  <c r="I243" s="1"/>
  <c r="H87" i="30" s="1"/>
  <c r="J241" i="11"/>
  <c r="J243" s="1"/>
  <c r="I87" i="30" s="1"/>
  <c r="K241" i="11"/>
  <c r="L241"/>
  <c r="L243" s="1"/>
  <c r="K87" i="30" s="1"/>
  <c r="M241" i="11"/>
  <c r="N241"/>
  <c r="N243" s="1"/>
  <c r="M87" i="30" s="1"/>
  <c r="O241" i="11"/>
  <c r="O243" s="1"/>
  <c r="N87" i="30" s="1"/>
  <c r="P241" i="11"/>
  <c r="P243" s="1"/>
  <c r="O87" i="30" s="1"/>
  <c r="Q241" i="11"/>
  <c r="Q243" s="1"/>
  <c r="P87" i="30" s="1"/>
  <c r="R241" i="11"/>
  <c r="R243" s="1"/>
  <c r="Q87" i="30" s="1"/>
  <c r="S241" i="11"/>
  <c r="S243" s="1"/>
  <c r="R87" i="30" s="1"/>
  <c r="X241" i="11"/>
  <c r="X243" s="1"/>
  <c r="E244"/>
  <c r="E246" s="1"/>
  <c r="D98" i="30" s="1"/>
  <c r="F244" i="11"/>
  <c r="F246" s="1"/>
  <c r="E98" i="30" s="1"/>
  <c r="G244" i="11"/>
  <c r="G246" s="1"/>
  <c r="F98" i="30" s="1"/>
  <c r="H244" i="11"/>
  <c r="H246" s="1"/>
  <c r="G98" i="30" s="1"/>
  <c r="I244" i="11"/>
  <c r="I246" s="1"/>
  <c r="H98" i="30" s="1"/>
  <c r="J244" i="11"/>
  <c r="J246" s="1"/>
  <c r="I98" i="30" s="1"/>
  <c r="K244" i="11"/>
  <c r="K246" s="1"/>
  <c r="J98" i="30" s="1"/>
  <c r="L244" i="11"/>
  <c r="L246" s="1"/>
  <c r="K98" i="30" s="1"/>
  <c r="M244" i="11"/>
  <c r="N244"/>
  <c r="N246" s="1"/>
  <c r="M98" i="30" s="1"/>
  <c r="O244" i="11"/>
  <c r="O246" s="1"/>
  <c r="N98" i="30" s="1"/>
  <c r="P244" i="11"/>
  <c r="P246" s="1"/>
  <c r="O98" i="30" s="1"/>
  <c r="Q244" i="11"/>
  <c r="Q246" s="1"/>
  <c r="P98" i="30" s="1"/>
  <c r="R244" i="11"/>
  <c r="R246" s="1"/>
  <c r="Q98" i="30" s="1"/>
  <c r="S244" i="11"/>
  <c r="S246" s="1"/>
  <c r="R98" i="30" s="1"/>
  <c r="X244" i="11"/>
  <c r="X246" s="1"/>
  <c r="E247"/>
  <c r="E249" s="1"/>
  <c r="D109" i="30" s="1"/>
  <c r="F247" i="11"/>
  <c r="F249" s="1"/>
  <c r="E109" i="30" s="1"/>
  <c r="G247" i="11"/>
  <c r="H247"/>
  <c r="H249" s="1"/>
  <c r="G109" i="30" s="1"/>
  <c r="I247" i="11"/>
  <c r="I249" s="1"/>
  <c r="H109" i="30" s="1"/>
  <c r="J247" i="11"/>
  <c r="J249" s="1"/>
  <c r="I109" i="30" s="1"/>
  <c r="K247" i="11"/>
  <c r="K249" s="1"/>
  <c r="J109" i="30" s="1"/>
  <c r="L247" i="11"/>
  <c r="L249" s="1"/>
  <c r="K109" i="30" s="1"/>
  <c r="M247" i="11"/>
  <c r="M249" s="1"/>
  <c r="L109" i="30" s="1"/>
  <c r="N247" i="11"/>
  <c r="N249" s="1"/>
  <c r="M109" i="30" s="1"/>
  <c r="O247" i="11"/>
  <c r="O249" s="1"/>
  <c r="N109" i="30" s="1"/>
  <c r="P247" i="11"/>
  <c r="P249" s="1"/>
  <c r="O109" i="30" s="1"/>
  <c r="Q247" i="11"/>
  <c r="Q249" s="1"/>
  <c r="P109" i="30" s="1"/>
  <c r="R247" i="11"/>
  <c r="R249" s="1"/>
  <c r="Q109" i="30" s="1"/>
  <c r="S247" i="11"/>
  <c r="S249" s="1"/>
  <c r="R109" i="30" s="1"/>
  <c r="X247" i="11"/>
  <c r="X249" s="1"/>
  <c r="E250"/>
  <c r="E252" s="1"/>
  <c r="D122" i="30" s="1"/>
  <c r="F250" i="11"/>
  <c r="F252" s="1"/>
  <c r="E122" i="30" s="1"/>
  <c r="G250" i="11"/>
  <c r="G252" s="1"/>
  <c r="F122" i="30" s="1"/>
  <c r="H250" i="11"/>
  <c r="H252" s="1"/>
  <c r="G122" i="30" s="1"/>
  <c r="I250" i="11"/>
  <c r="I252" s="1"/>
  <c r="H122" i="30" s="1"/>
  <c r="J250" i="11"/>
  <c r="J252" s="1"/>
  <c r="I122" i="30" s="1"/>
  <c r="K250" i="11"/>
  <c r="K252" s="1"/>
  <c r="J122" i="30" s="1"/>
  <c r="L250" i="11"/>
  <c r="L252" s="1"/>
  <c r="K122" i="30" s="1"/>
  <c r="M250" i="11"/>
  <c r="M252" s="1"/>
  <c r="L122" i="30" s="1"/>
  <c r="N250" i="11"/>
  <c r="N252" s="1"/>
  <c r="M122" i="30" s="1"/>
  <c r="O250" i="11"/>
  <c r="O252" s="1"/>
  <c r="N122" i="30" s="1"/>
  <c r="P250" i="11"/>
  <c r="P252" s="1"/>
  <c r="O122" i="30" s="1"/>
  <c r="Q250" i="11"/>
  <c r="Q252" s="1"/>
  <c r="P122" i="30" s="1"/>
  <c r="R250" i="11"/>
  <c r="R252" s="1"/>
  <c r="Q122" i="30" s="1"/>
  <c r="S250" i="11"/>
  <c r="S252" s="1"/>
  <c r="R122" i="30" s="1"/>
  <c r="X250" i="11"/>
  <c r="X252" s="1"/>
  <c r="E253"/>
  <c r="F253"/>
  <c r="F255" s="1"/>
  <c r="E133" i="30" s="1"/>
  <c r="G253" i="11"/>
  <c r="G255" s="1"/>
  <c r="F133" i="30" s="1"/>
  <c r="H253" i="11"/>
  <c r="H255" s="1"/>
  <c r="G133" i="30" s="1"/>
  <c r="I253" i="11"/>
  <c r="I255" s="1"/>
  <c r="H133" i="30" s="1"/>
  <c r="J253" i="11"/>
  <c r="J255" s="1"/>
  <c r="I133" i="30" s="1"/>
  <c r="K253" i="11"/>
  <c r="K255" s="1"/>
  <c r="J133" i="30" s="1"/>
  <c r="L253" i="11"/>
  <c r="L255" s="1"/>
  <c r="K133" i="30" s="1"/>
  <c r="M253" i="11"/>
  <c r="N253"/>
  <c r="N255" s="1"/>
  <c r="M133" i="30" s="1"/>
  <c r="O253" i="11"/>
  <c r="O255" s="1"/>
  <c r="N133" i="30" s="1"/>
  <c r="P253" i="11"/>
  <c r="P255" s="1"/>
  <c r="O133" i="30" s="1"/>
  <c r="Q253" i="11"/>
  <c r="Q255" s="1"/>
  <c r="P133" i="30" s="1"/>
  <c r="R253" i="11"/>
  <c r="R255" s="1"/>
  <c r="Q133" i="30" s="1"/>
  <c r="S253" i="11"/>
  <c r="S255" s="1"/>
  <c r="R133" i="30" s="1"/>
  <c r="X253" i="11"/>
  <c r="E256"/>
  <c r="F256"/>
  <c r="F258" s="1"/>
  <c r="E144" i="30" s="1"/>
  <c r="G256" i="11"/>
  <c r="G258" s="1"/>
  <c r="F144" i="30" s="1"/>
  <c r="H256" i="11"/>
  <c r="H258" s="1"/>
  <c r="G144" i="30" s="1"/>
  <c r="I256" i="11"/>
  <c r="I258" s="1"/>
  <c r="H144" i="30" s="1"/>
  <c r="J256" i="11"/>
  <c r="J258" s="1"/>
  <c r="I144" i="30" s="1"/>
  <c r="K256" i="11"/>
  <c r="K258" s="1"/>
  <c r="J144" i="30" s="1"/>
  <c r="L256" i="11"/>
  <c r="L258" s="1"/>
  <c r="K144" i="30" s="1"/>
  <c r="M256" i="11"/>
  <c r="M258" s="1"/>
  <c r="L144" i="30" s="1"/>
  <c r="N256" i="11"/>
  <c r="N258" s="1"/>
  <c r="M144" i="30" s="1"/>
  <c r="O256" i="11"/>
  <c r="O258" s="1"/>
  <c r="N144" i="30" s="1"/>
  <c r="P256" i="11"/>
  <c r="P258" s="1"/>
  <c r="O144" i="30" s="1"/>
  <c r="Q256" i="11"/>
  <c r="Q258" s="1"/>
  <c r="P144" i="30" s="1"/>
  <c r="R256" i="11"/>
  <c r="R258" s="1"/>
  <c r="Q144" i="30" s="1"/>
  <c r="S256" i="11"/>
  <c r="S258" s="1"/>
  <c r="R144" i="30" s="1"/>
  <c r="X256" i="11"/>
  <c r="X258" s="1"/>
  <c r="E259"/>
  <c r="E261" s="1"/>
  <c r="D157" i="30" s="1"/>
  <c r="F259" i="11"/>
  <c r="G259"/>
  <c r="G261" s="1"/>
  <c r="F157" i="30" s="1"/>
  <c r="H259" i="11"/>
  <c r="H261" s="1"/>
  <c r="G157" i="30" s="1"/>
  <c r="I259" i="11"/>
  <c r="I261" s="1"/>
  <c r="H157" i="30" s="1"/>
  <c r="J259" i="11"/>
  <c r="J261" s="1"/>
  <c r="I157" i="30" s="1"/>
  <c r="K259" i="11"/>
  <c r="K261" s="1"/>
  <c r="J157" i="30" s="1"/>
  <c r="L259" i="11"/>
  <c r="L261" s="1"/>
  <c r="K157" i="30" s="1"/>
  <c r="M259" i="11"/>
  <c r="N259"/>
  <c r="N261" s="1"/>
  <c r="M157" i="30" s="1"/>
  <c r="O259" i="11"/>
  <c r="O261" s="1"/>
  <c r="N157" i="30" s="1"/>
  <c r="P259" i="11"/>
  <c r="P261" s="1"/>
  <c r="O157" i="30" s="1"/>
  <c r="Q259" i="11"/>
  <c r="Q261" s="1"/>
  <c r="P157" i="30" s="1"/>
  <c r="R259" i="11"/>
  <c r="R261" s="1"/>
  <c r="Q157" i="30" s="1"/>
  <c r="S259" i="11"/>
  <c r="S261" s="1"/>
  <c r="R157" i="30" s="1"/>
  <c r="X259" i="11"/>
  <c r="X261" s="1"/>
  <c r="E262"/>
  <c r="E264" s="1"/>
  <c r="D168" i="30" s="1"/>
  <c r="F262" i="11"/>
  <c r="F264" s="1"/>
  <c r="E168" i="30" s="1"/>
  <c r="G262" i="11"/>
  <c r="G264" s="1"/>
  <c r="F168" i="30" s="1"/>
  <c r="H262" i="11"/>
  <c r="H264" s="1"/>
  <c r="G168" i="30" s="1"/>
  <c r="I262" i="11"/>
  <c r="I264" s="1"/>
  <c r="H168" i="30" s="1"/>
  <c r="J262" i="11"/>
  <c r="J264" s="1"/>
  <c r="I168" i="30" s="1"/>
  <c r="K262" i="11"/>
  <c r="K264" s="1"/>
  <c r="J168" i="30" s="1"/>
  <c r="L262" i="11"/>
  <c r="M262"/>
  <c r="M264" s="1"/>
  <c r="L168" i="30" s="1"/>
  <c r="N262" i="11"/>
  <c r="N264" s="1"/>
  <c r="M168" i="30" s="1"/>
  <c r="O262" i="11"/>
  <c r="O264" s="1"/>
  <c r="N168" i="30" s="1"/>
  <c r="P262" i="11"/>
  <c r="P264" s="1"/>
  <c r="O168" i="30" s="1"/>
  <c r="Q262" i="11"/>
  <c r="Q264" s="1"/>
  <c r="P168" i="30" s="1"/>
  <c r="R262" i="11"/>
  <c r="R264" s="1"/>
  <c r="Q168" i="30" s="1"/>
  <c r="S262" i="11"/>
  <c r="S264" s="1"/>
  <c r="R168" i="30" s="1"/>
  <c r="X262" i="11"/>
  <c r="X264" s="1"/>
  <c r="E265"/>
  <c r="F265"/>
  <c r="F267" s="1"/>
  <c r="G265"/>
  <c r="G267" s="1"/>
  <c r="H265"/>
  <c r="H267" s="1"/>
  <c r="I265"/>
  <c r="I267" s="1"/>
  <c r="H179" i="30" s="1"/>
  <c r="J265" i="11"/>
  <c r="J267" s="1"/>
  <c r="I179" i="30" s="1"/>
  <c r="K265" i="11"/>
  <c r="K267" s="1"/>
  <c r="J179" i="30" s="1"/>
  <c r="L265" i="11"/>
  <c r="L267" s="1"/>
  <c r="K179" i="30" s="1"/>
  <c r="M265" i="11"/>
  <c r="N265"/>
  <c r="N267" s="1"/>
  <c r="M179" i="30" s="1"/>
  <c r="O265" i="11"/>
  <c r="O267" s="1"/>
  <c r="N179" i="30" s="1"/>
  <c r="P265" i="11"/>
  <c r="P267" s="1"/>
  <c r="O179" i="30" s="1"/>
  <c r="Q265" i="11"/>
  <c r="Q267" s="1"/>
  <c r="P179" i="30" s="1"/>
  <c r="R265" i="11"/>
  <c r="R267" s="1"/>
  <c r="Q179" i="30" s="1"/>
  <c r="S265" i="11"/>
  <c r="S267" s="1"/>
  <c r="R179" i="30" s="1"/>
  <c r="X265" i="11"/>
  <c r="X267" s="1"/>
  <c r="E268"/>
  <c r="F268"/>
  <c r="F270" s="1"/>
  <c r="E190" i="30" s="1"/>
  <c r="G268" i="11"/>
  <c r="G270" s="1"/>
  <c r="F190" i="30" s="1"/>
  <c r="H268" i="11"/>
  <c r="H270" s="1"/>
  <c r="G190" i="30" s="1"/>
  <c r="I268" i="11"/>
  <c r="I270" s="1"/>
  <c r="H190" i="30" s="1"/>
  <c r="J268" i="11"/>
  <c r="J270" s="1"/>
  <c r="I190" i="30" s="1"/>
  <c r="K268" i="11"/>
  <c r="K270" s="1"/>
  <c r="J190" i="30" s="1"/>
  <c r="L268" i="11"/>
  <c r="M268"/>
  <c r="M270" s="1"/>
  <c r="L190" i="30" s="1"/>
  <c r="N268" i="11"/>
  <c r="N270" s="1"/>
  <c r="M190" i="30" s="1"/>
  <c r="O268" i="11"/>
  <c r="O270" s="1"/>
  <c r="N190" i="30" s="1"/>
  <c r="P268" i="11"/>
  <c r="P270" s="1"/>
  <c r="O190" i="30" s="1"/>
  <c r="Q268" i="11"/>
  <c r="Q270" s="1"/>
  <c r="P190" i="30" s="1"/>
  <c r="R268" i="11"/>
  <c r="R270" s="1"/>
  <c r="Q190" i="30" s="1"/>
  <c r="S268" i="11"/>
  <c r="S270" s="1"/>
  <c r="R190" i="30" s="1"/>
  <c r="X268" i="11"/>
  <c r="X270" s="1"/>
  <c r="D268"/>
  <c r="D270" s="1"/>
  <c r="C190" i="30" s="1"/>
  <c r="D265" i="11"/>
  <c r="D267" s="1"/>
  <c r="D262"/>
  <c r="D264" s="1"/>
  <c r="C168" i="30" s="1"/>
  <c r="D259" i="11"/>
  <c r="D261" s="1"/>
  <c r="C157" i="30" s="1"/>
  <c r="D256" i="11"/>
  <c r="D258" s="1"/>
  <c r="C144" i="30" s="1"/>
  <c r="D253" i="11"/>
  <c r="D255" s="1"/>
  <c r="C133" i="30" s="1"/>
  <c r="D250" i="11"/>
  <c r="D252" s="1"/>
  <c r="C122" i="30" s="1"/>
  <c r="D247" i="11"/>
  <c r="D244"/>
  <c r="D241"/>
  <c r="D243" s="1"/>
  <c r="C87" i="30" s="1"/>
  <c r="D238" i="11"/>
  <c r="D240" s="1"/>
  <c r="C76" i="30" s="1"/>
  <c r="D235" i="11"/>
  <c r="D237" s="1"/>
  <c r="C65" i="30" s="1"/>
  <c r="D232" i="11"/>
  <c r="D234" s="1"/>
  <c r="C54" i="30" s="1"/>
  <c r="D229" i="11"/>
  <c r="D226"/>
  <c r="D228" s="1"/>
  <c r="C32" i="30" s="1"/>
  <c r="D223" i="11"/>
  <c r="C265"/>
  <c r="C268"/>
  <c r="C262"/>
  <c r="C259"/>
  <c r="C256"/>
  <c r="C253"/>
  <c r="C250"/>
  <c r="C247"/>
  <c r="C244"/>
  <c r="C241"/>
  <c r="C238"/>
  <c r="C235"/>
  <c r="C232"/>
  <c r="C229"/>
  <c r="C226"/>
  <c r="C223"/>
  <c r="D258" i="12"/>
  <c r="E219"/>
  <c r="F219"/>
  <c r="G219"/>
  <c r="H219"/>
  <c r="H221" s="1"/>
  <c r="G20" i="30" s="1"/>
  <c r="I219" i="12"/>
  <c r="J219"/>
  <c r="K219"/>
  <c r="L219"/>
  <c r="M219"/>
  <c r="N219"/>
  <c r="O219"/>
  <c r="P219"/>
  <c r="Q219"/>
  <c r="R219"/>
  <c r="S219"/>
  <c r="X219"/>
  <c r="E222"/>
  <c r="F222"/>
  <c r="G222"/>
  <c r="H222"/>
  <c r="I222"/>
  <c r="J222"/>
  <c r="K222"/>
  <c r="L222"/>
  <c r="M222"/>
  <c r="N222"/>
  <c r="O222"/>
  <c r="P222"/>
  <c r="Q222"/>
  <c r="R222"/>
  <c r="S222"/>
  <c r="X222"/>
  <c r="E225"/>
  <c r="F225"/>
  <c r="G225"/>
  <c r="H225"/>
  <c r="I225"/>
  <c r="J225"/>
  <c r="K225"/>
  <c r="L225"/>
  <c r="M225"/>
  <c r="N225"/>
  <c r="O225"/>
  <c r="P225"/>
  <c r="P227" s="1"/>
  <c r="O42" i="30" s="1"/>
  <c r="Q225" i="12"/>
  <c r="R225"/>
  <c r="S225"/>
  <c r="X225"/>
  <c r="E228"/>
  <c r="F228"/>
  <c r="G228"/>
  <c r="H228"/>
  <c r="I228"/>
  <c r="J228"/>
  <c r="K228"/>
  <c r="K230" s="1"/>
  <c r="J53" i="30" s="1"/>
  <c r="L228" i="12"/>
  <c r="M228"/>
  <c r="N228"/>
  <c r="O228"/>
  <c r="P228"/>
  <c r="Q228"/>
  <c r="R228"/>
  <c r="S228"/>
  <c r="S230" s="1"/>
  <c r="R53" i="30" s="1"/>
  <c r="X228" i="12"/>
  <c r="E231"/>
  <c r="F231"/>
  <c r="G231"/>
  <c r="H231"/>
  <c r="I231"/>
  <c r="J231"/>
  <c r="K231"/>
  <c r="K233" s="1"/>
  <c r="J64" i="30" s="1"/>
  <c r="L231" i="12"/>
  <c r="M231"/>
  <c r="N231"/>
  <c r="O231"/>
  <c r="P231"/>
  <c r="P233" s="1"/>
  <c r="O64" i="30" s="1"/>
  <c r="Q231" i="12"/>
  <c r="R231"/>
  <c r="S231"/>
  <c r="X231"/>
  <c r="E234"/>
  <c r="F234"/>
  <c r="G234"/>
  <c r="H234"/>
  <c r="I234"/>
  <c r="J234"/>
  <c r="K234"/>
  <c r="L234"/>
  <c r="M234"/>
  <c r="N234"/>
  <c r="O234"/>
  <c r="P234"/>
  <c r="Q234"/>
  <c r="R234"/>
  <c r="S234"/>
  <c r="X234"/>
  <c r="E237"/>
  <c r="F237"/>
  <c r="G237"/>
  <c r="H237"/>
  <c r="I237"/>
  <c r="J237"/>
  <c r="K237"/>
  <c r="L237"/>
  <c r="M237"/>
  <c r="N237"/>
  <c r="O237"/>
  <c r="P237"/>
  <c r="Q237"/>
  <c r="R237"/>
  <c r="S237"/>
  <c r="X237"/>
  <c r="E240"/>
  <c r="F240"/>
  <c r="G240"/>
  <c r="H240"/>
  <c r="I240"/>
  <c r="J240"/>
  <c r="K240"/>
  <c r="L240"/>
  <c r="M240"/>
  <c r="N240"/>
  <c r="O240"/>
  <c r="P240"/>
  <c r="Q240"/>
  <c r="R240"/>
  <c r="S240"/>
  <c r="X240"/>
  <c r="E243"/>
  <c r="F243"/>
  <c r="G243"/>
  <c r="H243"/>
  <c r="H245" s="1"/>
  <c r="G108" i="30" s="1"/>
  <c r="I243" i="12"/>
  <c r="J243"/>
  <c r="K243"/>
  <c r="L243"/>
  <c r="M243"/>
  <c r="N243"/>
  <c r="O243"/>
  <c r="P243"/>
  <c r="P245" s="1"/>
  <c r="O108" i="30" s="1"/>
  <c r="Q243" i="12"/>
  <c r="R243"/>
  <c r="S243"/>
  <c r="X245"/>
  <c r="F249"/>
  <c r="G249"/>
  <c r="H249"/>
  <c r="I249"/>
  <c r="J249"/>
  <c r="K249"/>
  <c r="K251" s="1"/>
  <c r="J121" i="30" s="1"/>
  <c r="L249" i="12"/>
  <c r="N249"/>
  <c r="O249"/>
  <c r="P249"/>
  <c r="Q249"/>
  <c r="Q251" s="1"/>
  <c r="P121" i="30" s="1"/>
  <c r="R249" i="12"/>
  <c r="R251" s="1"/>
  <c r="Q121" i="30" s="1"/>
  <c r="S249" i="12"/>
  <c r="X249"/>
  <c r="E252"/>
  <c r="F252"/>
  <c r="G252"/>
  <c r="H252"/>
  <c r="I252"/>
  <c r="J252"/>
  <c r="K252"/>
  <c r="L252"/>
  <c r="M252"/>
  <c r="N252"/>
  <c r="O252"/>
  <c r="P252"/>
  <c r="Q252"/>
  <c r="Q254" s="1"/>
  <c r="P132" i="30" s="1"/>
  <c r="R252" i="12"/>
  <c r="R254" s="1"/>
  <c r="Q132" i="30" s="1"/>
  <c r="S252" i="12"/>
  <c r="X252"/>
  <c r="E255"/>
  <c r="F255"/>
  <c r="G255"/>
  <c r="H255"/>
  <c r="I255"/>
  <c r="I257" s="1"/>
  <c r="H143" i="30" s="1"/>
  <c r="J255" i="12"/>
  <c r="K255"/>
  <c r="L255"/>
  <c r="M255"/>
  <c r="N255"/>
  <c r="O255"/>
  <c r="P255"/>
  <c r="Q255"/>
  <c r="Q257" s="1"/>
  <c r="P143" i="30" s="1"/>
  <c r="R255" i="12"/>
  <c r="S255"/>
  <c r="X255"/>
  <c r="E258"/>
  <c r="F258"/>
  <c r="G258"/>
  <c r="H258"/>
  <c r="I258"/>
  <c r="I260" s="1"/>
  <c r="H156" i="30" s="1"/>
  <c r="J258" i="12"/>
  <c r="J260" s="1"/>
  <c r="I156" i="30" s="1"/>
  <c r="K258" i="12"/>
  <c r="L258"/>
  <c r="M258"/>
  <c r="N258"/>
  <c r="O258"/>
  <c r="P258"/>
  <c r="Q258"/>
  <c r="Q260" s="1"/>
  <c r="P156" i="30" s="1"/>
  <c r="R258" i="12"/>
  <c r="R260" s="1"/>
  <c r="Q156" i="30" s="1"/>
  <c r="S258" i="12"/>
  <c r="X258"/>
  <c r="E261"/>
  <c r="F261"/>
  <c r="G261"/>
  <c r="H261"/>
  <c r="I261"/>
  <c r="I263" s="1"/>
  <c r="H167" i="30" s="1"/>
  <c r="J261" i="12"/>
  <c r="J263" s="1"/>
  <c r="I167" i="30" s="1"/>
  <c r="K261" i="12"/>
  <c r="L261"/>
  <c r="M261"/>
  <c r="N261"/>
  <c r="O261"/>
  <c r="P261"/>
  <c r="Q261"/>
  <c r="Q263" s="1"/>
  <c r="P167" i="30" s="1"/>
  <c r="R261" i="12"/>
  <c r="S261"/>
  <c r="X261"/>
  <c r="E264"/>
  <c r="F264"/>
  <c r="G264"/>
  <c r="H264"/>
  <c r="I264"/>
  <c r="I266" s="1"/>
  <c r="H178" i="30" s="1"/>
  <c r="J264" i="12"/>
  <c r="J266" s="1"/>
  <c r="I178" i="30" s="1"/>
  <c r="K264" i="12"/>
  <c r="L264"/>
  <c r="M264"/>
  <c r="N264"/>
  <c r="O264"/>
  <c r="P264"/>
  <c r="Q264"/>
  <c r="Q266" s="1"/>
  <c r="P178" i="30" s="1"/>
  <c r="R264" i="12"/>
  <c r="R266" s="1"/>
  <c r="Q178" i="30" s="1"/>
  <c r="S264" i="12"/>
  <c r="X264"/>
  <c r="E267"/>
  <c r="F267"/>
  <c r="G267"/>
  <c r="H267"/>
  <c r="I267"/>
  <c r="I269" s="1"/>
  <c r="H189" i="30" s="1"/>
  <c r="J267" i="12"/>
  <c r="J269" s="1"/>
  <c r="I189" i="30" s="1"/>
  <c r="K267" i="12"/>
  <c r="L267"/>
  <c r="M267"/>
  <c r="N267"/>
  <c r="O267"/>
  <c r="P267"/>
  <c r="Q267"/>
  <c r="Q269" s="1"/>
  <c r="P189" i="30" s="1"/>
  <c r="S267" i="12"/>
  <c r="X267"/>
  <c r="D264"/>
  <c r="D261"/>
  <c r="D263" s="1"/>
  <c r="C167" i="30" s="1"/>
  <c r="D255" i="12"/>
  <c r="D257" s="1"/>
  <c r="C143" i="30" s="1"/>
  <c r="D252" i="12"/>
  <c r="D249"/>
  <c r="D243"/>
  <c r="D245" s="1"/>
  <c r="C108" i="30" s="1"/>
  <c r="D240" i="12"/>
  <c r="D237"/>
  <c r="D234"/>
  <c r="D231"/>
  <c r="D233" s="1"/>
  <c r="C64" i="30" s="1"/>
  <c r="D228" i="12"/>
  <c r="D225"/>
  <c r="D222"/>
  <c r="C267"/>
  <c r="C264"/>
  <c r="C261"/>
  <c r="C258"/>
  <c r="C255"/>
  <c r="C252"/>
  <c r="C249"/>
  <c r="C243"/>
  <c r="C240"/>
  <c r="C237"/>
  <c r="C234"/>
  <c r="C231"/>
  <c r="C228"/>
  <c r="C225"/>
  <c r="C222"/>
  <c r="C219"/>
  <c r="E222" i="4"/>
  <c r="F222"/>
  <c r="G222"/>
  <c r="H222"/>
  <c r="I222"/>
  <c r="J222"/>
  <c r="J224" s="1"/>
  <c r="I19" i="30" s="1"/>
  <c r="K222" i="4"/>
  <c r="L222"/>
  <c r="L224" s="1"/>
  <c r="K19" i="30" s="1"/>
  <c r="M222" i="4"/>
  <c r="N222"/>
  <c r="O222"/>
  <c r="P222"/>
  <c r="P224" s="1"/>
  <c r="O19" i="30" s="1"/>
  <c r="Q222" i="4"/>
  <c r="Q224" s="1"/>
  <c r="P19" i="30" s="1"/>
  <c r="R222" i="4"/>
  <c r="R224" s="1"/>
  <c r="Q19" i="30" s="1"/>
  <c r="S222" i="4"/>
  <c r="S224" s="1"/>
  <c r="R19" i="30" s="1"/>
  <c r="X222" i="4"/>
  <c r="X224" s="1"/>
  <c r="E225"/>
  <c r="E227" s="1"/>
  <c r="D30" i="30" s="1"/>
  <c r="F225" i="4"/>
  <c r="F227" s="1"/>
  <c r="E30" i="30" s="1"/>
  <c r="G225" i="4"/>
  <c r="H225"/>
  <c r="I225"/>
  <c r="I227" s="1"/>
  <c r="H30" i="30" s="1"/>
  <c r="J225" i="4"/>
  <c r="J227" s="1"/>
  <c r="I30" i="30" s="1"/>
  <c r="K225" i="4"/>
  <c r="L225"/>
  <c r="M225"/>
  <c r="M227" s="1"/>
  <c r="L30" i="30" s="1"/>
  <c r="N225" i="4"/>
  <c r="N227" s="1"/>
  <c r="M30" i="30" s="1"/>
  <c r="O225" i="4"/>
  <c r="P225"/>
  <c r="Q225"/>
  <c r="Q227" s="1"/>
  <c r="P30" i="30" s="1"/>
  <c r="R225" i="4"/>
  <c r="R227" s="1"/>
  <c r="Q30" i="30" s="1"/>
  <c r="S225" i="4"/>
  <c r="X225"/>
  <c r="E228"/>
  <c r="E230" s="1"/>
  <c r="D41" i="30" s="1"/>
  <c r="F228" i="4"/>
  <c r="F230" s="1"/>
  <c r="E41" i="30" s="1"/>
  <c r="G228" i="4"/>
  <c r="H228"/>
  <c r="I228"/>
  <c r="I230" s="1"/>
  <c r="H41" i="30" s="1"/>
  <c r="J228" i="4"/>
  <c r="J230" s="1"/>
  <c r="I41" i="30" s="1"/>
  <c r="K228" i="4"/>
  <c r="L228"/>
  <c r="M228"/>
  <c r="M230" s="1"/>
  <c r="L41" i="30" s="1"/>
  <c r="N228" i="4"/>
  <c r="N230" s="1"/>
  <c r="M41" i="30" s="1"/>
  <c r="O228" i="4"/>
  <c r="P228"/>
  <c r="Q228"/>
  <c r="Q230" s="1"/>
  <c r="P41" i="30" s="1"/>
  <c r="R228" i="4"/>
  <c r="R230" s="1"/>
  <c r="Q41" i="30" s="1"/>
  <c r="S228" i="4"/>
  <c r="X228"/>
  <c r="E231"/>
  <c r="E233" s="1"/>
  <c r="D52" i="30" s="1"/>
  <c r="F231" i="4"/>
  <c r="F233" s="1"/>
  <c r="E52" i="30" s="1"/>
  <c r="G231" i="4"/>
  <c r="H231"/>
  <c r="I231"/>
  <c r="I233" s="1"/>
  <c r="H52" i="30" s="1"/>
  <c r="J231" i="4"/>
  <c r="J233" s="1"/>
  <c r="I52" i="30" s="1"/>
  <c r="K231" i="4"/>
  <c r="L231"/>
  <c r="M231"/>
  <c r="M233" s="1"/>
  <c r="L52" i="30" s="1"/>
  <c r="N231" i="4"/>
  <c r="N233" s="1"/>
  <c r="M52" i="30" s="1"/>
  <c r="O231" i="4"/>
  <c r="P231"/>
  <c r="Q231"/>
  <c r="Q233" s="1"/>
  <c r="P52" i="30" s="1"/>
  <c r="R231" i="4"/>
  <c r="R233" s="1"/>
  <c r="Q52" i="30" s="1"/>
  <c r="S231" i="4"/>
  <c r="X231"/>
  <c r="E234"/>
  <c r="E236" s="1"/>
  <c r="D63" i="30" s="1"/>
  <c r="F234" i="4"/>
  <c r="F236" s="1"/>
  <c r="E63" i="30" s="1"/>
  <c r="G234" i="4"/>
  <c r="H234"/>
  <c r="I234"/>
  <c r="I236" s="1"/>
  <c r="H63" i="30" s="1"/>
  <c r="J234" i="4"/>
  <c r="J236" s="1"/>
  <c r="I63" i="30" s="1"/>
  <c r="K234" i="4"/>
  <c r="L234"/>
  <c r="M234"/>
  <c r="M236" s="1"/>
  <c r="L63" i="30" s="1"/>
  <c r="N234" i="4"/>
  <c r="N236" s="1"/>
  <c r="M63" i="30" s="1"/>
  <c r="O234" i="4"/>
  <c r="P234"/>
  <c r="Q234"/>
  <c r="Q236" s="1"/>
  <c r="P63" i="30" s="1"/>
  <c r="R234" i="4"/>
  <c r="R236" s="1"/>
  <c r="Q63" i="30" s="1"/>
  <c r="S234" i="4"/>
  <c r="X234"/>
  <c r="E237"/>
  <c r="E239" s="1"/>
  <c r="D74" i="30" s="1"/>
  <c r="F237" i="4"/>
  <c r="G237"/>
  <c r="H237"/>
  <c r="I237"/>
  <c r="I239" s="1"/>
  <c r="H74" i="30" s="1"/>
  <c r="J237" i="4"/>
  <c r="J239" s="1"/>
  <c r="I74" i="30" s="1"/>
  <c r="K237" i="4"/>
  <c r="L237"/>
  <c r="M237"/>
  <c r="M239" s="1"/>
  <c r="L74" i="30" s="1"/>
  <c r="N237" i="4"/>
  <c r="N239" s="1"/>
  <c r="M74" i="30" s="1"/>
  <c r="O237" i="4"/>
  <c r="P237"/>
  <c r="Q237"/>
  <c r="Q239" s="1"/>
  <c r="P74" i="30" s="1"/>
  <c r="R237" i="4"/>
  <c r="R239" s="1"/>
  <c r="Q74" i="30" s="1"/>
  <c r="S237" i="4"/>
  <c r="X237"/>
  <c r="E240"/>
  <c r="E242" s="1"/>
  <c r="D85" i="30" s="1"/>
  <c r="F240" i="4"/>
  <c r="F242" s="1"/>
  <c r="E85" i="30" s="1"/>
  <c r="G240" i="4"/>
  <c r="H240"/>
  <c r="I240"/>
  <c r="I242" s="1"/>
  <c r="H85" i="30" s="1"/>
  <c r="J240" i="4"/>
  <c r="J242" s="1"/>
  <c r="I85" i="30" s="1"/>
  <c r="K240" i="4"/>
  <c r="L240"/>
  <c r="M240"/>
  <c r="M242" s="1"/>
  <c r="L85" i="30" s="1"/>
  <c r="N240" i="4"/>
  <c r="N242" s="1"/>
  <c r="M85" i="30" s="1"/>
  <c r="O240" i="4"/>
  <c r="P240"/>
  <c r="Q240"/>
  <c r="Q242" s="1"/>
  <c r="P85" i="30" s="1"/>
  <c r="R240" i="4"/>
  <c r="R242" s="1"/>
  <c r="Q85" i="30" s="1"/>
  <c r="S240" i="4"/>
  <c r="X240"/>
  <c r="E243"/>
  <c r="E245" s="1"/>
  <c r="D96" i="30" s="1"/>
  <c r="F243" i="4"/>
  <c r="F245" s="1"/>
  <c r="E96" i="30" s="1"/>
  <c r="G243" i="4"/>
  <c r="H243"/>
  <c r="I243"/>
  <c r="I245" s="1"/>
  <c r="H96" i="30" s="1"/>
  <c r="J243" i="4"/>
  <c r="J245" s="1"/>
  <c r="I96" i="30" s="1"/>
  <c r="K243" i="4"/>
  <c r="L243"/>
  <c r="M243"/>
  <c r="M245" s="1"/>
  <c r="L96" i="30" s="1"/>
  <c r="N243" i="4"/>
  <c r="N245" s="1"/>
  <c r="M96" i="30" s="1"/>
  <c r="O243" i="4"/>
  <c r="P243"/>
  <c r="Q243"/>
  <c r="Q245" s="1"/>
  <c r="P96" i="30" s="1"/>
  <c r="R243" i="4"/>
  <c r="R245" s="1"/>
  <c r="Q96" i="30" s="1"/>
  <c r="S243" i="4"/>
  <c r="X243"/>
  <c r="E246"/>
  <c r="E248" s="1"/>
  <c r="D107" i="30" s="1"/>
  <c r="F246" i="4"/>
  <c r="F248" s="1"/>
  <c r="E107" i="30" s="1"/>
  <c r="G246" i="4"/>
  <c r="H246"/>
  <c r="I246"/>
  <c r="I248" s="1"/>
  <c r="H107" i="30" s="1"/>
  <c r="J246" i="4"/>
  <c r="J248" s="1"/>
  <c r="I107" i="30" s="1"/>
  <c r="K246" i="4"/>
  <c r="L246"/>
  <c r="M246"/>
  <c r="M248" s="1"/>
  <c r="L107" i="30" s="1"/>
  <c r="N246" i="4"/>
  <c r="N248" s="1"/>
  <c r="M107" i="30" s="1"/>
  <c r="O246" i="4"/>
  <c r="P246"/>
  <c r="Q246"/>
  <c r="Q248" s="1"/>
  <c r="P107" i="30" s="1"/>
  <c r="R246" i="4"/>
  <c r="R248" s="1"/>
  <c r="Q107" i="30" s="1"/>
  <c r="S246" i="4"/>
  <c r="X246"/>
  <c r="E249"/>
  <c r="E251" s="1"/>
  <c r="D120" i="30" s="1"/>
  <c r="F249" i="4"/>
  <c r="F251" s="1"/>
  <c r="E120" i="30" s="1"/>
  <c r="G249" i="4"/>
  <c r="H249"/>
  <c r="I249"/>
  <c r="I251" s="1"/>
  <c r="H120" i="30" s="1"/>
  <c r="J249" i="4"/>
  <c r="J251" s="1"/>
  <c r="I120" i="30" s="1"/>
  <c r="K249" i="4"/>
  <c r="L249"/>
  <c r="M249"/>
  <c r="M251" s="1"/>
  <c r="L120" i="30" s="1"/>
  <c r="N249" i="4"/>
  <c r="N251" s="1"/>
  <c r="M120" i="30" s="1"/>
  <c r="O249" i="4"/>
  <c r="P249"/>
  <c r="Q249"/>
  <c r="Q251" s="1"/>
  <c r="P120" i="30" s="1"/>
  <c r="R249" i="4"/>
  <c r="R251" s="1"/>
  <c r="Q120" i="30" s="1"/>
  <c r="S249" i="4"/>
  <c r="X249"/>
  <c r="E252"/>
  <c r="E254" s="1"/>
  <c r="D131" i="30" s="1"/>
  <c r="F252" i="4"/>
  <c r="F254" s="1"/>
  <c r="E131" i="30" s="1"/>
  <c r="G252" i="4"/>
  <c r="H252"/>
  <c r="I252"/>
  <c r="I254" s="1"/>
  <c r="H131" i="30" s="1"/>
  <c r="J252" i="4"/>
  <c r="J254" s="1"/>
  <c r="I131" i="30" s="1"/>
  <c r="K252" i="4"/>
  <c r="L252"/>
  <c r="M252"/>
  <c r="M254" s="1"/>
  <c r="L131" i="30" s="1"/>
  <c r="N252" i="4"/>
  <c r="O252"/>
  <c r="P252"/>
  <c r="Q252"/>
  <c r="Q254" s="1"/>
  <c r="P131" i="30" s="1"/>
  <c r="R252" i="4"/>
  <c r="R254" s="1"/>
  <c r="Q131" i="30" s="1"/>
  <c r="S252" i="4"/>
  <c r="X252"/>
  <c r="E255"/>
  <c r="E257" s="1"/>
  <c r="D142" i="30" s="1"/>
  <c r="F255" i="4"/>
  <c r="F257" s="1"/>
  <c r="E142" i="30" s="1"/>
  <c r="G255" i="4"/>
  <c r="H255"/>
  <c r="I255"/>
  <c r="I257" s="1"/>
  <c r="H142" i="30" s="1"/>
  <c r="J255" i="4"/>
  <c r="J257" s="1"/>
  <c r="I142" i="30" s="1"/>
  <c r="K255" i="4"/>
  <c r="L255"/>
  <c r="M255"/>
  <c r="M257" s="1"/>
  <c r="L142" i="30" s="1"/>
  <c r="N255" i="4"/>
  <c r="N257" s="1"/>
  <c r="M142" i="30" s="1"/>
  <c r="O255" i="4"/>
  <c r="P255"/>
  <c r="Q255"/>
  <c r="Q257" s="1"/>
  <c r="P142" i="30" s="1"/>
  <c r="R255" i="4"/>
  <c r="S255"/>
  <c r="X255"/>
  <c r="E258"/>
  <c r="E260" s="1"/>
  <c r="D155" i="30" s="1"/>
  <c r="F258" i="4"/>
  <c r="F260" s="1"/>
  <c r="E155" i="30" s="1"/>
  <c r="G258" i="4"/>
  <c r="H258"/>
  <c r="I258"/>
  <c r="I260" s="1"/>
  <c r="H155" i="30" s="1"/>
  <c r="J258" i="4"/>
  <c r="J260" s="1"/>
  <c r="I155" i="30" s="1"/>
  <c r="K258" i="4"/>
  <c r="L258"/>
  <c r="M258"/>
  <c r="M260" s="1"/>
  <c r="L155" i="30" s="1"/>
  <c r="N258" i="4"/>
  <c r="O258"/>
  <c r="P258"/>
  <c r="Q258"/>
  <c r="R258"/>
  <c r="R260" s="1"/>
  <c r="Q155" i="30" s="1"/>
  <c r="S258" i="4"/>
  <c r="X258"/>
  <c r="E261"/>
  <c r="E263" s="1"/>
  <c r="D166" i="30" s="1"/>
  <c r="F261" i="4"/>
  <c r="F263" s="1"/>
  <c r="E166" i="30" s="1"/>
  <c r="G261" i="4"/>
  <c r="H261"/>
  <c r="I261"/>
  <c r="I263" s="1"/>
  <c r="H166" i="30" s="1"/>
  <c r="J261" i="4"/>
  <c r="J263" s="1"/>
  <c r="I166" i="30" s="1"/>
  <c r="K261" i="4"/>
  <c r="L261"/>
  <c r="M261"/>
  <c r="M263" s="1"/>
  <c r="L166" i="30" s="1"/>
  <c r="N261" i="4"/>
  <c r="N263" s="1"/>
  <c r="M166" i="30" s="1"/>
  <c r="O261" i="4"/>
  <c r="P261"/>
  <c r="Q261"/>
  <c r="Q263" s="1"/>
  <c r="P166" i="30" s="1"/>
  <c r="R261" i="4"/>
  <c r="R263" s="1"/>
  <c r="Q166" i="30" s="1"/>
  <c r="S261" i="4"/>
  <c r="X261"/>
  <c r="E264"/>
  <c r="E266" s="1"/>
  <c r="F264"/>
  <c r="F266" s="1"/>
  <c r="G264"/>
  <c r="H264"/>
  <c r="I264"/>
  <c r="I266" s="1"/>
  <c r="H177" i="30" s="1"/>
  <c r="J264" i="4"/>
  <c r="J266" s="1"/>
  <c r="I177" i="30" s="1"/>
  <c r="K264" i="4"/>
  <c r="L264"/>
  <c r="M264"/>
  <c r="M266" s="1"/>
  <c r="L177" i="30" s="1"/>
  <c r="N264" i="4"/>
  <c r="N266" s="1"/>
  <c r="M177" i="30" s="1"/>
  <c r="O264" i="4"/>
  <c r="P264"/>
  <c r="Q264"/>
  <c r="Q266" s="1"/>
  <c r="P177" i="30" s="1"/>
  <c r="R264" i="4"/>
  <c r="R266" s="1"/>
  <c r="Q177" i="30" s="1"/>
  <c r="S264" i="4"/>
  <c r="X264"/>
  <c r="E267"/>
  <c r="E269" s="1"/>
  <c r="D188" i="30" s="1"/>
  <c r="F267" i="4"/>
  <c r="G267"/>
  <c r="H267"/>
  <c r="I267"/>
  <c r="I269" s="1"/>
  <c r="H188" i="30" s="1"/>
  <c r="J267" i="4"/>
  <c r="J269" s="1"/>
  <c r="I188" i="30" s="1"/>
  <c r="K267" i="4"/>
  <c r="L267"/>
  <c r="M267"/>
  <c r="M269" s="1"/>
  <c r="L188" i="30" s="1"/>
  <c r="N267" i="4"/>
  <c r="N269" s="1"/>
  <c r="M188" i="30" s="1"/>
  <c r="O267" i="4"/>
  <c r="P267"/>
  <c r="Q267"/>
  <c r="Q270" s="1"/>
  <c r="R267"/>
  <c r="R269" s="1"/>
  <c r="Q188" i="30" s="1"/>
  <c r="S267" i="4"/>
  <c r="X267"/>
  <c r="D267"/>
  <c r="D269" s="1"/>
  <c r="C188" i="30" s="1"/>
  <c r="D264" i="4"/>
  <c r="D266" s="1"/>
  <c r="D261"/>
  <c r="D258"/>
  <c r="D255"/>
  <c r="D257" s="1"/>
  <c r="C142" i="30" s="1"/>
  <c r="D252" i="4"/>
  <c r="D254" s="1"/>
  <c r="C131" i="30" s="1"/>
  <c r="D249" i="4"/>
  <c r="D246"/>
  <c r="D243"/>
  <c r="D245" s="1"/>
  <c r="C96" i="30" s="1"/>
  <c r="D240" i="4"/>
  <c r="D237"/>
  <c r="D234"/>
  <c r="D231"/>
  <c r="D233" s="1"/>
  <c r="C52" i="30" s="1"/>
  <c r="D228" i="4"/>
  <c r="D230" s="1"/>
  <c r="C41" i="30" s="1"/>
  <c r="D225" i="4"/>
  <c r="D222"/>
  <c r="C264"/>
  <c r="C261"/>
  <c r="C258"/>
  <c r="C255"/>
  <c r="C252"/>
  <c r="C249"/>
  <c r="C246"/>
  <c r="C243"/>
  <c r="C240"/>
  <c r="C237"/>
  <c r="C234"/>
  <c r="C231"/>
  <c r="C228"/>
  <c r="C225"/>
  <c r="C222"/>
  <c r="D207" i="5"/>
  <c r="D162"/>
  <c r="N221" i="7"/>
  <c r="O221"/>
  <c r="P221"/>
  <c r="Q221"/>
  <c r="R221"/>
  <c r="AB11" i="40" s="1"/>
  <c r="AC11" s="1"/>
  <c r="S221" i="7"/>
  <c r="T221"/>
  <c r="E162" i="5"/>
  <c r="E164" s="1"/>
  <c r="D18" i="30" s="1"/>
  <c r="F162" i="5"/>
  <c r="G162"/>
  <c r="I162"/>
  <c r="I164" s="1"/>
  <c r="H18" i="30" s="1"/>
  <c r="J162" i="5"/>
  <c r="K162"/>
  <c r="L162"/>
  <c r="M162"/>
  <c r="N162"/>
  <c r="O162"/>
  <c r="O164" s="1"/>
  <c r="N18" i="30" s="1"/>
  <c r="P162" i="5"/>
  <c r="Q162"/>
  <c r="R162"/>
  <c r="R164" s="1"/>
  <c r="Q18" i="30" s="1"/>
  <c r="S162" i="5"/>
  <c r="X162"/>
  <c r="E165"/>
  <c r="F165"/>
  <c r="G165"/>
  <c r="H165"/>
  <c r="I165"/>
  <c r="J165"/>
  <c r="K165"/>
  <c r="L165"/>
  <c r="M165"/>
  <c r="N165"/>
  <c r="O165"/>
  <c r="O167" s="1"/>
  <c r="N29" i="30" s="1"/>
  <c r="P165" i="5"/>
  <c r="Q165"/>
  <c r="R165"/>
  <c r="S165"/>
  <c r="X165"/>
  <c r="E168"/>
  <c r="F168"/>
  <c r="G168"/>
  <c r="G170" s="1"/>
  <c r="F40" i="30" s="1"/>
  <c r="H168" i="5"/>
  <c r="I168"/>
  <c r="I170" s="1"/>
  <c r="H40" i="30" s="1"/>
  <c r="J168" i="5"/>
  <c r="K168"/>
  <c r="M168"/>
  <c r="N168"/>
  <c r="O168"/>
  <c r="P168"/>
  <c r="Q168"/>
  <c r="R168"/>
  <c r="S168"/>
  <c r="X168"/>
  <c r="E171"/>
  <c r="F171"/>
  <c r="G171"/>
  <c r="H171"/>
  <c r="H173" s="1"/>
  <c r="G51" i="30" s="1"/>
  <c r="I171" i="5"/>
  <c r="J171"/>
  <c r="K171"/>
  <c r="L171"/>
  <c r="M171"/>
  <c r="N171"/>
  <c r="O171"/>
  <c r="P171"/>
  <c r="P173" s="1"/>
  <c r="O51" i="30" s="1"/>
  <c r="Q171" i="5"/>
  <c r="R171"/>
  <c r="S171"/>
  <c r="X171"/>
  <c r="E174"/>
  <c r="F174"/>
  <c r="G174"/>
  <c r="H174"/>
  <c r="H176" s="1"/>
  <c r="G62" i="30" s="1"/>
  <c r="I174" i="5"/>
  <c r="J174"/>
  <c r="K174"/>
  <c r="K176" s="1"/>
  <c r="J62" i="30" s="1"/>
  <c r="L174" i="5"/>
  <c r="M174"/>
  <c r="N174"/>
  <c r="O174"/>
  <c r="P174"/>
  <c r="P176" s="1"/>
  <c r="O62" i="30" s="1"/>
  <c r="Q174" i="5"/>
  <c r="R174"/>
  <c r="S174"/>
  <c r="X174"/>
  <c r="E177"/>
  <c r="F177"/>
  <c r="G177"/>
  <c r="H177"/>
  <c r="H179" s="1"/>
  <c r="G73" i="30" s="1"/>
  <c r="I177" i="5"/>
  <c r="J177"/>
  <c r="K177"/>
  <c r="L177"/>
  <c r="M177"/>
  <c r="N177"/>
  <c r="O177"/>
  <c r="P177"/>
  <c r="P179" s="1"/>
  <c r="O73" i="30" s="1"/>
  <c r="Q177" i="5"/>
  <c r="R177"/>
  <c r="S177"/>
  <c r="S179" s="1"/>
  <c r="R73" i="30" s="1"/>
  <c r="X177" i="5"/>
  <c r="E180"/>
  <c r="F180"/>
  <c r="G180"/>
  <c r="H180"/>
  <c r="H182" s="1"/>
  <c r="G84" i="30" s="1"/>
  <c r="I180" i="5"/>
  <c r="J180"/>
  <c r="K180"/>
  <c r="L180"/>
  <c r="M180"/>
  <c r="N180"/>
  <c r="O180"/>
  <c r="P180"/>
  <c r="P182" s="1"/>
  <c r="O84" i="30" s="1"/>
  <c r="Q180" i="5"/>
  <c r="R180"/>
  <c r="S180"/>
  <c r="X180"/>
  <c r="E183"/>
  <c r="F183"/>
  <c r="G183"/>
  <c r="H183"/>
  <c r="H185" s="1"/>
  <c r="G95" i="30" s="1"/>
  <c r="I183" i="5"/>
  <c r="J183"/>
  <c r="K183"/>
  <c r="L183"/>
  <c r="M183"/>
  <c r="N183"/>
  <c r="O183"/>
  <c r="P183"/>
  <c r="P185" s="1"/>
  <c r="O95" i="30" s="1"/>
  <c r="Q183" i="5"/>
  <c r="R183"/>
  <c r="S183"/>
  <c r="X183"/>
  <c r="E186"/>
  <c r="F186"/>
  <c r="G186"/>
  <c r="H186"/>
  <c r="H188" s="1"/>
  <c r="G106" i="30" s="1"/>
  <c r="I186" i="5"/>
  <c r="J186"/>
  <c r="K186"/>
  <c r="L186"/>
  <c r="M186"/>
  <c r="N186"/>
  <c r="N188" s="1"/>
  <c r="M106" i="30" s="1"/>
  <c r="O186" i="5"/>
  <c r="P186"/>
  <c r="P188" s="1"/>
  <c r="O106" i="30" s="1"/>
  <c r="Q186" i="5"/>
  <c r="R186"/>
  <c r="S186"/>
  <c r="X186"/>
  <c r="E189"/>
  <c r="F189"/>
  <c r="G189"/>
  <c r="G191" s="1"/>
  <c r="F119" i="30" s="1"/>
  <c r="H189" i="5"/>
  <c r="H191" s="1"/>
  <c r="G119" i="30" s="1"/>
  <c r="I189" i="5"/>
  <c r="J189"/>
  <c r="K189"/>
  <c r="L189"/>
  <c r="M189"/>
  <c r="N189"/>
  <c r="O189"/>
  <c r="P189"/>
  <c r="P191" s="1"/>
  <c r="O119" i="30" s="1"/>
  <c r="Q189" i="5"/>
  <c r="R189"/>
  <c r="S189"/>
  <c r="S191" s="1"/>
  <c r="R119" i="30" s="1"/>
  <c r="X189" i="5"/>
  <c r="E192"/>
  <c r="F192"/>
  <c r="F194" s="1"/>
  <c r="E130" i="30" s="1"/>
  <c r="G192" i="5"/>
  <c r="H192"/>
  <c r="H194" s="1"/>
  <c r="G130" i="30" s="1"/>
  <c r="I192" i="5"/>
  <c r="J192"/>
  <c r="K192"/>
  <c r="L192"/>
  <c r="M192"/>
  <c r="N192"/>
  <c r="O192"/>
  <c r="P192"/>
  <c r="P194" s="1"/>
  <c r="O130" i="30" s="1"/>
  <c r="Q192" i="5"/>
  <c r="R192"/>
  <c r="S192"/>
  <c r="X192"/>
  <c r="E201"/>
  <c r="F201"/>
  <c r="G201"/>
  <c r="H201"/>
  <c r="H203" s="1"/>
  <c r="G165" i="30" s="1"/>
  <c r="I201" i="5"/>
  <c r="J201"/>
  <c r="K201"/>
  <c r="L201"/>
  <c r="M201"/>
  <c r="N201"/>
  <c r="O201"/>
  <c r="P201"/>
  <c r="P203" s="1"/>
  <c r="O165" i="30" s="1"/>
  <c r="Q201" i="5"/>
  <c r="R201"/>
  <c r="S201"/>
  <c r="X201"/>
  <c r="E204"/>
  <c r="F204"/>
  <c r="G204"/>
  <c r="H204"/>
  <c r="H206" s="1"/>
  <c r="I204"/>
  <c r="J204"/>
  <c r="J206" s="1"/>
  <c r="I176" i="30" s="1"/>
  <c r="K204" i="5"/>
  <c r="L204"/>
  <c r="M204"/>
  <c r="N204"/>
  <c r="O204"/>
  <c r="P204"/>
  <c r="P206" s="1"/>
  <c r="O176" i="30" s="1"/>
  <c r="Q204" i="5"/>
  <c r="R204"/>
  <c r="S204"/>
  <c r="X204"/>
  <c r="E207"/>
  <c r="F207"/>
  <c r="G207"/>
  <c r="H207"/>
  <c r="H209" s="1"/>
  <c r="G187" i="30" s="1"/>
  <c r="I207" i="5"/>
  <c r="J207"/>
  <c r="J209" s="1"/>
  <c r="I187" i="30" s="1"/>
  <c r="K207" i="5"/>
  <c r="L207"/>
  <c r="M207"/>
  <c r="N207"/>
  <c r="O207"/>
  <c r="P207"/>
  <c r="P209" s="1"/>
  <c r="O187" i="30" s="1"/>
  <c r="Q207" i="5"/>
  <c r="R207"/>
  <c r="S207"/>
  <c r="S209" s="1"/>
  <c r="R187" i="30" s="1"/>
  <c r="X207" i="5"/>
  <c r="D204"/>
  <c r="D201"/>
  <c r="D198"/>
  <c r="D195"/>
  <c r="D192"/>
  <c r="D189"/>
  <c r="D186"/>
  <c r="D183"/>
  <c r="D180"/>
  <c r="D177"/>
  <c r="D174"/>
  <c r="D171"/>
  <c r="D168"/>
  <c r="D165"/>
  <c r="C207"/>
  <c r="C204"/>
  <c r="C201"/>
  <c r="C198"/>
  <c r="C195"/>
  <c r="C192"/>
  <c r="C189"/>
  <c r="C186"/>
  <c r="C183"/>
  <c r="C180"/>
  <c r="C177"/>
  <c r="C174"/>
  <c r="C171"/>
  <c r="C168"/>
  <c r="C165"/>
  <c r="E222" i="6"/>
  <c r="F222"/>
  <c r="G222"/>
  <c r="H222"/>
  <c r="I222"/>
  <c r="J222"/>
  <c r="K222"/>
  <c r="L222"/>
  <c r="M222"/>
  <c r="N222"/>
  <c r="O222"/>
  <c r="P222"/>
  <c r="Q222"/>
  <c r="R222"/>
  <c r="S222"/>
  <c r="X222"/>
  <c r="E225"/>
  <c r="Z227" s="1"/>
  <c r="F225"/>
  <c r="AA227" s="1"/>
  <c r="G225"/>
  <c r="H225"/>
  <c r="I225"/>
  <c r="J225"/>
  <c r="K225"/>
  <c r="L225"/>
  <c r="M225"/>
  <c r="N225"/>
  <c r="O225"/>
  <c r="P225"/>
  <c r="Q225"/>
  <c r="R225"/>
  <c r="S225"/>
  <c r="X225"/>
  <c r="E228"/>
  <c r="Z230" s="1"/>
  <c r="F228"/>
  <c r="AA230" s="1"/>
  <c r="G228"/>
  <c r="H228"/>
  <c r="I228"/>
  <c r="J228"/>
  <c r="K228"/>
  <c r="L228"/>
  <c r="M228"/>
  <c r="N228"/>
  <c r="O228"/>
  <c r="P228"/>
  <c r="Q228"/>
  <c r="R228"/>
  <c r="S228"/>
  <c r="X228"/>
  <c r="E231"/>
  <c r="Z233" s="1"/>
  <c r="F231"/>
  <c r="AA233" s="1"/>
  <c r="G231"/>
  <c r="G233" s="1"/>
  <c r="F50" i="30" s="1"/>
  <c r="H231" i="6"/>
  <c r="I231"/>
  <c r="J231"/>
  <c r="K231"/>
  <c r="L231"/>
  <c r="M231"/>
  <c r="N231"/>
  <c r="O231"/>
  <c r="O233" s="1"/>
  <c r="N50" i="30" s="1"/>
  <c r="P231" i="6"/>
  <c r="Q231"/>
  <c r="R231"/>
  <c r="S231"/>
  <c r="X231"/>
  <c r="E234"/>
  <c r="Z236" s="1"/>
  <c r="F234"/>
  <c r="AA236" s="1"/>
  <c r="G234"/>
  <c r="H234"/>
  <c r="I234"/>
  <c r="J234"/>
  <c r="K234"/>
  <c r="L234"/>
  <c r="M234"/>
  <c r="N234"/>
  <c r="O234"/>
  <c r="P234"/>
  <c r="Q234"/>
  <c r="R234"/>
  <c r="S234"/>
  <c r="X234"/>
  <c r="E237"/>
  <c r="Z239" s="1"/>
  <c r="F237"/>
  <c r="AA239" s="1"/>
  <c r="G237"/>
  <c r="H237"/>
  <c r="I237"/>
  <c r="J237"/>
  <c r="K237"/>
  <c r="L237"/>
  <c r="M237"/>
  <c r="N237"/>
  <c r="O237"/>
  <c r="P237"/>
  <c r="Q237"/>
  <c r="R237"/>
  <c r="S237"/>
  <c r="X237"/>
  <c r="E240"/>
  <c r="Z242" s="1"/>
  <c r="F240"/>
  <c r="AA242" s="1"/>
  <c r="G240"/>
  <c r="H240"/>
  <c r="I240"/>
  <c r="J240"/>
  <c r="K240"/>
  <c r="L240"/>
  <c r="M240"/>
  <c r="N240"/>
  <c r="O240"/>
  <c r="P240"/>
  <c r="Q240"/>
  <c r="R240"/>
  <c r="S240"/>
  <c r="X240"/>
  <c r="E243"/>
  <c r="Z245" s="1"/>
  <c r="F243"/>
  <c r="AA245" s="1"/>
  <c r="G243"/>
  <c r="H243"/>
  <c r="I243"/>
  <c r="J243"/>
  <c r="K243"/>
  <c r="L243"/>
  <c r="M243"/>
  <c r="N243"/>
  <c r="O243"/>
  <c r="P243"/>
  <c r="Q243"/>
  <c r="R243"/>
  <c r="S243"/>
  <c r="X243"/>
  <c r="E246"/>
  <c r="Z248" s="1"/>
  <c r="F246"/>
  <c r="AA248" s="1"/>
  <c r="G246"/>
  <c r="H246"/>
  <c r="I246"/>
  <c r="J246"/>
  <c r="K246"/>
  <c r="L246"/>
  <c r="M246"/>
  <c r="N246"/>
  <c r="O246"/>
  <c r="P246"/>
  <c r="Q246"/>
  <c r="R246"/>
  <c r="S246"/>
  <c r="X246"/>
  <c r="E249"/>
  <c r="Z251" s="1"/>
  <c r="F249"/>
  <c r="AA251" s="1"/>
  <c r="G249"/>
  <c r="H249"/>
  <c r="I249"/>
  <c r="J249"/>
  <c r="K249"/>
  <c r="L249"/>
  <c r="M249"/>
  <c r="N249"/>
  <c r="O249"/>
  <c r="P249"/>
  <c r="Q249"/>
  <c r="R249"/>
  <c r="S249"/>
  <c r="X249"/>
  <c r="E252"/>
  <c r="Z254" s="1"/>
  <c r="F252"/>
  <c r="AA254" s="1"/>
  <c r="G252"/>
  <c r="H252"/>
  <c r="I252"/>
  <c r="J252"/>
  <c r="K252"/>
  <c r="L252"/>
  <c r="M252"/>
  <c r="N252"/>
  <c r="O252"/>
  <c r="P252"/>
  <c r="Q252"/>
  <c r="R252"/>
  <c r="S252"/>
  <c r="X252"/>
  <c r="E255"/>
  <c r="Z257" s="1"/>
  <c r="F255"/>
  <c r="AA257" s="1"/>
  <c r="G255"/>
  <c r="H255"/>
  <c r="I255"/>
  <c r="J255"/>
  <c r="K255"/>
  <c r="L255"/>
  <c r="M255"/>
  <c r="N255"/>
  <c r="O255"/>
  <c r="P255"/>
  <c r="Q255"/>
  <c r="R255"/>
  <c r="S255"/>
  <c r="X255"/>
  <c r="E258"/>
  <c r="Z260" s="1"/>
  <c r="F258"/>
  <c r="AA260" s="1"/>
  <c r="G258"/>
  <c r="H258"/>
  <c r="I258"/>
  <c r="J258"/>
  <c r="K258"/>
  <c r="L258"/>
  <c r="M258"/>
  <c r="N258"/>
  <c r="O258"/>
  <c r="P258"/>
  <c r="Q258"/>
  <c r="R258"/>
  <c r="S258"/>
  <c r="X258"/>
  <c r="E261"/>
  <c r="Z263" s="1"/>
  <c r="F261"/>
  <c r="G261"/>
  <c r="H261"/>
  <c r="I261"/>
  <c r="J261"/>
  <c r="K261"/>
  <c r="L261"/>
  <c r="M261"/>
  <c r="N261"/>
  <c r="O261"/>
  <c r="P261"/>
  <c r="Q261"/>
  <c r="R261"/>
  <c r="S261"/>
  <c r="X261"/>
  <c r="E264"/>
  <c r="Z266" s="1"/>
  <c r="F264"/>
  <c r="AA266" s="1"/>
  <c r="G264"/>
  <c r="H264"/>
  <c r="I264"/>
  <c r="J264"/>
  <c r="K264"/>
  <c r="L264"/>
  <c r="M264"/>
  <c r="N264"/>
  <c r="O264"/>
  <c r="P264"/>
  <c r="Q264"/>
  <c r="R264"/>
  <c r="S264"/>
  <c r="X264"/>
  <c r="E267"/>
  <c r="Z269" s="1"/>
  <c r="F267"/>
  <c r="AA269" s="1"/>
  <c r="G267"/>
  <c r="H267"/>
  <c r="I267"/>
  <c r="J267"/>
  <c r="K267"/>
  <c r="L267"/>
  <c r="M267"/>
  <c r="N267"/>
  <c r="O267"/>
  <c r="P267"/>
  <c r="Q267"/>
  <c r="R267"/>
  <c r="S267"/>
  <c r="X267"/>
  <c r="D267"/>
  <c r="Y269" s="1"/>
  <c r="D264"/>
  <c r="Y266" s="1"/>
  <c r="D261"/>
  <c r="Y263" s="1"/>
  <c r="D258"/>
  <c r="Y260" s="1"/>
  <c r="D255"/>
  <c r="Y257" s="1"/>
  <c r="D252"/>
  <c r="Y254" s="1"/>
  <c r="D249"/>
  <c r="Y251" s="1"/>
  <c r="D246"/>
  <c r="Y248" s="1"/>
  <c r="D243"/>
  <c r="Y245" s="1"/>
  <c r="D240"/>
  <c r="Y242" s="1"/>
  <c r="D237"/>
  <c r="Y239" s="1"/>
  <c r="D234"/>
  <c r="Y236" s="1"/>
  <c r="D231"/>
  <c r="Y233" s="1"/>
  <c r="D228"/>
  <c r="Y230" s="1"/>
  <c r="D225"/>
  <c r="Y227" s="1"/>
  <c r="B69" i="5"/>
  <c r="D222" i="6"/>
  <c r="C267"/>
  <c r="C264"/>
  <c r="C261"/>
  <c r="C258"/>
  <c r="C255"/>
  <c r="C252"/>
  <c r="C249"/>
  <c r="C240"/>
  <c r="C237"/>
  <c r="C234"/>
  <c r="C231"/>
  <c r="C228"/>
  <c r="C225"/>
  <c r="C222"/>
  <c r="C267" i="4"/>
  <c r="C246" i="6"/>
  <c r="C243"/>
  <c r="F228" i="7"/>
  <c r="G228"/>
  <c r="H228"/>
  <c r="I228"/>
  <c r="J228"/>
  <c r="K228"/>
  <c r="L228"/>
  <c r="M228"/>
  <c r="N228"/>
  <c r="P228"/>
  <c r="P276" s="1"/>
  <c r="Q228"/>
  <c r="R228"/>
  <c r="S228"/>
  <c r="T228"/>
  <c r="AA228"/>
  <c r="F231"/>
  <c r="G231"/>
  <c r="H231"/>
  <c r="I231"/>
  <c r="J231"/>
  <c r="K231"/>
  <c r="L231"/>
  <c r="M231"/>
  <c r="N231"/>
  <c r="P231"/>
  <c r="Q231"/>
  <c r="R231"/>
  <c r="S231"/>
  <c r="T231"/>
  <c r="AA231"/>
  <c r="F234"/>
  <c r="G234"/>
  <c r="H234"/>
  <c r="I234"/>
  <c r="J234"/>
  <c r="K234"/>
  <c r="L234"/>
  <c r="M234"/>
  <c r="N234"/>
  <c r="P234"/>
  <c r="Q234"/>
  <c r="R234"/>
  <c r="S234"/>
  <c r="T234"/>
  <c r="AA234"/>
  <c r="F237"/>
  <c r="G237"/>
  <c r="H237"/>
  <c r="I237"/>
  <c r="J237"/>
  <c r="K237"/>
  <c r="L237"/>
  <c r="M237"/>
  <c r="N237"/>
  <c r="P237"/>
  <c r="Q237"/>
  <c r="R237"/>
  <c r="S237"/>
  <c r="T237"/>
  <c r="AA237"/>
  <c r="F240"/>
  <c r="G240"/>
  <c r="G242" s="1"/>
  <c r="E60" i="30" s="1"/>
  <c r="H240" i="7"/>
  <c r="H242" s="1"/>
  <c r="F60" i="30" s="1"/>
  <c r="I240" i="7"/>
  <c r="I242" s="1"/>
  <c r="G60" i="30" s="1"/>
  <c r="J240" i="7"/>
  <c r="J242" s="1"/>
  <c r="H60" i="30" s="1"/>
  <c r="K240" i="7"/>
  <c r="K242" s="1"/>
  <c r="I60" i="30" s="1"/>
  <c r="L240" i="7"/>
  <c r="L242" s="1"/>
  <c r="J60" i="30" s="1"/>
  <c r="M240" i="7"/>
  <c r="N240"/>
  <c r="N242" s="1"/>
  <c r="L60" i="30" s="1"/>
  <c r="P240" i="7"/>
  <c r="Q240"/>
  <c r="Q242" s="1"/>
  <c r="O60" i="30" s="1"/>
  <c r="R240" i="7"/>
  <c r="R242" s="1"/>
  <c r="P60" i="30" s="1"/>
  <c r="S240" i="7"/>
  <c r="S242" s="1"/>
  <c r="Q60" i="30" s="1"/>
  <c r="T240" i="7"/>
  <c r="T242" s="1"/>
  <c r="R60" i="30" s="1"/>
  <c r="AA240" i="7"/>
  <c r="F243"/>
  <c r="G243"/>
  <c r="G245" s="1"/>
  <c r="E71" i="30" s="1"/>
  <c r="H243" i="7"/>
  <c r="I243"/>
  <c r="I245" s="1"/>
  <c r="G71" i="30" s="1"/>
  <c r="J243" i="7"/>
  <c r="J245" s="1"/>
  <c r="H71" i="30" s="1"/>
  <c r="K243" i="7"/>
  <c r="K245" s="1"/>
  <c r="I71" i="30" s="1"/>
  <c r="L243" i="7"/>
  <c r="L245" s="1"/>
  <c r="J71" i="30" s="1"/>
  <c r="M243" i="7"/>
  <c r="N243"/>
  <c r="N245" s="1"/>
  <c r="L71" i="30" s="1"/>
  <c r="P243" i="7"/>
  <c r="P245" s="1"/>
  <c r="N71" i="30" s="1"/>
  <c r="Q243" i="7"/>
  <c r="R243"/>
  <c r="R245" s="1"/>
  <c r="P71" i="30" s="1"/>
  <c r="S243" i="7"/>
  <c r="S245" s="1"/>
  <c r="Q71" i="30" s="1"/>
  <c r="T243" i="7"/>
  <c r="T245" s="1"/>
  <c r="R71" i="30" s="1"/>
  <c r="AA243" i="7"/>
  <c r="AA245" s="1"/>
  <c r="F246"/>
  <c r="G246"/>
  <c r="H246"/>
  <c r="I246"/>
  <c r="J246"/>
  <c r="K246"/>
  <c r="L246"/>
  <c r="L248" s="1"/>
  <c r="J82" i="30" s="1"/>
  <c r="M246" i="7"/>
  <c r="N246"/>
  <c r="P246"/>
  <c r="Q246"/>
  <c r="R246"/>
  <c r="S246"/>
  <c r="T246"/>
  <c r="AA246"/>
  <c r="F249"/>
  <c r="G249"/>
  <c r="H249"/>
  <c r="I249"/>
  <c r="J249"/>
  <c r="K249"/>
  <c r="L249"/>
  <c r="M249"/>
  <c r="N249"/>
  <c r="P249"/>
  <c r="Q249"/>
  <c r="R249"/>
  <c r="S249"/>
  <c r="T249"/>
  <c r="AA249"/>
  <c r="F252"/>
  <c r="G252"/>
  <c r="H252"/>
  <c r="I252"/>
  <c r="J252"/>
  <c r="K252"/>
  <c r="L252"/>
  <c r="M252"/>
  <c r="N252"/>
  <c r="P252"/>
  <c r="Q252"/>
  <c r="Q254" s="1"/>
  <c r="O105" i="30" s="1"/>
  <c r="R252" i="7"/>
  <c r="S252"/>
  <c r="T252"/>
  <c r="AA252"/>
  <c r="F255"/>
  <c r="G255"/>
  <c r="H255"/>
  <c r="I255"/>
  <c r="J255"/>
  <c r="K255"/>
  <c r="L255"/>
  <c r="M255"/>
  <c r="N255"/>
  <c r="P255"/>
  <c r="Q255"/>
  <c r="R255"/>
  <c r="S255"/>
  <c r="T255"/>
  <c r="AA255"/>
  <c r="F258"/>
  <c r="G258"/>
  <c r="H258"/>
  <c r="I258"/>
  <c r="J258"/>
  <c r="K258"/>
  <c r="L258"/>
  <c r="M258"/>
  <c r="N258"/>
  <c r="P258"/>
  <c r="Q258"/>
  <c r="R258"/>
  <c r="S258"/>
  <c r="T258"/>
  <c r="AA258"/>
  <c r="F261"/>
  <c r="G261"/>
  <c r="H261"/>
  <c r="I261"/>
  <c r="J261"/>
  <c r="K261"/>
  <c r="L261"/>
  <c r="M261"/>
  <c r="N261"/>
  <c r="P261"/>
  <c r="Q261"/>
  <c r="R261"/>
  <c r="S261"/>
  <c r="T261"/>
  <c r="AA261"/>
  <c r="F264"/>
  <c r="G264"/>
  <c r="H264"/>
  <c r="I264"/>
  <c r="J264"/>
  <c r="K264"/>
  <c r="L264"/>
  <c r="M264"/>
  <c r="N264"/>
  <c r="P264"/>
  <c r="Q264"/>
  <c r="R264"/>
  <c r="S264"/>
  <c r="T264"/>
  <c r="AA264"/>
  <c r="F267"/>
  <c r="F269" s="1"/>
  <c r="G267"/>
  <c r="G269" s="1"/>
  <c r="H267"/>
  <c r="I267"/>
  <c r="I269" s="1"/>
  <c r="J267"/>
  <c r="J269" s="1"/>
  <c r="K267"/>
  <c r="K269" s="1"/>
  <c r="L267"/>
  <c r="L269" s="1"/>
  <c r="M267"/>
  <c r="M269" s="1"/>
  <c r="N267"/>
  <c r="N269" s="1"/>
  <c r="P267"/>
  <c r="P269" s="1"/>
  <c r="Q267"/>
  <c r="R267"/>
  <c r="R269" s="1"/>
  <c r="S267"/>
  <c r="S269" s="1"/>
  <c r="T267"/>
  <c r="T269" s="1"/>
  <c r="AA267"/>
  <c r="AA269" s="1"/>
  <c r="F270"/>
  <c r="G270"/>
  <c r="G272" s="1"/>
  <c r="H270"/>
  <c r="I270"/>
  <c r="J270"/>
  <c r="K270"/>
  <c r="L270"/>
  <c r="L272" s="1"/>
  <c r="J174" i="30" s="1"/>
  <c r="M270" i="7"/>
  <c r="N270"/>
  <c r="P270"/>
  <c r="P272" s="1"/>
  <c r="N174" i="30" s="1"/>
  <c r="Q270" i="7"/>
  <c r="R270"/>
  <c r="S270"/>
  <c r="T270"/>
  <c r="AA270"/>
  <c r="AA272" s="1"/>
  <c r="F273"/>
  <c r="G273"/>
  <c r="H273"/>
  <c r="I273"/>
  <c r="J273"/>
  <c r="K273"/>
  <c r="L273"/>
  <c r="L275" s="1"/>
  <c r="J185" i="30" s="1"/>
  <c r="M273" i="7"/>
  <c r="N273"/>
  <c r="P273"/>
  <c r="Q273"/>
  <c r="R273"/>
  <c r="S273"/>
  <c r="T273"/>
  <c r="AA273"/>
  <c r="AA275" s="1"/>
  <c r="E273"/>
  <c r="E270"/>
  <c r="E267"/>
  <c r="E269" s="1"/>
  <c r="E264"/>
  <c r="E261"/>
  <c r="E258"/>
  <c r="E255"/>
  <c r="E252"/>
  <c r="E249"/>
  <c r="E243"/>
  <c r="E240"/>
  <c r="E237"/>
  <c r="E234"/>
  <c r="E231"/>
  <c r="E228"/>
  <c r="D273"/>
  <c r="D270"/>
  <c r="D267"/>
  <c r="D264"/>
  <c r="D261"/>
  <c r="D258"/>
  <c r="D255"/>
  <c r="D252"/>
  <c r="D249"/>
  <c r="D246"/>
  <c r="D243"/>
  <c r="D240"/>
  <c r="D237"/>
  <c r="D234"/>
  <c r="D231"/>
  <c r="D228"/>
  <c r="G124" i="12"/>
  <c r="C92" i="33"/>
  <c r="C57"/>
  <c r="C39"/>
  <c r="C37"/>
  <c r="C22"/>
  <c r="C24"/>
  <c r="C19" i="32"/>
  <c r="C59"/>
  <c r="C37"/>
  <c r="C22"/>
  <c r="C54" i="31"/>
  <c r="C37"/>
  <c r="C23"/>
  <c r="D217" i="6"/>
  <c r="D201"/>
  <c r="D156"/>
  <c r="D128"/>
  <c r="D98"/>
  <c r="E223" i="7"/>
  <c r="E207"/>
  <c r="E162"/>
  <c r="E132"/>
  <c r="E100"/>
  <c r="E154" i="5"/>
  <c r="F154"/>
  <c r="G154"/>
  <c r="H154"/>
  <c r="I154"/>
  <c r="I155" s="1"/>
  <c r="H198" i="30" s="1"/>
  <c r="J154" i="5"/>
  <c r="K154"/>
  <c r="L154"/>
  <c r="M154"/>
  <c r="M155" s="1"/>
  <c r="L198" i="30" s="1"/>
  <c r="N154" i="5"/>
  <c r="P154"/>
  <c r="Q154"/>
  <c r="R154"/>
  <c r="S154"/>
  <c r="D154"/>
  <c r="E153"/>
  <c r="F153"/>
  <c r="F155" s="1"/>
  <c r="E198" i="30" s="1"/>
  <c r="G153" i="5"/>
  <c r="H153"/>
  <c r="I153"/>
  <c r="J153"/>
  <c r="K153"/>
  <c r="L153"/>
  <c r="M153"/>
  <c r="N153"/>
  <c r="P153"/>
  <c r="Q153"/>
  <c r="R153"/>
  <c r="S153"/>
  <c r="D153"/>
  <c r="BZ125" i="6"/>
  <c r="BY125"/>
  <c r="BZ126"/>
  <c r="BY126"/>
  <c r="D199"/>
  <c r="E154"/>
  <c r="F154"/>
  <c r="G154"/>
  <c r="H154"/>
  <c r="I154"/>
  <c r="J154"/>
  <c r="K154"/>
  <c r="L154"/>
  <c r="M154"/>
  <c r="N154"/>
  <c r="P154"/>
  <c r="Q154"/>
  <c r="R154"/>
  <c r="S154"/>
  <c r="D154"/>
  <c r="F214"/>
  <c r="C127" i="33"/>
  <c r="D162"/>
  <c r="D164" s="1"/>
  <c r="D163"/>
  <c r="C162"/>
  <c r="C163"/>
  <c r="D144"/>
  <c r="C144"/>
  <c r="D143"/>
  <c r="E143"/>
  <c r="E145" s="1"/>
  <c r="F143"/>
  <c r="F145" s="1"/>
  <c r="G143"/>
  <c r="G145" s="1"/>
  <c r="H143"/>
  <c r="H145" s="1"/>
  <c r="I143"/>
  <c r="I145" s="1"/>
  <c r="J143"/>
  <c r="J145" s="1"/>
  <c r="K143"/>
  <c r="K145" s="1"/>
  <c r="L143"/>
  <c r="L145" s="1"/>
  <c r="M143"/>
  <c r="M145" s="1"/>
  <c r="N143"/>
  <c r="N145" s="1"/>
  <c r="C143"/>
  <c r="D127"/>
  <c r="E127"/>
  <c r="F127"/>
  <c r="G127"/>
  <c r="H127"/>
  <c r="I127"/>
  <c r="J127"/>
  <c r="K127"/>
  <c r="L127"/>
  <c r="L167" s="1"/>
  <c r="M127"/>
  <c r="N127"/>
  <c r="N167" s="1"/>
  <c r="D128"/>
  <c r="E128"/>
  <c r="F128"/>
  <c r="G128"/>
  <c r="H128"/>
  <c r="I128"/>
  <c r="I168" s="1"/>
  <c r="J128"/>
  <c r="K128"/>
  <c r="L128"/>
  <c r="M128"/>
  <c r="N128"/>
  <c r="C128"/>
  <c r="D109"/>
  <c r="E109"/>
  <c r="F109"/>
  <c r="G109"/>
  <c r="H109"/>
  <c r="I109"/>
  <c r="J109"/>
  <c r="K109"/>
  <c r="K111" s="1"/>
  <c r="L109"/>
  <c r="M109"/>
  <c r="D110"/>
  <c r="E110"/>
  <c r="F110"/>
  <c r="G110"/>
  <c r="H110"/>
  <c r="I110"/>
  <c r="I111" s="1"/>
  <c r="J110"/>
  <c r="K110"/>
  <c r="L110"/>
  <c r="M110"/>
  <c r="N110"/>
  <c r="N111" s="1"/>
  <c r="C110"/>
  <c r="C109"/>
  <c r="D89"/>
  <c r="E89"/>
  <c r="F89"/>
  <c r="G89"/>
  <c r="H89"/>
  <c r="I89"/>
  <c r="J89"/>
  <c r="K89"/>
  <c r="L89"/>
  <c r="M89"/>
  <c r="N89"/>
  <c r="D90"/>
  <c r="E90"/>
  <c r="F90"/>
  <c r="G90"/>
  <c r="H90"/>
  <c r="I90"/>
  <c r="I115" s="1"/>
  <c r="J90"/>
  <c r="K90"/>
  <c r="K91" s="1"/>
  <c r="L90"/>
  <c r="M90"/>
  <c r="N90"/>
  <c r="C89"/>
  <c r="C90"/>
  <c r="D72"/>
  <c r="E72"/>
  <c r="F72"/>
  <c r="G72"/>
  <c r="H72"/>
  <c r="I72"/>
  <c r="J72"/>
  <c r="K72"/>
  <c r="L72"/>
  <c r="M72"/>
  <c r="D73"/>
  <c r="E73"/>
  <c r="F73"/>
  <c r="G73"/>
  <c r="H73"/>
  <c r="I73"/>
  <c r="J73"/>
  <c r="J74" s="1"/>
  <c r="K73"/>
  <c r="L73"/>
  <c r="M73"/>
  <c r="C73"/>
  <c r="C72"/>
  <c r="D55"/>
  <c r="E55"/>
  <c r="F55"/>
  <c r="G55"/>
  <c r="H55"/>
  <c r="I55"/>
  <c r="J55"/>
  <c r="K55"/>
  <c r="L55"/>
  <c r="C55"/>
  <c r="D37"/>
  <c r="E37"/>
  <c r="F37"/>
  <c r="F38" s="1"/>
  <c r="G37"/>
  <c r="G38" s="1"/>
  <c r="H37"/>
  <c r="I37"/>
  <c r="J37"/>
  <c r="K37"/>
  <c r="L37"/>
  <c r="M37"/>
  <c r="N37"/>
  <c r="D22"/>
  <c r="E22"/>
  <c r="F22"/>
  <c r="G22"/>
  <c r="H22"/>
  <c r="I22"/>
  <c r="J22"/>
  <c r="K22"/>
  <c r="K23" s="1"/>
  <c r="L22"/>
  <c r="M22"/>
  <c r="D141" i="32"/>
  <c r="E141"/>
  <c r="F141"/>
  <c r="G141"/>
  <c r="H141"/>
  <c r="I141"/>
  <c r="J141"/>
  <c r="L141"/>
  <c r="M141"/>
  <c r="N141"/>
  <c r="O141"/>
  <c r="C141"/>
  <c r="D215" i="30"/>
  <c r="H215"/>
  <c r="I215"/>
  <c r="J215"/>
  <c r="K215"/>
  <c r="L215"/>
  <c r="G226"/>
  <c r="I226"/>
  <c r="D226"/>
  <c r="E226"/>
  <c r="F226"/>
  <c r="C52" i="32"/>
  <c r="C54" s="1"/>
  <c r="C34"/>
  <c r="G34" i="31"/>
  <c r="D51"/>
  <c r="D53" s="1"/>
  <c r="E51"/>
  <c r="F51"/>
  <c r="G51"/>
  <c r="H51"/>
  <c r="I51"/>
  <c r="J51"/>
  <c r="K51"/>
  <c r="L51"/>
  <c r="L53" s="1"/>
  <c r="M51"/>
  <c r="N51"/>
  <c r="C51"/>
  <c r="D52"/>
  <c r="E52"/>
  <c r="F52"/>
  <c r="G52"/>
  <c r="I52"/>
  <c r="J52"/>
  <c r="K52"/>
  <c r="L52"/>
  <c r="M52"/>
  <c r="N52"/>
  <c r="C20"/>
  <c r="D34"/>
  <c r="E34"/>
  <c r="F34"/>
  <c r="H34"/>
  <c r="I34"/>
  <c r="J34"/>
  <c r="K34"/>
  <c r="L34"/>
  <c r="M34"/>
  <c r="N34"/>
  <c r="C34"/>
  <c r="C35"/>
  <c r="D35"/>
  <c r="E35"/>
  <c r="F35"/>
  <c r="G35"/>
  <c r="I35"/>
  <c r="J35"/>
  <c r="K35"/>
  <c r="K36" s="1"/>
  <c r="L35"/>
  <c r="M35"/>
  <c r="N35"/>
  <c r="C21"/>
  <c r="E62" i="10"/>
  <c r="F62"/>
  <c r="G62"/>
  <c r="H62"/>
  <c r="H64" s="1"/>
  <c r="G202" i="30" s="1"/>
  <c r="I62" i="10"/>
  <c r="J62"/>
  <c r="K62"/>
  <c r="L62"/>
  <c r="M62"/>
  <c r="N62"/>
  <c r="O62"/>
  <c r="P62"/>
  <c r="P64" s="1"/>
  <c r="O202" i="30" s="1"/>
  <c r="Q62" i="10"/>
  <c r="R62"/>
  <c r="S62"/>
  <c r="G63"/>
  <c r="G64" s="1"/>
  <c r="F202" i="30" s="1"/>
  <c r="H63" i="10"/>
  <c r="I63"/>
  <c r="J63"/>
  <c r="K63"/>
  <c r="L63"/>
  <c r="M63"/>
  <c r="N63"/>
  <c r="O63"/>
  <c r="P63"/>
  <c r="Q63"/>
  <c r="R63"/>
  <c r="S63"/>
  <c r="D62"/>
  <c r="E41"/>
  <c r="F41"/>
  <c r="G41"/>
  <c r="H41"/>
  <c r="I41"/>
  <c r="J41"/>
  <c r="K41"/>
  <c r="K43" s="1"/>
  <c r="J31" i="29" s="1"/>
  <c r="L41" i="10"/>
  <c r="M41"/>
  <c r="N41"/>
  <c r="O41"/>
  <c r="P41"/>
  <c r="Q41"/>
  <c r="R41"/>
  <c r="S41"/>
  <c r="S43" s="1"/>
  <c r="R31" i="29" s="1"/>
  <c r="E42" i="10"/>
  <c r="F42"/>
  <c r="G42"/>
  <c r="H42"/>
  <c r="H43" s="1"/>
  <c r="G31" i="29" s="1"/>
  <c r="I42" i="10"/>
  <c r="J42"/>
  <c r="K42"/>
  <c r="L42"/>
  <c r="M42"/>
  <c r="N42"/>
  <c r="O42"/>
  <c r="P42"/>
  <c r="P43" s="1"/>
  <c r="O31" i="29" s="1"/>
  <c r="Q42" i="10"/>
  <c r="R42"/>
  <c r="S42"/>
  <c r="D41"/>
  <c r="D43" s="1"/>
  <c r="C31" i="29" s="1"/>
  <c r="B31" i="10"/>
  <c r="B15"/>
  <c r="E215" i="11"/>
  <c r="F215"/>
  <c r="G215"/>
  <c r="H215"/>
  <c r="I215"/>
  <c r="J215"/>
  <c r="K215"/>
  <c r="K217" s="1"/>
  <c r="J201" i="30" s="1"/>
  <c r="L215" i="11"/>
  <c r="M215"/>
  <c r="N215"/>
  <c r="P215"/>
  <c r="Q215"/>
  <c r="R215"/>
  <c r="S215"/>
  <c r="E216"/>
  <c r="F216"/>
  <c r="G216"/>
  <c r="H216"/>
  <c r="I216"/>
  <c r="J216"/>
  <c r="K216"/>
  <c r="L216"/>
  <c r="M216"/>
  <c r="N216"/>
  <c r="P216"/>
  <c r="Q216"/>
  <c r="R216"/>
  <c r="S216"/>
  <c r="D216"/>
  <c r="D215"/>
  <c r="D217" s="1"/>
  <c r="C201" i="30" s="1"/>
  <c r="E194" i="11"/>
  <c r="F194"/>
  <c r="G194"/>
  <c r="H194"/>
  <c r="I194"/>
  <c r="J194"/>
  <c r="K194"/>
  <c r="L194"/>
  <c r="L196" s="1"/>
  <c r="K224" i="30" s="1"/>
  <c r="M194" i="11"/>
  <c r="N194"/>
  <c r="O194"/>
  <c r="P194"/>
  <c r="Q194"/>
  <c r="R194"/>
  <c r="S194"/>
  <c r="E195"/>
  <c r="F195"/>
  <c r="G195"/>
  <c r="H195"/>
  <c r="I195"/>
  <c r="J195"/>
  <c r="K195"/>
  <c r="L195"/>
  <c r="M195"/>
  <c r="N195"/>
  <c r="O195"/>
  <c r="P195"/>
  <c r="Q195"/>
  <c r="R195"/>
  <c r="S195"/>
  <c r="D195"/>
  <c r="D194"/>
  <c r="E178"/>
  <c r="E180" s="1"/>
  <c r="D213" i="30" s="1"/>
  <c r="F178" i="11"/>
  <c r="G178"/>
  <c r="H178"/>
  <c r="I178"/>
  <c r="J178"/>
  <c r="K178"/>
  <c r="L178"/>
  <c r="M178"/>
  <c r="M180" s="1"/>
  <c r="L213" i="30" s="1"/>
  <c r="N178" i="11"/>
  <c r="O178"/>
  <c r="P178"/>
  <c r="R178"/>
  <c r="S178"/>
  <c r="E179"/>
  <c r="F179"/>
  <c r="G179"/>
  <c r="H179"/>
  <c r="I179"/>
  <c r="J179"/>
  <c r="K179"/>
  <c r="L179"/>
  <c r="M179"/>
  <c r="N179"/>
  <c r="O179"/>
  <c r="P179"/>
  <c r="Q179"/>
  <c r="Q180" s="1"/>
  <c r="P213" i="30" s="1"/>
  <c r="R179" i="11"/>
  <c r="R180" s="1"/>
  <c r="Q213" i="30" s="1"/>
  <c r="S179" i="11"/>
  <c r="D179"/>
  <c r="D178"/>
  <c r="E128"/>
  <c r="F128"/>
  <c r="G128"/>
  <c r="H128"/>
  <c r="I128"/>
  <c r="J128"/>
  <c r="K128"/>
  <c r="L128"/>
  <c r="M128"/>
  <c r="N128"/>
  <c r="O128"/>
  <c r="P128"/>
  <c r="Q128"/>
  <c r="R128"/>
  <c r="S128"/>
  <c r="E129"/>
  <c r="F129"/>
  <c r="G129"/>
  <c r="H129"/>
  <c r="I129"/>
  <c r="J129"/>
  <c r="J130" s="1"/>
  <c r="I41" i="29" s="1"/>
  <c r="K129" i="11"/>
  <c r="L129"/>
  <c r="M129"/>
  <c r="N129"/>
  <c r="O129"/>
  <c r="P129"/>
  <c r="Q129"/>
  <c r="R129"/>
  <c r="S129"/>
  <c r="D129"/>
  <c r="D128"/>
  <c r="E97"/>
  <c r="F97"/>
  <c r="G97"/>
  <c r="H97"/>
  <c r="I97"/>
  <c r="J97"/>
  <c r="K97"/>
  <c r="L97"/>
  <c r="M97"/>
  <c r="N97"/>
  <c r="O97"/>
  <c r="P97"/>
  <c r="Q97"/>
  <c r="R97"/>
  <c r="S97"/>
  <c r="E98"/>
  <c r="F98"/>
  <c r="G98"/>
  <c r="H98"/>
  <c r="I98"/>
  <c r="J98"/>
  <c r="K98"/>
  <c r="L98"/>
  <c r="M98"/>
  <c r="N98"/>
  <c r="O98"/>
  <c r="P98"/>
  <c r="Q98"/>
  <c r="R98"/>
  <c r="S98"/>
  <c r="D98"/>
  <c r="D97"/>
  <c r="E64"/>
  <c r="F64"/>
  <c r="G64"/>
  <c r="H64"/>
  <c r="I64"/>
  <c r="J64"/>
  <c r="K64"/>
  <c r="K133" s="1"/>
  <c r="L64"/>
  <c r="L133" s="1"/>
  <c r="M64"/>
  <c r="N64"/>
  <c r="O64"/>
  <c r="P64"/>
  <c r="Q64"/>
  <c r="Q133" s="1"/>
  <c r="R64"/>
  <c r="S64"/>
  <c r="E65"/>
  <c r="E134" s="1"/>
  <c r="F65"/>
  <c r="G65"/>
  <c r="G134" s="1"/>
  <c r="H65"/>
  <c r="I65"/>
  <c r="I134" s="1"/>
  <c r="J65"/>
  <c r="K65"/>
  <c r="K134" s="1"/>
  <c r="L65"/>
  <c r="L134" s="1"/>
  <c r="M65"/>
  <c r="M134" s="1"/>
  <c r="N65"/>
  <c r="N134" s="1"/>
  <c r="O65"/>
  <c r="O134" s="1"/>
  <c r="P65"/>
  <c r="P134" s="1"/>
  <c r="Q65"/>
  <c r="Q134" s="1"/>
  <c r="AB40" i="40" s="1"/>
  <c r="AC40" s="1"/>
  <c r="R65" i="11"/>
  <c r="R66" s="1"/>
  <c r="Q19" i="29" s="1"/>
  <c r="S65" i="11"/>
  <c r="S134" s="1"/>
  <c r="D65"/>
  <c r="D134" s="1"/>
  <c r="D64"/>
  <c r="D133" s="1"/>
  <c r="B123"/>
  <c r="B118"/>
  <c r="B110"/>
  <c r="B104"/>
  <c r="B87"/>
  <c r="B78"/>
  <c r="B71"/>
  <c r="B45"/>
  <c r="B42"/>
  <c r="B37"/>
  <c r="B34"/>
  <c r="B29"/>
  <c r="B24"/>
  <c r="B21"/>
  <c r="B18"/>
  <c r="B14"/>
  <c r="D212" i="12"/>
  <c r="D211"/>
  <c r="E211"/>
  <c r="F211"/>
  <c r="G211"/>
  <c r="H211"/>
  <c r="I211"/>
  <c r="J211"/>
  <c r="K211"/>
  <c r="L211"/>
  <c r="M211"/>
  <c r="N211"/>
  <c r="O211"/>
  <c r="P211"/>
  <c r="Q211"/>
  <c r="R211"/>
  <c r="S211"/>
  <c r="E212"/>
  <c r="F212"/>
  <c r="G212"/>
  <c r="H212"/>
  <c r="I212"/>
  <c r="J212"/>
  <c r="K212"/>
  <c r="L212"/>
  <c r="M212"/>
  <c r="N212"/>
  <c r="O212"/>
  <c r="P212"/>
  <c r="Q212"/>
  <c r="R212"/>
  <c r="S212"/>
  <c r="E190"/>
  <c r="E192" s="1"/>
  <c r="D223" i="30" s="1"/>
  <c r="F190" i="12"/>
  <c r="G190"/>
  <c r="H190"/>
  <c r="I190"/>
  <c r="J190"/>
  <c r="K190"/>
  <c r="L190"/>
  <c r="M190"/>
  <c r="M192" s="1"/>
  <c r="L223" i="30" s="1"/>
  <c r="N190" i="12"/>
  <c r="O190"/>
  <c r="P190"/>
  <c r="Q190"/>
  <c r="R190"/>
  <c r="S190"/>
  <c r="E191"/>
  <c r="F191"/>
  <c r="G191"/>
  <c r="H191"/>
  <c r="I191"/>
  <c r="J191"/>
  <c r="K191"/>
  <c r="L191"/>
  <c r="M191"/>
  <c r="N191"/>
  <c r="O191"/>
  <c r="P191"/>
  <c r="Q191"/>
  <c r="R191"/>
  <c r="S191"/>
  <c r="D191"/>
  <c r="D190"/>
  <c r="E174"/>
  <c r="E176" s="1"/>
  <c r="D212" i="30" s="1"/>
  <c r="F174" i="12"/>
  <c r="G174"/>
  <c r="H174"/>
  <c r="I174"/>
  <c r="J174"/>
  <c r="K174"/>
  <c r="L174"/>
  <c r="M174"/>
  <c r="M176" s="1"/>
  <c r="L212" i="30" s="1"/>
  <c r="N174" i="12"/>
  <c r="O174"/>
  <c r="P174"/>
  <c r="Q174"/>
  <c r="R174"/>
  <c r="S174"/>
  <c r="E175"/>
  <c r="F175"/>
  <c r="G175"/>
  <c r="H175"/>
  <c r="I175"/>
  <c r="J175"/>
  <c r="K175"/>
  <c r="L175"/>
  <c r="M175"/>
  <c r="N175"/>
  <c r="O175"/>
  <c r="P175"/>
  <c r="Q175"/>
  <c r="R175"/>
  <c r="S175"/>
  <c r="D175"/>
  <c r="D174"/>
  <c r="E123"/>
  <c r="F123"/>
  <c r="G123"/>
  <c r="H123"/>
  <c r="I123"/>
  <c r="J123"/>
  <c r="K123"/>
  <c r="L123"/>
  <c r="M123"/>
  <c r="N123"/>
  <c r="O123"/>
  <c r="P123"/>
  <c r="E124"/>
  <c r="F124"/>
  <c r="H124"/>
  <c r="I124"/>
  <c r="J124"/>
  <c r="K124"/>
  <c r="L124"/>
  <c r="M124"/>
  <c r="N124"/>
  <c r="O124"/>
  <c r="P124"/>
  <c r="D124"/>
  <c r="D123"/>
  <c r="D125" s="1"/>
  <c r="C40" i="29" s="1"/>
  <c r="M94" i="12"/>
  <c r="M93"/>
  <c r="E94"/>
  <c r="E93"/>
  <c r="D94"/>
  <c r="D93"/>
  <c r="F93"/>
  <c r="G93"/>
  <c r="H93"/>
  <c r="I93"/>
  <c r="J93"/>
  <c r="K93"/>
  <c r="L93"/>
  <c r="N93"/>
  <c r="O93"/>
  <c r="P93"/>
  <c r="R93"/>
  <c r="S93"/>
  <c r="F94"/>
  <c r="G94"/>
  <c r="H94"/>
  <c r="I94"/>
  <c r="J94"/>
  <c r="K94"/>
  <c r="L94"/>
  <c r="N94"/>
  <c r="N95" s="1"/>
  <c r="M29" i="29" s="1"/>
  <c r="O94" i="12"/>
  <c r="O95" s="1"/>
  <c r="N29" i="29" s="1"/>
  <c r="P94" i="12"/>
  <c r="R94"/>
  <c r="S94"/>
  <c r="D61"/>
  <c r="S62"/>
  <c r="R62"/>
  <c r="P62"/>
  <c r="O62"/>
  <c r="N62"/>
  <c r="M62"/>
  <c r="L62"/>
  <c r="K62"/>
  <c r="J62"/>
  <c r="J129" s="1"/>
  <c r="I62"/>
  <c r="H62"/>
  <c r="G62"/>
  <c r="F62"/>
  <c r="E62"/>
  <c r="D62"/>
  <c r="S61"/>
  <c r="R61"/>
  <c r="P61"/>
  <c r="O61"/>
  <c r="N61"/>
  <c r="M61"/>
  <c r="L61"/>
  <c r="K61"/>
  <c r="J61"/>
  <c r="I61"/>
  <c r="H61"/>
  <c r="G61"/>
  <c r="F61"/>
  <c r="E61"/>
  <c r="B118"/>
  <c r="B113"/>
  <c r="B105"/>
  <c r="B99"/>
  <c r="B83"/>
  <c r="B74"/>
  <c r="B67"/>
  <c r="B42"/>
  <c r="B39"/>
  <c r="B34"/>
  <c r="B31"/>
  <c r="B26"/>
  <c r="B21"/>
  <c r="B18"/>
  <c r="B15"/>
  <c r="B11"/>
  <c r="D215" i="4"/>
  <c r="E214"/>
  <c r="V29" i="41" s="1"/>
  <c r="F214" i="4"/>
  <c r="G214"/>
  <c r="H214"/>
  <c r="I214"/>
  <c r="J214"/>
  <c r="K214"/>
  <c r="L214"/>
  <c r="M214"/>
  <c r="N214"/>
  <c r="P214"/>
  <c r="Q214"/>
  <c r="R214"/>
  <c r="S214"/>
  <c r="E215"/>
  <c r="F215"/>
  <c r="G215"/>
  <c r="H215"/>
  <c r="I215"/>
  <c r="J215"/>
  <c r="K215"/>
  <c r="L215"/>
  <c r="M215"/>
  <c r="N215"/>
  <c r="P215"/>
  <c r="Q215"/>
  <c r="R215"/>
  <c r="S215"/>
  <c r="D214"/>
  <c r="E192"/>
  <c r="F192"/>
  <c r="G192"/>
  <c r="H192"/>
  <c r="I192"/>
  <c r="J192"/>
  <c r="K192"/>
  <c r="L192"/>
  <c r="M192"/>
  <c r="N192"/>
  <c r="O192"/>
  <c r="P192"/>
  <c r="Q192"/>
  <c r="R192"/>
  <c r="R194" s="1"/>
  <c r="Q222" i="30" s="1"/>
  <c r="S192" i="4"/>
  <c r="E193"/>
  <c r="F193"/>
  <c r="G193"/>
  <c r="H193"/>
  <c r="I193"/>
  <c r="J193"/>
  <c r="K193"/>
  <c r="L193"/>
  <c r="M193"/>
  <c r="N193"/>
  <c r="O193"/>
  <c r="O194" s="1"/>
  <c r="N222" i="30" s="1"/>
  <c r="P193" i="4"/>
  <c r="Q193"/>
  <c r="R193"/>
  <c r="S193"/>
  <c r="D193"/>
  <c r="D192"/>
  <c r="E174"/>
  <c r="F174"/>
  <c r="G174"/>
  <c r="H174"/>
  <c r="I174"/>
  <c r="J174"/>
  <c r="K174"/>
  <c r="L174"/>
  <c r="M174"/>
  <c r="N174"/>
  <c r="O174"/>
  <c r="P174"/>
  <c r="Q174"/>
  <c r="R174"/>
  <c r="S174"/>
  <c r="E175"/>
  <c r="F175"/>
  <c r="G175"/>
  <c r="H175"/>
  <c r="I175"/>
  <c r="J175"/>
  <c r="K175"/>
  <c r="L175"/>
  <c r="M175"/>
  <c r="N175"/>
  <c r="O175"/>
  <c r="P175"/>
  <c r="Q175"/>
  <c r="R175"/>
  <c r="S175"/>
  <c r="D175"/>
  <c r="D174"/>
  <c r="D123"/>
  <c r="E123"/>
  <c r="F123"/>
  <c r="G123"/>
  <c r="H123"/>
  <c r="I123"/>
  <c r="J123"/>
  <c r="K123"/>
  <c r="L123"/>
  <c r="M123"/>
  <c r="N123"/>
  <c r="O123"/>
  <c r="P123"/>
  <c r="Q123"/>
  <c r="R123"/>
  <c r="S123"/>
  <c r="E124"/>
  <c r="F124"/>
  <c r="G124"/>
  <c r="H124"/>
  <c r="I124"/>
  <c r="J124"/>
  <c r="K124"/>
  <c r="L124"/>
  <c r="M124"/>
  <c r="N124"/>
  <c r="O124"/>
  <c r="P124"/>
  <c r="Q124"/>
  <c r="R124"/>
  <c r="S124"/>
  <c r="D124"/>
  <c r="E94"/>
  <c r="F94"/>
  <c r="G94"/>
  <c r="H94"/>
  <c r="I94"/>
  <c r="J94"/>
  <c r="K94"/>
  <c r="L94"/>
  <c r="M94"/>
  <c r="N94"/>
  <c r="O94"/>
  <c r="P94"/>
  <c r="Q94"/>
  <c r="R94"/>
  <c r="S94"/>
  <c r="E95"/>
  <c r="F95"/>
  <c r="G95"/>
  <c r="H95"/>
  <c r="I95"/>
  <c r="J95"/>
  <c r="K95"/>
  <c r="L95"/>
  <c r="M95"/>
  <c r="N95"/>
  <c r="O95"/>
  <c r="P95"/>
  <c r="Q95"/>
  <c r="R95"/>
  <c r="S95"/>
  <c r="D95"/>
  <c r="D94"/>
  <c r="B174"/>
  <c r="B192" s="1"/>
  <c r="B214" s="1"/>
  <c r="E63"/>
  <c r="F63"/>
  <c r="G63"/>
  <c r="H63"/>
  <c r="I63"/>
  <c r="J63"/>
  <c r="K63"/>
  <c r="L63"/>
  <c r="M63"/>
  <c r="N63"/>
  <c r="O63"/>
  <c r="P63"/>
  <c r="Q63"/>
  <c r="D63"/>
  <c r="E62"/>
  <c r="F62"/>
  <c r="G62"/>
  <c r="H62"/>
  <c r="I62"/>
  <c r="J62"/>
  <c r="K62"/>
  <c r="L62"/>
  <c r="M62"/>
  <c r="N62"/>
  <c r="O62"/>
  <c r="O64" s="1"/>
  <c r="N17" i="29" s="1"/>
  <c r="P62" i="4"/>
  <c r="D62"/>
  <c r="B16"/>
  <c r="B19"/>
  <c r="B22"/>
  <c r="B27"/>
  <c r="B32"/>
  <c r="B35"/>
  <c r="B40"/>
  <c r="B43"/>
  <c r="B68"/>
  <c r="B75"/>
  <c r="B84"/>
  <c r="B99"/>
  <c r="B105"/>
  <c r="B118"/>
  <c r="B136"/>
  <c r="D95" i="5"/>
  <c r="E125"/>
  <c r="F125"/>
  <c r="G125"/>
  <c r="H125"/>
  <c r="I125"/>
  <c r="J125"/>
  <c r="K125"/>
  <c r="K127" s="1"/>
  <c r="J38" i="29" s="1"/>
  <c r="L125" i="5"/>
  <c r="M125"/>
  <c r="N125"/>
  <c r="O125"/>
  <c r="P125"/>
  <c r="Q125"/>
  <c r="Q127" s="1"/>
  <c r="R125"/>
  <c r="R127" s="1"/>
  <c r="S125"/>
  <c r="S127" s="1"/>
  <c r="D125"/>
  <c r="E95"/>
  <c r="F95"/>
  <c r="G95"/>
  <c r="H95"/>
  <c r="I95"/>
  <c r="J95"/>
  <c r="K95"/>
  <c r="L95"/>
  <c r="M95"/>
  <c r="N95"/>
  <c r="O95"/>
  <c r="P95"/>
  <c r="Q95"/>
  <c r="R95"/>
  <c r="S95"/>
  <c r="E96"/>
  <c r="F96"/>
  <c r="G96"/>
  <c r="H96"/>
  <c r="I96"/>
  <c r="J96"/>
  <c r="J97" s="1"/>
  <c r="I27" i="29" s="1"/>
  <c r="K96" i="5"/>
  <c r="L96"/>
  <c r="M96"/>
  <c r="N96"/>
  <c r="O96"/>
  <c r="P96"/>
  <c r="Q96"/>
  <c r="R96"/>
  <c r="S96"/>
  <c r="D96"/>
  <c r="E63"/>
  <c r="F63"/>
  <c r="G63"/>
  <c r="H63"/>
  <c r="I63"/>
  <c r="J63"/>
  <c r="J130" s="1"/>
  <c r="K63"/>
  <c r="L63"/>
  <c r="M63"/>
  <c r="N63"/>
  <c r="O63"/>
  <c r="P63"/>
  <c r="Q63"/>
  <c r="R63"/>
  <c r="S63"/>
  <c r="E64"/>
  <c r="E131" s="1"/>
  <c r="F64"/>
  <c r="G64"/>
  <c r="H64"/>
  <c r="I64"/>
  <c r="J64"/>
  <c r="K64"/>
  <c r="L64"/>
  <c r="M64"/>
  <c r="N64"/>
  <c r="O64"/>
  <c r="P64"/>
  <c r="Q64"/>
  <c r="R64"/>
  <c r="S64"/>
  <c r="S65" s="1"/>
  <c r="R16" i="29" s="1"/>
  <c r="D64" i="5"/>
  <c r="D63"/>
  <c r="B139"/>
  <c r="B120"/>
  <c r="B115"/>
  <c r="B107"/>
  <c r="B101"/>
  <c r="B85"/>
  <c r="B76"/>
  <c r="B44"/>
  <c r="B41"/>
  <c r="B38"/>
  <c r="B33"/>
  <c r="B30"/>
  <c r="B25"/>
  <c r="B22"/>
  <c r="B19"/>
  <c r="B13"/>
  <c r="C128" i="7"/>
  <c r="B35" i="6"/>
  <c r="F220" i="7"/>
  <c r="G220"/>
  <c r="H220"/>
  <c r="F221"/>
  <c r="G221"/>
  <c r="H221"/>
  <c r="E221"/>
  <c r="E220"/>
  <c r="J220"/>
  <c r="K220"/>
  <c r="L220"/>
  <c r="M220"/>
  <c r="N220"/>
  <c r="O220"/>
  <c r="P220"/>
  <c r="Q220"/>
  <c r="R220"/>
  <c r="AD11" i="40" s="1"/>
  <c r="S220" i="7"/>
  <c r="T220"/>
  <c r="J221"/>
  <c r="K221"/>
  <c r="L221"/>
  <c r="M221"/>
  <c r="I221"/>
  <c r="I220"/>
  <c r="F204"/>
  <c r="G204"/>
  <c r="H204"/>
  <c r="I204"/>
  <c r="J204"/>
  <c r="K204"/>
  <c r="L204"/>
  <c r="M204"/>
  <c r="N204"/>
  <c r="O204"/>
  <c r="P204"/>
  <c r="Q204"/>
  <c r="R204"/>
  <c r="AD12" i="40" s="1"/>
  <c r="S204" i="7"/>
  <c r="T204"/>
  <c r="F205"/>
  <c r="G205"/>
  <c r="H205"/>
  <c r="I205"/>
  <c r="J205"/>
  <c r="K205"/>
  <c r="L205"/>
  <c r="M205"/>
  <c r="N205"/>
  <c r="O205"/>
  <c r="P205"/>
  <c r="Q205"/>
  <c r="R205"/>
  <c r="S205"/>
  <c r="T205"/>
  <c r="E205"/>
  <c r="E204"/>
  <c r="F159"/>
  <c r="G159"/>
  <c r="H159"/>
  <c r="I159"/>
  <c r="J159"/>
  <c r="K159"/>
  <c r="L159"/>
  <c r="M159"/>
  <c r="N159"/>
  <c r="P159"/>
  <c r="Q159"/>
  <c r="R159"/>
  <c r="AD10" i="40" s="1"/>
  <c r="S159" i="7"/>
  <c r="F160"/>
  <c r="G160"/>
  <c r="H160"/>
  <c r="I160"/>
  <c r="J160"/>
  <c r="K160"/>
  <c r="L160"/>
  <c r="M160"/>
  <c r="N160"/>
  <c r="P160"/>
  <c r="Q160"/>
  <c r="R160"/>
  <c r="AB10" i="40" s="1"/>
  <c r="AC10" s="1"/>
  <c r="S160" i="7"/>
  <c r="T160"/>
  <c r="T161" s="1"/>
  <c r="R196" i="30" s="1"/>
  <c r="E160" i="7"/>
  <c r="E159"/>
  <c r="F130"/>
  <c r="G130"/>
  <c r="H130"/>
  <c r="I130"/>
  <c r="J130"/>
  <c r="K130"/>
  <c r="L130"/>
  <c r="M130"/>
  <c r="N130"/>
  <c r="P130"/>
  <c r="Q130"/>
  <c r="R130"/>
  <c r="S130"/>
  <c r="T130"/>
  <c r="F129"/>
  <c r="G129"/>
  <c r="H129"/>
  <c r="I129"/>
  <c r="J129"/>
  <c r="K129"/>
  <c r="K131" s="1"/>
  <c r="I36" i="29" s="1"/>
  <c r="L129" i="7"/>
  <c r="M129"/>
  <c r="N129"/>
  <c r="P129"/>
  <c r="Q129"/>
  <c r="R129"/>
  <c r="S129"/>
  <c r="T129"/>
  <c r="E129"/>
  <c r="F98"/>
  <c r="G98"/>
  <c r="H98"/>
  <c r="I98"/>
  <c r="J98"/>
  <c r="K98"/>
  <c r="L98"/>
  <c r="M98"/>
  <c r="N98"/>
  <c r="Q98"/>
  <c r="R98"/>
  <c r="S98"/>
  <c r="T98"/>
  <c r="F97"/>
  <c r="G97"/>
  <c r="H97"/>
  <c r="I97"/>
  <c r="J97"/>
  <c r="K97"/>
  <c r="L97"/>
  <c r="M97"/>
  <c r="N97"/>
  <c r="Q97"/>
  <c r="R97"/>
  <c r="S97"/>
  <c r="T97"/>
  <c r="E97"/>
  <c r="F65"/>
  <c r="G65"/>
  <c r="H65"/>
  <c r="I65"/>
  <c r="J65"/>
  <c r="K65"/>
  <c r="L65"/>
  <c r="M65"/>
  <c r="N65"/>
  <c r="Q65"/>
  <c r="R65"/>
  <c r="S65"/>
  <c r="T65"/>
  <c r="F66"/>
  <c r="G66"/>
  <c r="H66"/>
  <c r="I66"/>
  <c r="J66"/>
  <c r="K66"/>
  <c r="L66"/>
  <c r="M66"/>
  <c r="N66"/>
  <c r="Q66"/>
  <c r="R66"/>
  <c r="S66"/>
  <c r="T66"/>
  <c r="E65"/>
  <c r="H199" i="6"/>
  <c r="E215"/>
  <c r="F215"/>
  <c r="G215"/>
  <c r="H215"/>
  <c r="I215"/>
  <c r="J215"/>
  <c r="K215"/>
  <c r="L215"/>
  <c r="M215"/>
  <c r="N215"/>
  <c r="O215"/>
  <c r="P215"/>
  <c r="R215"/>
  <c r="S215"/>
  <c r="D215"/>
  <c r="E214"/>
  <c r="G214"/>
  <c r="H214"/>
  <c r="I214"/>
  <c r="J214"/>
  <c r="K214"/>
  <c r="L214"/>
  <c r="M214"/>
  <c r="N214"/>
  <c r="O214"/>
  <c r="P214"/>
  <c r="R214"/>
  <c r="S214"/>
  <c r="D214"/>
  <c r="E199"/>
  <c r="F199"/>
  <c r="G199"/>
  <c r="I199"/>
  <c r="J199"/>
  <c r="K199"/>
  <c r="L199"/>
  <c r="M199"/>
  <c r="N199"/>
  <c r="O199"/>
  <c r="P199"/>
  <c r="Q199"/>
  <c r="R199"/>
  <c r="S199"/>
  <c r="E198"/>
  <c r="F198"/>
  <c r="G198"/>
  <c r="H198"/>
  <c r="I198"/>
  <c r="J198"/>
  <c r="K198"/>
  <c r="L198"/>
  <c r="M198"/>
  <c r="N198"/>
  <c r="O198"/>
  <c r="P198"/>
  <c r="Q198"/>
  <c r="R198"/>
  <c r="S198"/>
  <c r="D198"/>
  <c r="D200" s="1"/>
  <c r="C209" i="30" s="1"/>
  <c r="D126" i="6"/>
  <c r="E153"/>
  <c r="F153"/>
  <c r="G153"/>
  <c r="H153"/>
  <c r="I153"/>
  <c r="J153"/>
  <c r="K153"/>
  <c r="L153"/>
  <c r="M153"/>
  <c r="N153"/>
  <c r="P153"/>
  <c r="Q153"/>
  <c r="R153"/>
  <c r="S153"/>
  <c r="D153"/>
  <c r="D125"/>
  <c r="D127" s="1"/>
  <c r="C37" i="29" s="1"/>
  <c r="E126" i="6"/>
  <c r="F126"/>
  <c r="G126"/>
  <c r="H126"/>
  <c r="I126"/>
  <c r="J126"/>
  <c r="K126"/>
  <c r="L126"/>
  <c r="M126"/>
  <c r="O126"/>
  <c r="P126"/>
  <c r="Q126"/>
  <c r="R126"/>
  <c r="S126"/>
  <c r="E125"/>
  <c r="F125"/>
  <c r="G125"/>
  <c r="H125"/>
  <c r="I125"/>
  <c r="J125"/>
  <c r="K125"/>
  <c r="L125"/>
  <c r="M125"/>
  <c r="O125"/>
  <c r="P125"/>
  <c r="Q125"/>
  <c r="R125"/>
  <c r="S125"/>
  <c r="E96"/>
  <c r="F96"/>
  <c r="G96"/>
  <c r="H96"/>
  <c r="I96"/>
  <c r="J96"/>
  <c r="K96"/>
  <c r="L96"/>
  <c r="M96"/>
  <c r="N96"/>
  <c r="O96"/>
  <c r="P96"/>
  <c r="Q96"/>
  <c r="R96"/>
  <c r="S96"/>
  <c r="D96"/>
  <c r="E95"/>
  <c r="E97" s="1"/>
  <c r="D26" i="29" s="1"/>
  <c r="F95" i="6"/>
  <c r="F97" s="1"/>
  <c r="E26" i="29" s="1"/>
  <c r="G95" i="6"/>
  <c r="G97" s="1"/>
  <c r="F26" i="29" s="1"/>
  <c r="H95" i="6"/>
  <c r="H97" s="1"/>
  <c r="G26" i="29" s="1"/>
  <c r="I95" i="6"/>
  <c r="I97" s="1"/>
  <c r="H26" i="29" s="1"/>
  <c r="J95" i="6"/>
  <c r="J97" s="1"/>
  <c r="I26" i="29" s="1"/>
  <c r="K95" i="6"/>
  <c r="K97" s="1"/>
  <c r="J26" i="29" s="1"/>
  <c r="L95" i="6"/>
  <c r="L97" s="1"/>
  <c r="K26" i="29" s="1"/>
  <c r="M95" i="6"/>
  <c r="M97" s="1"/>
  <c r="L26" i="29" s="1"/>
  <c r="N95" i="6"/>
  <c r="N97" s="1"/>
  <c r="M26" i="29" s="1"/>
  <c r="O95" i="6"/>
  <c r="O97" s="1"/>
  <c r="N26" i="29" s="1"/>
  <c r="P95" i="6"/>
  <c r="P97" s="1"/>
  <c r="O26" i="29" s="1"/>
  <c r="Q95" i="6"/>
  <c r="Q97" s="1"/>
  <c r="P26" i="29" s="1"/>
  <c r="R95" i="6"/>
  <c r="R97" s="1"/>
  <c r="Q26" i="29" s="1"/>
  <c r="S95" i="6"/>
  <c r="S97" s="1"/>
  <c r="R26" i="29" s="1"/>
  <c r="D95" i="6"/>
  <c r="D97" s="1"/>
  <c r="C26" i="29" s="1"/>
  <c r="E64" i="6"/>
  <c r="F64"/>
  <c r="G64"/>
  <c r="H64"/>
  <c r="I64"/>
  <c r="J64"/>
  <c r="K64"/>
  <c r="L64"/>
  <c r="M64"/>
  <c r="N64"/>
  <c r="O64"/>
  <c r="P64"/>
  <c r="Q64"/>
  <c r="R64"/>
  <c r="S64"/>
  <c r="D64"/>
  <c r="E63"/>
  <c r="E65" s="1"/>
  <c r="D15" i="29" s="1"/>
  <c r="F63" i="6"/>
  <c r="F65" s="1"/>
  <c r="E15" i="29" s="1"/>
  <c r="G63" i="6"/>
  <c r="G65" s="1"/>
  <c r="F15" i="29" s="1"/>
  <c r="H63" i="6"/>
  <c r="I63"/>
  <c r="I65" s="1"/>
  <c r="H15" i="29" s="1"/>
  <c r="J63" i="6"/>
  <c r="K63"/>
  <c r="L63"/>
  <c r="M63"/>
  <c r="M65" s="1"/>
  <c r="L15" i="29" s="1"/>
  <c r="N63" i="6"/>
  <c r="N65" s="1"/>
  <c r="M15" i="29" s="1"/>
  <c r="O63" i="6"/>
  <c r="O65" s="1"/>
  <c r="N15" i="29" s="1"/>
  <c r="P63" i="6"/>
  <c r="P65" s="1"/>
  <c r="O15" i="29" s="1"/>
  <c r="Q63" i="6"/>
  <c r="Q65" s="1"/>
  <c r="P15" i="29" s="1"/>
  <c r="R63" i="6"/>
  <c r="S63"/>
  <c r="D63"/>
  <c r="B205"/>
  <c r="B160"/>
  <c r="B139"/>
  <c r="B123"/>
  <c r="B117"/>
  <c r="B114"/>
  <c r="B101"/>
  <c r="B93"/>
  <c r="B76"/>
  <c r="B71"/>
  <c r="B44"/>
  <c r="B42"/>
  <c r="B37"/>
  <c r="B29"/>
  <c r="B23"/>
  <c r="B22"/>
  <c r="B18"/>
  <c r="C45" i="7"/>
  <c r="C39"/>
  <c r="C36"/>
  <c r="C33"/>
  <c r="C29"/>
  <c r="C145"/>
  <c r="C121"/>
  <c r="C118"/>
  <c r="C106"/>
  <c r="C87"/>
  <c r="C78"/>
  <c r="C71"/>
  <c r="C46"/>
  <c r="C22"/>
  <c r="C19"/>
  <c r="H111" i="33"/>
  <c r="N215" i="30"/>
  <c r="D269" i="12"/>
  <c r="C189" i="30" s="1"/>
  <c r="G115" i="33"/>
  <c r="D227" i="12"/>
  <c r="C42" i="30" s="1"/>
  <c r="X236" i="12"/>
  <c r="L236"/>
  <c r="K75" i="30" s="1"/>
  <c r="X233" i="12"/>
  <c r="N83" i="10"/>
  <c r="F83"/>
  <c r="D260" i="12"/>
  <c r="C156" i="30" s="1"/>
  <c r="J170" i="5"/>
  <c r="I40" i="30" s="1"/>
  <c r="J200" i="5"/>
  <c r="I154" i="30" s="1"/>
  <c r="K188" i="5"/>
  <c r="J106" i="30" s="1"/>
  <c r="R257" i="4"/>
  <c r="Q142" i="30" s="1"/>
  <c r="Q260" i="4"/>
  <c r="P155" i="30" s="1"/>
  <c r="I167" i="5"/>
  <c r="H29" i="30" s="1"/>
  <c r="Q167" i="5"/>
  <c r="P29" i="30" s="1"/>
  <c r="Q200" i="5"/>
  <c r="P154" i="30" s="1"/>
  <c r="H226"/>
  <c r="R133" i="11"/>
  <c r="J133"/>
  <c r="D167" i="5"/>
  <c r="C29" i="30" s="1"/>
  <c r="D191" i="5"/>
  <c r="C119" i="30" s="1"/>
  <c r="X242" i="12"/>
  <c r="L242"/>
  <c r="K97" i="30" s="1"/>
  <c r="X72" i="10"/>
  <c r="L72"/>
  <c r="K123" i="30" s="1"/>
  <c r="L270" i="11"/>
  <c r="K190" i="30" s="1"/>
  <c r="L264" i="11"/>
  <c r="K168" i="30" s="1"/>
  <c r="X255" i="11"/>
  <c r="J82" i="10"/>
  <c r="M78"/>
  <c r="L145" i="30" s="1"/>
  <c r="M82" i="10"/>
  <c r="P233" i="6"/>
  <c r="O50" i="30" s="1"/>
  <c r="P270" i="6"/>
  <c r="H72" i="10"/>
  <c r="G123" i="30" s="1"/>
  <c r="R211" i="5"/>
  <c r="J211"/>
  <c r="M167" i="33"/>
  <c r="R209" i="5"/>
  <c r="Q187" i="30" s="1"/>
  <c r="J203" i="5"/>
  <c r="I165" i="30" s="1"/>
  <c r="E72" i="10"/>
  <c r="D123" i="30" s="1"/>
  <c r="K224" i="4"/>
  <c r="J19" i="30" s="1"/>
  <c r="R206" i="5"/>
  <c r="Q176" i="30" s="1"/>
  <c r="R203" i="5"/>
  <c r="Q165" i="30" s="1"/>
  <c r="J164" i="5"/>
  <c r="I18" i="30" s="1"/>
  <c r="Q164" i="5"/>
  <c r="P18" i="30" s="1"/>
  <c r="K226"/>
  <c r="L233" i="12"/>
  <c r="K64" i="30" s="1"/>
  <c r="E271" i="11"/>
  <c r="S239" i="12"/>
  <c r="R86" i="30" s="1"/>
  <c r="D225" i="11"/>
  <c r="C21" i="30" s="1"/>
  <c r="H58" i="31"/>
  <c r="H115" i="33"/>
  <c r="G249" i="11"/>
  <c r="F109" i="30" s="1"/>
  <c r="I211" i="5"/>
  <c r="X272" i="11"/>
  <c r="D246"/>
  <c r="C98" i="30" s="1"/>
  <c r="E270" i="11"/>
  <c r="D190" i="30" s="1"/>
  <c r="M267" i="11"/>
  <c r="L179" i="30" s="1"/>
  <c r="E267" i="11"/>
  <c r="M261"/>
  <c r="L157" i="30" s="1"/>
  <c r="E258" i="11"/>
  <c r="D144" i="30" s="1"/>
  <c r="M255" i="11"/>
  <c r="L133" i="30" s="1"/>
  <c r="E255" i="11"/>
  <c r="D133" i="30" s="1"/>
  <c r="N234" i="11"/>
  <c r="M54" i="30" s="1"/>
  <c r="M246" i="11"/>
  <c r="L98" i="30" s="1"/>
  <c r="F261" i="11"/>
  <c r="E157" i="30" s="1"/>
  <c r="D249" i="11"/>
  <c r="C109" i="30" s="1"/>
  <c r="M240" i="11"/>
  <c r="L76" i="30" s="1"/>
  <c r="E237" i="11"/>
  <c r="D65" i="30" s="1"/>
  <c r="M234" i="11"/>
  <c r="L54" i="30" s="1"/>
  <c r="E234" i="11"/>
  <c r="D54" i="30" s="1"/>
  <c r="M228" i="11"/>
  <c r="L32" i="30" s="1"/>
  <c r="E225" i="11"/>
  <c r="D21" i="30" s="1"/>
  <c r="N26" i="39"/>
  <c r="N25"/>
  <c r="E58" i="33"/>
  <c r="N272" i="11"/>
  <c r="M272"/>
  <c r="M243"/>
  <c r="L87" i="30" s="1"/>
  <c r="I141"/>
  <c r="H141"/>
  <c r="I43" i="10"/>
  <c r="H31" i="29" s="1"/>
  <c r="L131" i="5"/>
  <c r="D131"/>
  <c r="F215" i="30"/>
  <c r="S130" i="5"/>
  <c r="L114" i="33"/>
  <c r="J23"/>
  <c r="E56"/>
  <c r="F91"/>
  <c r="C23"/>
  <c r="M38"/>
  <c r="C111"/>
  <c r="C91"/>
  <c r="I129"/>
  <c r="F64" i="10"/>
  <c r="E202" i="30" s="1"/>
  <c r="M66" i="11"/>
  <c r="L19" i="29" s="1"/>
  <c r="L128" i="31"/>
  <c r="K128"/>
  <c r="J128"/>
  <c r="G128"/>
  <c r="H128"/>
  <c r="I128"/>
  <c r="E128"/>
  <c r="F128"/>
  <c r="R40" i="29"/>
  <c r="Q40"/>
  <c r="Q38"/>
  <c r="R38"/>
  <c r="N155" i="5"/>
  <c r="M198" i="30" s="1"/>
  <c r="P155" i="5"/>
  <c r="O198" i="30" s="1"/>
  <c r="H155" i="5"/>
  <c r="G198" i="30" s="1"/>
  <c r="BQ93" i="13"/>
  <c r="BR93"/>
  <c r="BS93"/>
  <c r="BT93"/>
  <c r="BU93"/>
  <c r="BV93"/>
  <c r="BW93"/>
  <c r="BX93"/>
  <c r="BY93"/>
  <c r="BZ93"/>
  <c r="BQ92"/>
  <c r="BR92"/>
  <c r="BS92"/>
  <c r="BT92"/>
  <c r="BU92"/>
  <c r="BV92"/>
  <c r="BW92"/>
  <c r="BX92"/>
  <c r="BY92"/>
  <c r="BZ92"/>
  <c r="BQ91"/>
  <c r="BR91"/>
  <c r="BS91"/>
  <c r="BT91"/>
  <c r="BU91"/>
  <c r="BV91"/>
  <c r="BW91"/>
  <c r="BX91"/>
  <c r="BY91"/>
  <c r="BZ91"/>
  <c r="BQ90"/>
  <c r="BR90"/>
  <c r="BS90"/>
  <c r="BT90"/>
  <c r="BU90"/>
  <c r="BV90"/>
  <c r="BW90"/>
  <c r="BX90"/>
  <c r="BY90"/>
  <c r="BZ90"/>
  <c r="BQ89"/>
  <c r="BR89"/>
  <c r="BS89"/>
  <c r="BT89"/>
  <c r="BU89"/>
  <c r="BV89"/>
  <c r="BW89"/>
  <c r="BX89"/>
  <c r="BY89"/>
  <c r="BZ89"/>
  <c r="BQ88"/>
  <c r="BR88"/>
  <c r="BS88"/>
  <c r="BT88"/>
  <c r="BU88"/>
  <c r="BV88"/>
  <c r="BW88"/>
  <c r="BX88"/>
  <c r="BY88"/>
  <c r="BZ88"/>
  <c r="BQ87"/>
  <c r="BR87"/>
  <c r="BS87"/>
  <c r="BT87"/>
  <c r="BU87"/>
  <c r="BV87"/>
  <c r="BW87"/>
  <c r="BX87"/>
  <c r="BY87"/>
  <c r="BZ87"/>
  <c r="BQ86"/>
  <c r="BR86"/>
  <c r="BS86"/>
  <c r="BT86"/>
  <c r="BU86"/>
  <c r="BV86"/>
  <c r="BW86"/>
  <c r="BX86"/>
  <c r="BY86"/>
  <c r="BZ86"/>
  <c r="BQ85"/>
  <c r="BR85"/>
  <c r="BS85"/>
  <c r="BT85"/>
  <c r="BU85"/>
  <c r="BV85"/>
  <c r="BW85"/>
  <c r="BX85"/>
  <c r="BY85"/>
  <c r="BZ85"/>
  <c r="BW59"/>
  <c r="O51" i="25"/>
  <c r="P51"/>
  <c r="Q51"/>
  <c r="R51"/>
  <c r="O37"/>
  <c r="P37"/>
  <c r="Q37"/>
  <c r="R37"/>
  <c r="O23"/>
  <c r="P23"/>
  <c r="Q23"/>
  <c r="R23"/>
  <c r="O241" i="30"/>
  <c r="P241"/>
  <c r="Q241"/>
  <c r="R241"/>
  <c r="CB81" i="13"/>
  <c r="O245" i="30" s="1"/>
  <c r="CC81" i="13"/>
  <c r="P245" i="30" s="1"/>
  <c r="CD81" i="13"/>
  <c r="Q245" i="30" s="1"/>
  <c r="CE81" i="13"/>
  <c r="R245" i="30" s="1"/>
  <c r="CB94" i="13"/>
  <c r="O249" i="30" s="1"/>
  <c r="CC94" i="13"/>
  <c r="P249" i="30" s="1"/>
  <c r="CD94" i="13"/>
  <c r="Q249" i="30" s="1"/>
  <c r="CE94" i="13"/>
  <c r="R249" i="30" s="1"/>
  <c r="AV94" i="13"/>
  <c r="O248" i="30" s="1"/>
  <c r="AW94" i="13"/>
  <c r="P248" i="30" s="1"/>
  <c r="AX94" i="13"/>
  <c r="Q248" i="30" s="1"/>
  <c r="AY94" i="13"/>
  <c r="R248" i="30" s="1"/>
  <c r="O244"/>
  <c r="P244"/>
  <c r="Q244"/>
  <c r="R244"/>
  <c r="O240"/>
  <c r="P240"/>
  <c r="Q240"/>
  <c r="R240"/>
  <c r="P247"/>
  <c r="Q247"/>
  <c r="R247"/>
  <c r="Q81" i="13"/>
  <c r="P243" i="30" s="1"/>
  <c r="Q243"/>
  <c r="R243"/>
  <c r="P239"/>
  <c r="Q239"/>
  <c r="R239"/>
  <c r="M128" i="31"/>
  <c r="N128"/>
  <c r="K108"/>
  <c r="L108"/>
  <c r="M108"/>
  <c r="N108"/>
  <c r="D128"/>
  <c r="C128"/>
  <c r="D108"/>
  <c r="E108"/>
  <c r="F108"/>
  <c r="G108"/>
  <c r="H108"/>
  <c r="I108"/>
  <c r="J108"/>
  <c r="C108"/>
  <c r="D23" i="25"/>
  <c r="E23"/>
  <c r="F23"/>
  <c r="G23"/>
  <c r="H23"/>
  <c r="I23"/>
  <c r="J23"/>
  <c r="K23"/>
  <c r="L23"/>
  <c r="M23"/>
  <c r="N23"/>
  <c r="C23"/>
  <c r="D51"/>
  <c r="E51"/>
  <c r="F51"/>
  <c r="G51"/>
  <c r="H51"/>
  <c r="I51"/>
  <c r="J51"/>
  <c r="K51"/>
  <c r="L51"/>
  <c r="M51"/>
  <c r="N51"/>
  <c r="C51"/>
  <c r="D37"/>
  <c r="E37"/>
  <c r="F37"/>
  <c r="G37"/>
  <c r="H37"/>
  <c r="I37"/>
  <c r="J37"/>
  <c r="K37"/>
  <c r="L37"/>
  <c r="M37"/>
  <c r="N37"/>
  <c r="C37"/>
  <c r="EE93" i="13"/>
  <c r="EF93"/>
  <c r="EG93"/>
  <c r="EH93"/>
  <c r="EI93"/>
  <c r="EJ93"/>
  <c r="EK93"/>
  <c r="EL93"/>
  <c r="EM93"/>
  <c r="EO93"/>
  <c r="EE92"/>
  <c r="EF92"/>
  <c r="EG92"/>
  <c r="EH92"/>
  <c r="EI92"/>
  <c r="EJ92"/>
  <c r="EK92"/>
  <c r="EL92"/>
  <c r="EM92"/>
  <c r="EO92"/>
  <c r="EE91"/>
  <c r="EF91"/>
  <c r="EG91"/>
  <c r="EH91"/>
  <c r="EI91"/>
  <c r="EJ91"/>
  <c r="EK91"/>
  <c r="EL91"/>
  <c r="EM91"/>
  <c r="EO91"/>
  <c r="EE90"/>
  <c r="EF90"/>
  <c r="EG90"/>
  <c r="EH90"/>
  <c r="EI90"/>
  <c r="EJ90"/>
  <c r="EK90"/>
  <c r="EL90"/>
  <c r="EM90"/>
  <c r="EO90"/>
  <c r="EE89"/>
  <c r="EF89"/>
  <c r="EG89"/>
  <c r="EH89"/>
  <c r="EI89"/>
  <c r="EJ89"/>
  <c r="EK89"/>
  <c r="EL89"/>
  <c r="EM89"/>
  <c r="EO89"/>
  <c r="EE88"/>
  <c r="EF88"/>
  <c r="EG88"/>
  <c r="EH88"/>
  <c r="EI88"/>
  <c r="EJ88"/>
  <c r="EK88"/>
  <c r="EL88"/>
  <c r="EM88"/>
  <c r="EO88"/>
  <c r="EE87"/>
  <c r="EF87"/>
  <c r="EG87"/>
  <c r="EH87"/>
  <c r="EI87"/>
  <c r="EJ87"/>
  <c r="EK87"/>
  <c r="EL87"/>
  <c r="EM87"/>
  <c r="EO87"/>
  <c r="EE86"/>
  <c r="EF86"/>
  <c r="EG86"/>
  <c r="EH86"/>
  <c r="EI86"/>
  <c r="EJ86"/>
  <c r="EK86"/>
  <c r="EL86"/>
  <c r="EM86"/>
  <c r="EO86"/>
  <c r="EE85"/>
  <c r="EF85"/>
  <c r="EG85"/>
  <c r="EH85"/>
  <c r="EI85"/>
  <c r="EJ85"/>
  <c r="EK85"/>
  <c r="EL85"/>
  <c r="EM85"/>
  <c r="EO85"/>
  <c r="ED93"/>
  <c r="ED92"/>
  <c r="ED91"/>
  <c r="ED90"/>
  <c r="ED89"/>
  <c r="ED88"/>
  <c r="ED87"/>
  <c r="ED86"/>
  <c r="ED85"/>
  <c r="EE80"/>
  <c r="EF80"/>
  <c r="EG80"/>
  <c r="EH80"/>
  <c r="EI80"/>
  <c r="EJ80"/>
  <c r="EK80"/>
  <c r="EL80"/>
  <c r="EM80"/>
  <c r="EO80"/>
  <c r="EE79"/>
  <c r="EF79"/>
  <c r="EG79"/>
  <c r="EH79"/>
  <c r="EI79"/>
  <c r="EJ79"/>
  <c r="EK79"/>
  <c r="EL79"/>
  <c r="EM79"/>
  <c r="EO79"/>
  <c r="EE78"/>
  <c r="EF78"/>
  <c r="EG78"/>
  <c r="EH78"/>
  <c r="EI78"/>
  <c r="EJ78"/>
  <c r="EK78"/>
  <c r="EL78"/>
  <c r="EM78"/>
  <c r="EO78"/>
  <c r="EE77"/>
  <c r="EF77"/>
  <c r="EG77"/>
  <c r="EH77"/>
  <c r="EI77"/>
  <c r="EJ77"/>
  <c r="EK77"/>
  <c r="EL77"/>
  <c r="EM77"/>
  <c r="EO77"/>
  <c r="EE76"/>
  <c r="EF76"/>
  <c r="EG76"/>
  <c r="EH76"/>
  <c r="EI76"/>
  <c r="EJ76"/>
  <c r="EK76"/>
  <c r="EL76"/>
  <c r="EM76"/>
  <c r="EO76"/>
  <c r="EE75"/>
  <c r="EF75"/>
  <c r="EG75"/>
  <c r="EH75"/>
  <c r="EI75"/>
  <c r="EJ75"/>
  <c r="EK75"/>
  <c r="EL75"/>
  <c r="EM75"/>
  <c r="EO75"/>
  <c r="EE74"/>
  <c r="EF74"/>
  <c r="EG74"/>
  <c r="EH74"/>
  <c r="EI74"/>
  <c r="EJ74"/>
  <c r="EK74"/>
  <c r="EL74"/>
  <c r="EM74"/>
  <c r="EO74"/>
  <c r="EE73"/>
  <c r="EF73"/>
  <c r="EG73"/>
  <c r="EH73"/>
  <c r="EI73"/>
  <c r="EJ73"/>
  <c r="EK73"/>
  <c r="EL73"/>
  <c r="EM73"/>
  <c r="EO73"/>
  <c r="EE72"/>
  <c r="EF72"/>
  <c r="EG72"/>
  <c r="EH72"/>
  <c r="EI72"/>
  <c r="EJ72"/>
  <c r="EK72"/>
  <c r="EL72"/>
  <c r="EM72"/>
  <c r="EO72"/>
  <c r="ED80"/>
  <c r="ED79"/>
  <c r="ED78"/>
  <c r="ED77"/>
  <c r="ED76"/>
  <c r="ED75"/>
  <c r="ED74"/>
  <c r="ED73"/>
  <c r="ED72"/>
  <c r="EE67"/>
  <c r="EF67"/>
  <c r="EG67"/>
  <c r="EH67"/>
  <c r="EI67"/>
  <c r="EJ67"/>
  <c r="EK67"/>
  <c r="EL67"/>
  <c r="EM67"/>
  <c r="EO67"/>
  <c r="EE66"/>
  <c r="EF66"/>
  <c r="EG66"/>
  <c r="EH66"/>
  <c r="EI66"/>
  <c r="EJ66"/>
  <c r="EK66"/>
  <c r="EL66"/>
  <c r="EM66"/>
  <c r="EO66"/>
  <c r="EE65"/>
  <c r="EF65"/>
  <c r="EG65"/>
  <c r="EH65"/>
  <c r="EI65"/>
  <c r="EJ65"/>
  <c r="EK65"/>
  <c r="EL65"/>
  <c r="EM65"/>
  <c r="EO65"/>
  <c r="EE64"/>
  <c r="EF64"/>
  <c r="EG64"/>
  <c r="EH64"/>
  <c r="EI64"/>
  <c r="EJ64"/>
  <c r="EK64"/>
  <c r="EL64"/>
  <c r="EM64"/>
  <c r="EO64"/>
  <c r="EE63"/>
  <c r="EF63"/>
  <c r="EG63"/>
  <c r="EH63"/>
  <c r="EI63"/>
  <c r="EJ63"/>
  <c r="EK63"/>
  <c r="EL63"/>
  <c r="EM63"/>
  <c r="EO63"/>
  <c r="EE62"/>
  <c r="EF62"/>
  <c r="EG62"/>
  <c r="EH62"/>
  <c r="EI62"/>
  <c r="EJ62"/>
  <c r="EK62"/>
  <c r="EL62"/>
  <c r="EM62"/>
  <c r="EO62"/>
  <c r="EE61"/>
  <c r="EF61"/>
  <c r="EG61"/>
  <c r="EH61"/>
  <c r="EI61"/>
  <c r="EJ61"/>
  <c r="EK61"/>
  <c r="EL61"/>
  <c r="EM61"/>
  <c r="EO61"/>
  <c r="EE60"/>
  <c r="EF60"/>
  <c r="EG60"/>
  <c r="EH60"/>
  <c r="EI60"/>
  <c r="EJ60"/>
  <c r="EK60"/>
  <c r="EL60"/>
  <c r="EM60"/>
  <c r="EO60"/>
  <c r="EE59"/>
  <c r="EF59"/>
  <c r="EG59"/>
  <c r="EH59"/>
  <c r="EI59"/>
  <c r="EJ59"/>
  <c r="EK59"/>
  <c r="EL59"/>
  <c r="EM59"/>
  <c r="EO59"/>
  <c r="ED67"/>
  <c r="ED66"/>
  <c r="ED65"/>
  <c r="ED64"/>
  <c r="ED63"/>
  <c r="ED62"/>
  <c r="ED61"/>
  <c r="ED60"/>
  <c r="ED59"/>
  <c r="CZ93"/>
  <c r="DA93"/>
  <c r="DB93"/>
  <c r="DC93"/>
  <c r="DE93"/>
  <c r="DF93"/>
  <c r="CZ92"/>
  <c r="DA92"/>
  <c r="DB92"/>
  <c r="DC92"/>
  <c r="DE92"/>
  <c r="DF92"/>
  <c r="CZ91"/>
  <c r="DA91"/>
  <c r="DB91"/>
  <c r="DC91"/>
  <c r="DE91"/>
  <c r="DF91"/>
  <c r="CZ90"/>
  <c r="DA90"/>
  <c r="DB90"/>
  <c r="DC90"/>
  <c r="DE90"/>
  <c r="DF90"/>
  <c r="CZ89"/>
  <c r="DA89"/>
  <c r="DB89"/>
  <c r="DC89"/>
  <c r="DE89"/>
  <c r="DF89"/>
  <c r="CZ88"/>
  <c r="DA88"/>
  <c r="DB88"/>
  <c r="DC88"/>
  <c r="DE88"/>
  <c r="DF88"/>
  <c r="CZ87"/>
  <c r="DA87"/>
  <c r="DB87"/>
  <c r="DC87"/>
  <c r="DE87"/>
  <c r="DF87"/>
  <c r="CZ86"/>
  <c r="DA86"/>
  <c r="DB86"/>
  <c r="DC86"/>
  <c r="DE86"/>
  <c r="DF86"/>
  <c r="CZ85"/>
  <c r="DA85"/>
  <c r="DB85"/>
  <c r="DC85"/>
  <c r="DE85"/>
  <c r="DF85"/>
  <c r="CX80"/>
  <c r="CY80"/>
  <c r="CZ80"/>
  <c r="DA80"/>
  <c r="DB80"/>
  <c r="DC80"/>
  <c r="DD80"/>
  <c r="DE80"/>
  <c r="DF80"/>
  <c r="DH80"/>
  <c r="CX79"/>
  <c r="CY79"/>
  <c r="CZ79"/>
  <c r="DA79"/>
  <c r="DB79"/>
  <c r="DC79"/>
  <c r="DD79"/>
  <c r="DE79"/>
  <c r="DF79"/>
  <c r="DH79"/>
  <c r="CX78"/>
  <c r="CY78"/>
  <c r="CZ78"/>
  <c r="DA78"/>
  <c r="DB78"/>
  <c r="DC78"/>
  <c r="DD78"/>
  <c r="DE78"/>
  <c r="DF78"/>
  <c r="DH78"/>
  <c r="CX77"/>
  <c r="CY77"/>
  <c r="CZ77"/>
  <c r="DA77"/>
  <c r="DB77"/>
  <c r="DC77"/>
  <c r="DD77"/>
  <c r="DE77"/>
  <c r="DF77"/>
  <c r="DH77"/>
  <c r="CX76"/>
  <c r="CY76"/>
  <c r="CZ76"/>
  <c r="DA76"/>
  <c r="DB76"/>
  <c r="DC76"/>
  <c r="DD76"/>
  <c r="DE76"/>
  <c r="DF76"/>
  <c r="DH76"/>
  <c r="CX75"/>
  <c r="CY75"/>
  <c r="CZ75"/>
  <c r="DA75"/>
  <c r="DB75"/>
  <c r="DC75"/>
  <c r="DD75"/>
  <c r="DE75"/>
  <c r="DF75"/>
  <c r="DH75"/>
  <c r="CX74"/>
  <c r="CY74"/>
  <c r="CZ74"/>
  <c r="DA74"/>
  <c r="DB74"/>
  <c r="DC74"/>
  <c r="DD74"/>
  <c r="DE74"/>
  <c r="DF74"/>
  <c r="DH74"/>
  <c r="CX73"/>
  <c r="CY73"/>
  <c r="CZ73"/>
  <c r="DA73"/>
  <c r="DB73"/>
  <c r="DC73"/>
  <c r="DD73"/>
  <c r="DE73"/>
  <c r="DF73"/>
  <c r="DH73"/>
  <c r="CX72"/>
  <c r="CY72"/>
  <c r="CZ72"/>
  <c r="DA72"/>
  <c r="DB72"/>
  <c r="DC72"/>
  <c r="DD72"/>
  <c r="DE72"/>
  <c r="DF72"/>
  <c r="DH72"/>
  <c r="CW80"/>
  <c r="CW79"/>
  <c r="CW78"/>
  <c r="CW77"/>
  <c r="CW76"/>
  <c r="CW75"/>
  <c r="CW74"/>
  <c r="CW73"/>
  <c r="CW72"/>
  <c r="CX67"/>
  <c r="CY67"/>
  <c r="CZ67"/>
  <c r="DA67"/>
  <c r="DB67"/>
  <c r="DC67"/>
  <c r="DD67"/>
  <c r="DE67"/>
  <c r="DF67"/>
  <c r="CX66"/>
  <c r="CY66"/>
  <c r="CZ66"/>
  <c r="DA66"/>
  <c r="DB66"/>
  <c r="DC66"/>
  <c r="DD66"/>
  <c r="DE66"/>
  <c r="DF66"/>
  <c r="CX65"/>
  <c r="CY65"/>
  <c r="CZ65"/>
  <c r="DA65"/>
  <c r="DB65"/>
  <c r="DC65"/>
  <c r="DD65"/>
  <c r="DE65"/>
  <c r="DF65"/>
  <c r="CX64"/>
  <c r="CY64"/>
  <c r="CZ64"/>
  <c r="DA64"/>
  <c r="DB64"/>
  <c r="DC64"/>
  <c r="DD64"/>
  <c r="DE64"/>
  <c r="DF64"/>
  <c r="CX63"/>
  <c r="CY63"/>
  <c r="CZ63"/>
  <c r="DA63"/>
  <c r="DB63"/>
  <c r="DC63"/>
  <c r="DD63"/>
  <c r="DE63"/>
  <c r="DF63"/>
  <c r="CX62"/>
  <c r="CY62"/>
  <c r="CZ62"/>
  <c r="DA62"/>
  <c r="DB62"/>
  <c r="DC62"/>
  <c r="DD62"/>
  <c r="DE62"/>
  <c r="DF62"/>
  <c r="CX61"/>
  <c r="CY61"/>
  <c r="CZ61"/>
  <c r="DA61"/>
  <c r="DB61"/>
  <c r="DC61"/>
  <c r="DD61"/>
  <c r="DE61"/>
  <c r="DF61"/>
  <c r="CX60"/>
  <c r="CY60"/>
  <c r="CZ60"/>
  <c r="DA60"/>
  <c r="DB60"/>
  <c r="DC60"/>
  <c r="DD60"/>
  <c r="DE60"/>
  <c r="DF60"/>
  <c r="CX59"/>
  <c r="CY59"/>
  <c r="CZ59"/>
  <c r="DA59"/>
  <c r="DB59"/>
  <c r="DC59"/>
  <c r="DD59"/>
  <c r="DE59"/>
  <c r="DF59"/>
  <c r="CW67"/>
  <c r="CW66"/>
  <c r="CW65"/>
  <c r="CW64"/>
  <c r="CW63"/>
  <c r="CW62"/>
  <c r="CW61"/>
  <c r="CW60"/>
  <c r="CW59"/>
  <c r="BP93"/>
  <c r="BP92"/>
  <c r="BP91"/>
  <c r="BP90"/>
  <c r="BP89"/>
  <c r="BP88"/>
  <c r="BP87"/>
  <c r="BP86"/>
  <c r="BP85"/>
  <c r="BQ80"/>
  <c r="BR80"/>
  <c r="BS80"/>
  <c r="BT80"/>
  <c r="BU80"/>
  <c r="BV80"/>
  <c r="BW80"/>
  <c r="BX80"/>
  <c r="BY80"/>
  <c r="BZ80"/>
  <c r="BQ79"/>
  <c r="BR79"/>
  <c r="BS79"/>
  <c r="BT79"/>
  <c r="BU79"/>
  <c r="BV79"/>
  <c r="BW79"/>
  <c r="BX79"/>
  <c r="BY79"/>
  <c r="BZ79"/>
  <c r="BQ78"/>
  <c r="BR78"/>
  <c r="BS78"/>
  <c r="BT78"/>
  <c r="BU78"/>
  <c r="BV78"/>
  <c r="BW78"/>
  <c r="BX78"/>
  <c r="BY78"/>
  <c r="BZ78"/>
  <c r="BQ77"/>
  <c r="BR77"/>
  <c r="BS77"/>
  <c r="BT77"/>
  <c r="BU77"/>
  <c r="BV77"/>
  <c r="BW77"/>
  <c r="BX77"/>
  <c r="BY77"/>
  <c r="BZ77"/>
  <c r="BQ76"/>
  <c r="BR76"/>
  <c r="BS76"/>
  <c r="BT76"/>
  <c r="BU76"/>
  <c r="BV76"/>
  <c r="BW76"/>
  <c r="BX76"/>
  <c r="BY76"/>
  <c r="BZ76"/>
  <c r="BQ75"/>
  <c r="BR75"/>
  <c r="BS75"/>
  <c r="BT75"/>
  <c r="BU75"/>
  <c r="BV75"/>
  <c r="BW75"/>
  <c r="BX75"/>
  <c r="BY75"/>
  <c r="BZ75"/>
  <c r="O117" i="39"/>
  <c r="BQ74" i="13"/>
  <c r="BR74"/>
  <c r="BS74"/>
  <c r="BT74"/>
  <c r="BU74"/>
  <c r="BV74"/>
  <c r="BW74"/>
  <c r="BX74"/>
  <c r="BY74"/>
  <c r="BZ74"/>
  <c r="BQ73"/>
  <c r="BR73"/>
  <c r="BS73"/>
  <c r="BT73"/>
  <c r="BU73"/>
  <c r="BV73"/>
  <c r="BW73"/>
  <c r="BX73"/>
  <c r="BY73"/>
  <c r="BZ73"/>
  <c r="BQ72"/>
  <c r="BR72"/>
  <c r="BS72"/>
  <c r="BT72"/>
  <c r="BU72"/>
  <c r="BV72"/>
  <c r="BW72"/>
  <c r="BX72"/>
  <c r="BY72"/>
  <c r="BZ72"/>
  <c r="BP80"/>
  <c r="BP79"/>
  <c r="BP78"/>
  <c r="BP77"/>
  <c r="BP76"/>
  <c r="BP75"/>
  <c r="BP74"/>
  <c r="BP73"/>
  <c r="BP72"/>
  <c r="BQ67"/>
  <c r="BR67"/>
  <c r="BS67"/>
  <c r="BT67"/>
  <c r="BU67"/>
  <c r="BV67"/>
  <c r="BW67"/>
  <c r="BX67"/>
  <c r="BY67"/>
  <c r="BZ67"/>
  <c r="BQ66"/>
  <c r="BR66"/>
  <c r="BS66"/>
  <c r="BT66"/>
  <c r="BU66"/>
  <c r="BV66"/>
  <c r="BW66"/>
  <c r="BX66"/>
  <c r="BY66"/>
  <c r="BZ66"/>
  <c r="BQ65"/>
  <c r="BR65"/>
  <c r="BS65"/>
  <c r="BT65"/>
  <c r="BU65"/>
  <c r="BV65"/>
  <c r="BW65"/>
  <c r="BX65"/>
  <c r="BY65"/>
  <c r="BZ65"/>
  <c r="BQ64"/>
  <c r="BR64"/>
  <c r="BS64"/>
  <c r="BT64"/>
  <c r="BU64"/>
  <c r="BV64"/>
  <c r="BW64"/>
  <c r="BX64"/>
  <c r="BY64"/>
  <c r="BZ64"/>
  <c r="BQ63"/>
  <c r="BR63"/>
  <c r="BS63"/>
  <c r="BT63"/>
  <c r="BU63"/>
  <c r="BV63"/>
  <c r="BW63"/>
  <c r="BX63"/>
  <c r="BY63"/>
  <c r="BZ63"/>
  <c r="BQ62"/>
  <c r="BR62"/>
  <c r="BS62"/>
  <c r="BT62"/>
  <c r="BU62"/>
  <c r="BV62"/>
  <c r="BW62"/>
  <c r="BX62"/>
  <c r="BY62"/>
  <c r="BZ62"/>
  <c r="BQ61"/>
  <c r="BR61"/>
  <c r="BS61"/>
  <c r="BT61"/>
  <c r="BU61"/>
  <c r="BV61"/>
  <c r="BW61"/>
  <c r="BX61"/>
  <c r="BY61"/>
  <c r="BZ61"/>
  <c r="BQ60"/>
  <c r="BR60"/>
  <c r="BS60"/>
  <c r="BT60"/>
  <c r="BU60"/>
  <c r="BV60"/>
  <c r="BW60"/>
  <c r="BX60"/>
  <c r="BY60"/>
  <c r="BZ60"/>
  <c r="BQ59"/>
  <c r="BR59"/>
  <c r="BS59"/>
  <c r="BT59"/>
  <c r="BU59"/>
  <c r="BV59"/>
  <c r="BX59"/>
  <c r="BY59"/>
  <c r="BZ59"/>
  <c r="CA70"/>
  <c r="BP67"/>
  <c r="BP66"/>
  <c r="BP65"/>
  <c r="BP64"/>
  <c r="BP63"/>
  <c r="BP62"/>
  <c r="BP61"/>
  <c r="BP60"/>
  <c r="BP59"/>
  <c r="AK93"/>
  <c r="AL93"/>
  <c r="AM93"/>
  <c r="AN93"/>
  <c r="AO93"/>
  <c r="AP93"/>
  <c r="AQ93"/>
  <c r="AR93"/>
  <c r="AS93"/>
  <c r="AU93"/>
  <c r="AK92"/>
  <c r="AL92"/>
  <c r="AM92"/>
  <c r="AN92"/>
  <c r="AO92"/>
  <c r="AP92"/>
  <c r="AQ92"/>
  <c r="AR92"/>
  <c r="AS92"/>
  <c r="AU92"/>
  <c r="AK91"/>
  <c r="AL91"/>
  <c r="AM91"/>
  <c r="AN91"/>
  <c r="AO91"/>
  <c r="AP91"/>
  <c r="AQ91"/>
  <c r="AR91"/>
  <c r="AS91"/>
  <c r="AU91"/>
  <c r="AK90"/>
  <c r="AL90"/>
  <c r="AM90"/>
  <c r="AN90"/>
  <c r="AO90"/>
  <c r="AP90"/>
  <c r="AQ90"/>
  <c r="AR90"/>
  <c r="AS90"/>
  <c r="AU90"/>
  <c r="AK89"/>
  <c r="AL89"/>
  <c r="AM89"/>
  <c r="AN89"/>
  <c r="AO89"/>
  <c r="AP89"/>
  <c r="AQ89"/>
  <c r="AR89"/>
  <c r="AS89"/>
  <c r="AU89"/>
  <c r="AK88"/>
  <c r="AL88"/>
  <c r="AM88"/>
  <c r="AN88"/>
  <c r="AO88"/>
  <c r="AP88"/>
  <c r="AQ88"/>
  <c r="AR88"/>
  <c r="AS88"/>
  <c r="AU88"/>
  <c r="AK87"/>
  <c r="AL87"/>
  <c r="AM87"/>
  <c r="AN87"/>
  <c r="AO87"/>
  <c r="AP87"/>
  <c r="AQ87"/>
  <c r="AR87"/>
  <c r="AS87"/>
  <c r="AU87"/>
  <c r="AK86"/>
  <c r="AL86"/>
  <c r="AM86"/>
  <c r="AN86"/>
  <c r="AO86"/>
  <c r="AP86"/>
  <c r="AQ86"/>
  <c r="AR86"/>
  <c r="AS86"/>
  <c r="AU86"/>
  <c r="AK85"/>
  <c r="AL85"/>
  <c r="AM85"/>
  <c r="AN85"/>
  <c r="AO85"/>
  <c r="AP85"/>
  <c r="AQ85"/>
  <c r="AR85"/>
  <c r="AS85"/>
  <c r="AU85"/>
  <c r="AJ93"/>
  <c r="AJ92"/>
  <c r="AJ91"/>
  <c r="AJ90"/>
  <c r="AJ89"/>
  <c r="AJ88"/>
  <c r="AJ87"/>
  <c r="AJ86"/>
  <c r="AJ85"/>
  <c r="AK80"/>
  <c r="AL80"/>
  <c r="AM80"/>
  <c r="AN80"/>
  <c r="AO80"/>
  <c r="AP80"/>
  <c r="AQ80"/>
  <c r="AR80"/>
  <c r="AS80"/>
  <c r="AU80"/>
  <c r="AK79"/>
  <c r="AL79"/>
  <c r="AM79"/>
  <c r="AN79"/>
  <c r="AO79"/>
  <c r="AP79"/>
  <c r="AQ79"/>
  <c r="AR79"/>
  <c r="AS79"/>
  <c r="AU79"/>
  <c r="AK78"/>
  <c r="AL78"/>
  <c r="AM78"/>
  <c r="AN78"/>
  <c r="AO78"/>
  <c r="AP78"/>
  <c r="AQ78"/>
  <c r="AR78"/>
  <c r="AS78"/>
  <c r="AU78"/>
  <c r="AK77"/>
  <c r="AL77"/>
  <c r="AM77"/>
  <c r="AN77"/>
  <c r="AO77"/>
  <c r="AP77"/>
  <c r="AQ77"/>
  <c r="AR77"/>
  <c r="AS77"/>
  <c r="AU77"/>
  <c r="AK76"/>
  <c r="AL76"/>
  <c r="AM76"/>
  <c r="AN76"/>
  <c r="AO76"/>
  <c r="AP76"/>
  <c r="AQ76"/>
  <c r="AR76"/>
  <c r="AS76"/>
  <c r="AU76"/>
  <c r="AK75"/>
  <c r="AL75"/>
  <c r="AM75"/>
  <c r="AN75"/>
  <c r="AO75"/>
  <c r="AP75"/>
  <c r="AQ75"/>
  <c r="AR75"/>
  <c r="AS75"/>
  <c r="AU75"/>
  <c r="AL74"/>
  <c r="AM74"/>
  <c r="AN74"/>
  <c r="AO74"/>
  <c r="AP74"/>
  <c r="AQ74"/>
  <c r="AR74"/>
  <c r="AS74"/>
  <c r="AU74"/>
  <c r="AK73"/>
  <c r="AL73"/>
  <c r="AM73"/>
  <c r="AN73"/>
  <c r="AO73"/>
  <c r="AP73"/>
  <c r="AQ73"/>
  <c r="AR73"/>
  <c r="AS73"/>
  <c r="AU73"/>
  <c r="AL72"/>
  <c r="AM72"/>
  <c r="AN72"/>
  <c r="AO72"/>
  <c r="AP72"/>
  <c r="AQ72"/>
  <c r="AR72"/>
  <c r="AS72"/>
  <c r="AT83"/>
  <c r="AU72"/>
  <c r="AJ80"/>
  <c r="AJ79"/>
  <c r="AJ78"/>
  <c r="AJ77"/>
  <c r="AJ76"/>
  <c r="AJ75"/>
  <c r="AJ74"/>
  <c r="AJ73"/>
  <c r="AJ72"/>
  <c r="AK67"/>
  <c r="AL67"/>
  <c r="AM67"/>
  <c r="AN67"/>
  <c r="AO67"/>
  <c r="AP67"/>
  <c r="AQ67"/>
  <c r="AR67"/>
  <c r="AS67"/>
  <c r="AK66"/>
  <c r="AL66"/>
  <c r="AM66"/>
  <c r="AN66"/>
  <c r="AO66"/>
  <c r="AP66"/>
  <c r="AQ66"/>
  <c r="AR66"/>
  <c r="AS66"/>
  <c r="AK65"/>
  <c r="AL65"/>
  <c r="AM65"/>
  <c r="AN65"/>
  <c r="AO65"/>
  <c r="AP65"/>
  <c r="AQ65"/>
  <c r="AR65"/>
  <c r="AS65"/>
  <c r="AK64"/>
  <c r="AL64"/>
  <c r="AM64"/>
  <c r="AN64"/>
  <c r="AO64"/>
  <c r="AP64"/>
  <c r="AQ64"/>
  <c r="AR64"/>
  <c r="AS64"/>
  <c r="AK63"/>
  <c r="AL63"/>
  <c r="AM63"/>
  <c r="AN63"/>
  <c r="AO63"/>
  <c r="AP63"/>
  <c r="AQ63"/>
  <c r="AR63"/>
  <c r="AS63"/>
  <c r="AK62"/>
  <c r="AL62"/>
  <c r="AM62"/>
  <c r="AN62"/>
  <c r="AO62"/>
  <c r="AP62"/>
  <c r="AQ62"/>
  <c r="AR62"/>
  <c r="AS62"/>
  <c r="AK61"/>
  <c r="AL61"/>
  <c r="AM61"/>
  <c r="AN61"/>
  <c r="AO61"/>
  <c r="AP61"/>
  <c r="AQ61"/>
  <c r="AR61"/>
  <c r="AS61"/>
  <c r="AK60"/>
  <c r="AL60"/>
  <c r="AM60"/>
  <c r="AN60"/>
  <c r="AO60"/>
  <c r="AP60"/>
  <c r="AQ60"/>
  <c r="AR60"/>
  <c r="AS60"/>
  <c r="O104" i="39"/>
  <c r="AK59" i="13"/>
  <c r="AL59"/>
  <c r="AM59"/>
  <c r="AN59"/>
  <c r="AO59"/>
  <c r="AP59"/>
  <c r="AQ59"/>
  <c r="AR59"/>
  <c r="AS59"/>
  <c r="O105" i="39"/>
  <c r="AJ67" i="13"/>
  <c r="AJ66"/>
  <c r="AJ65"/>
  <c r="AJ64"/>
  <c r="AJ63"/>
  <c r="AJ62"/>
  <c r="AJ61"/>
  <c r="AJ60"/>
  <c r="AJ59"/>
  <c r="M89"/>
  <c r="E93"/>
  <c r="F93"/>
  <c r="G93"/>
  <c r="H93"/>
  <c r="I93"/>
  <c r="J93"/>
  <c r="K93"/>
  <c r="L93"/>
  <c r="M93"/>
  <c r="O93"/>
  <c r="E92"/>
  <c r="F92"/>
  <c r="G92"/>
  <c r="H92"/>
  <c r="I92"/>
  <c r="J92"/>
  <c r="K92"/>
  <c r="L92"/>
  <c r="M92"/>
  <c r="O92"/>
  <c r="E91"/>
  <c r="F91"/>
  <c r="G91"/>
  <c r="H91"/>
  <c r="I91"/>
  <c r="J91"/>
  <c r="K91"/>
  <c r="L91"/>
  <c r="M91"/>
  <c r="O91"/>
  <c r="E90"/>
  <c r="F90"/>
  <c r="G90"/>
  <c r="H90"/>
  <c r="I90"/>
  <c r="J90"/>
  <c r="K90"/>
  <c r="L90"/>
  <c r="M90"/>
  <c r="O90"/>
  <c r="E89"/>
  <c r="F89"/>
  <c r="G89"/>
  <c r="H89"/>
  <c r="I89"/>
  <c r="J89"/>
  <c r="K89"/>
  <c r="L89"/>
  <c r="O89"/>
  <c r="E88"/>
  <c r="F88"/>
  <c r="G88"/>
  <c r="H88"/>
  <c r="I88"/>
  <c r="J88"/>
  <c r="K88"/>
  <c r="L88"/>
  <c r="M88"/>
  <c r="O88"/>
  <c r="E87"/>
  <c r="F87"/>
  <c r="G87"/>
  <c r="H87"/>
  <c r="I87"/>
  <c r="J87"/>
  <c r="K87"/>
  <c r="L87"/>
  <c r="M87"/>
  <c r="O87"/>
  <c r="E86"/>
  <c r="F86"/>
  <c r="G86"/>
  <c r="H86"/>
  <c r="I86"/>
  <c r="J86"/>
  <c r="K86"/>
  <c r="L86"/>
  <c r="M86"/>
  <c r="O86"/>
  <c r="E85"/>
  <c r="F85"/>
  <c r="G85"/>
  <c r="H85"/>
  <c r="I85"/>
  <c r="J85"/>
  <c r="K85"/>
  <c r="L85"/>
  <c r="M85"/>
  <c r="O85"/>
  <c r="E80"/>
  <c r="F80"/>
  <c r="G80"/>
  <c r="H80"/>
  <c r="I80"/>
  <c r="J80"/>
  <c r="K80"/>
  <c r="L80"/>
  <c r="M80"/>
  <c r="O80"/>
  <c r="E79"/>
  <c r="F79"/>
  <c r="G79"/>
  <c r="H79"/>
  <c r="I79"/>
  <c r="J79"/>
  <c r="K79"/>
  <c r="L79"/>
  <c r="M79"/>
  <c r="O79"/>
  <c r="E78"/>
  <c r="F78"/>
  <c r="G78"/>
  <c r="H78"/>
  <c r="I78"/>
  <c r="J78"/>
  <c r="K78"/>
  <c r="L78"/>
  <c r="M78"/>
  <c r="O78"/>
  <c r="E77"/>
  <c r="F77"/>
  <c r="G77"/>
  <c r="H77"/>
  <c r="I77"/>
  <c r="J77"/>
  <c r="K77"/>
  <c r="L77"/>
  <c r="M77"/>
  <c r="O77"/>
  <c r="E76"/>
  <c r="F76"/>
  <c r="G76"/>
  <c r="H76"/>
  <c r="I76"/>
  <c r="J76"/>
  <c r="K76"/>
  <c r="L76"/>
  <c r="M76"/>
  <c r="O76"/>
  <c r="E75"/>
  <c r="F75"/>
  <c r="G75"/>
  <c r="H75"/>
  <c r="I75"/>
  <c r="J75"/>
  <c r="K75"/>
  <c r="L75"/>
  <c r="M75"/>
  <c r="O75"/>
  <c r="E74"/>
  <c r="F74"/>
  <c r="G74"/>
  <c r="H74"/>
  <c r="I74"/>
  <c r="J74"/>
  <c r="K74"/>
  <c r="L74"/>
  <c r="M74"/>
  <c r="O74"/>
  <c r="E73"/>
  <c r="F73"/>
  <c r="G73"/>
  <c r="H73"/>
  <c r="I73"/>
  <c r="J73"/>
  <c r="K73"/>
  <c r="L73"/>
  <c r="M73"/>
  <c r="O73"/>
  <c r="E72"/>
  <c r="F72"/>
  <c r="G72"/>
  <c r="H72"/>
  <c r="I72"/>
  <c r="J72"/>
  <c r="K72"/>
  <c r="L72"/>
  <c r="M72"/>
  <c r="O72"/>
  <c r="E67"/>
  <c r="F67"/>
  <c r="G67"/>
  <c r="H67"/>
  <c r="I67"/>
  <c r="J67"/>
  <c r="K67"/>
  <c r="L67"/>
  <c r="M67"/>
  <c r="O67"/>
  <c r="E66"/>
  <c r="F66"/>
  <c r="G66"/>
  <c r="H66"/>
  <c r="I66"/>
  <c r="J66"/>
  <c r="K66"/>
  <c r="L66"/>
  <c r="M66"/>
  <c r="O66"/>
  <c r="E65"/>
  <c r="F65"/>
  <c r="G65"/>
  <c r="H65"/>
  <c r="I65"/>
  <c r="J65"/>
  <c r="K65"/>
  <c r="L65"/>
  <c r="M65"/>
  <c r="O65"/>
  <c r="E64"/>
  <c r="F64"/>
  <c r="G64"/>
  <c r="H64"/>
  <c r="I64"/>
  <c r="J64"/>
  <c r="K64"/>
  <c r="L64"/>
  <c r="M64"/>
  <c r="O64"/>
  <c r="E63"/>
  <c r="F63"/>
  <c r="G63"/>
  <c r="H63"/>
  <c r="I63"/>
  <c r="J63"/>
  <c r="K63"/>
  <c r="L63"/>
  <c r="M63"/>
  <c r="O63"/>
  <c r="E62"/>
  <c r="F62"/>
  <c r="G62"/>
  <c r="H62"/>
  <c r="I62"/>
  <c r="J62"/>
  <c r="K62"/>
  <c r="L62"/>
  <c r="M62"/>
  <c r="O62"/>
  <c r="E61"/>
  <c r="F61"/>
  <c r="G61"/>
  <c r="H61"/>
  <c r="I61"/>
  <c r="J61"/>
  <c r="K61"/>
  <c r="L61"/>
  <c r="M61"/>
  <c r="O61"/>
  <c r="E60"/>
  <c r="F60"/>
  <c r="G60"/>
  <c r="H60"/>
  <c r="I60"/>
  <c r="J60"/>
  <c r="K60"/>
  <c r="L60"/>
  <c r="M60"/>
  <c r="O60"/>
  <c r="E59"/>
  <c r="F59"/>
  <c r="G59"/>
  <c r="H59"/>
  <c r="I59"/>
  <c r="J59"/>
  <c r="K59"/>
  <c r="L59"/>
  <c r="D93"/>
  <c r="D92"/>
  <c r="D91"/>
  <c r="D90"/>
  <c r="D89"/>
  <c r="D88"/>
  <c r="D87"/>
  <c r="D86"/>
  <c r="D85"/>
  <c r="D80"/>
  <c r="D79"/>
  <c r="D78"/>
  <c r="D77"/>
  <c r="D76"/>
  <c r="D75"/>
  <c r="D74"/>
  <c r="D73"/>
  <c r="D72"/>
  <c r="D67"/>
  <c r="D66"/>
  <c r="D65"/>
  <c r="D64"/>
  <c r="D62"/>
  <c r="D61"/>
  <c r="D60"/>
  <c r="O125" i="39"/>
  <c r="O127"/>
  <c r="O126"/>
  <c r="O106"/>
  <c r="O108"/>
  <c r="O116"/>
  <c r="CA96" i="13"/>
  <c r="AU70"/>
  <c r="CA83"/>
  <c r="AT96"/>
  <c r="AT70"/>
  <c r="CA94"/>
  <c r="N249" i="30" s="1"/>
  <c r="N83" i="13"/>
  <c r="N82"/>
  <c r="N112" i="39"/>
  <c r="N111"/>
  <c r="N110"/>
  <c r="AT69" i="13"/>
  <c r="N106" i="39"/>
  <c r="N105"/>
  <c r="N104"/>
  <c r="N102"/>
  <c r="N101"/>
  <c r="N69" i="13"/>
  <c r="N103" i="39"/>
  <c r="N70" i="13"/>
  <c r="CA82"/>
  <c r="N123" i="39"/>
  <c r="AT95" i="13"/>
  <c r="N122" i="39"/>
  <c r="N124"/>
  <c r="CA69" i="13"/>
  <c r="AU69"/>
  <c r="N96"/>
  <c r="N121" i="39"/>
  <c r="N95" i="13"/>
  <c r="N120" i="39"/>
  <c r="N119"/>
  <c r="N114"/>
  <c r="AT82" i="13"/>
  <c r="N113" i="39"/>
  <c r="N115"/>
  <c r="CA95" i="13"/>
  <c r="J217" i="11"/>
  <c r="I201" i="30" s="1"/>
  <c r="CA81" i="13"/>
  <c r="N245" i="30" s="1"/>
  <c r="CA68" i="13"/>
  <c r="N241" i="30" s="1"/>
  <c r="N81" i="13"/>
  <c r="M243" i="30" s="1"/>
  <c r="N240"/>
  <c r="AT94" i="13"/>
  <c r="M248" i="30" s="1"/>
  <c r="N68" i="13"/>
  <c r="M239" i="30" s="1"/>
  <c r="N94" i="13"/>
  <c r="M247" i="30" s="1"/>
  <c r="M240"/>
  <c r="AT81" i="13"/>
  <c r="M244" i="30" s="1"/>
  <c r="U12" i="39"/>
  <c r="U10"/>
  <c r="U11"/>
  <c r="G132" i="31" l="1"/>
  <c r="G203" i="30" s="1"/>
  <c r="M58" i="31"/>
  <c r="H53"/>
  <c r="C132"/>
  <c r="C203" i="30" s="1"/>
  <c r="G53" i="31"/>
  <c r="X230" i="12"/>
  <c r="O254" i="7"/>
  <c r="M104" i="30" s="1"/>
  <c r="P266" i="7"/>
  <c r="N152" i="30" s="1"/>
  <c r="R136" i="7"/>
  <c r="AB7" i="40" s="1"/>
  <c r="O222" i="7"/>
  <c r="M219" i="30" s="1"/>
  <c r="O230" i="7"/>
  <c r="M16" i="30" s="1"/>
  <c r="F239" i="7"/>
  <c r="D49" i="30" s="1"/>
  <c r="L271" i="11"/>
  <c r="E230" i="12"/>
  <c r="D53" i="30" s="1"/>
  <c r="J200" i="6"/>
  <c r="I209" i="30" s="1"/>
  <c r="O206" i="7"/>
  <c r="M208" i="30" s="1"/>
  <c r="E230" i="7"/>
  <c r="C16" i="30" s="1"/>
  <c r="E242" i="7"/>
  <c r="C60" i="30" s="1"/>
  <c r="N272" i="7"/>
  <c r="L174" i="30" s="1"/>
  <c r="F272" i="7"/>
  <c r="N260"/>
  <c r="L128" i="30" s="1"/>
  <c r="N248" i="7"/>
  <c r="L82" i="30" s="1"/>
  <c r="F248" i="7"/>
  <c r="D82" i="30" s="1"/>
  <c r="J210" i="5"/>
  <c r="H257" i="4"/>
  <c r="G142" i="30" s="1"/>
  <c r="R245" i="12"/>
  <c r="Q108" i="30" s="1"/>
  <c r="S200" i="5"/>
  <c r="R154" i="30" s="1"/>
  <c r="O239" i="4"/>
  <c r="N74" i="30" s="1"/>
  <c r="G239" i="4"/>
  <c r="F74" i="30" s="1"/>
  <c r="O233" i="4"/>
  <c r="N52" i="30" s="1"/>
  <c r="O227" i="4"/>
  <c r="N30" i="30" s="1"/>
  <c r="K72" i="32"/>
  <c r="K140"/>
  <c r="X225" i="11"/>
  <c r="L230" i="12"/>
  <c r="K53" i="30" s="1"/>
  <c r="R210" i="5"/>
  <c r="C65" i="7"/>
  <c r="L65" i="5"/>
  <c r="K16" i="29" s="1"/>
  <c r="S97" i="5"/>
  <c r="R27" i="29" s="1"/>
  <c r="K97" i="5"/>
  <c r="J27" i="29" s="1"/>
  <c r="Q43" i="10"/>
  <c r="P31" i="29" s="1"/>
  <c r="G36" i="31"/>
  <c r="G59" i="33"/>
  <c r="H56"/>
  <c r="C114"/>
  <c r="D129"/>
  <c r="N251" i="7"/>
  <c r="L93" i="30" s="1"/>
  <c r="F251" i="7"/>
  <c r="D93" i="30" s="1"/>
  <c r="L270" i="6"/>
  <c r="Q209" i="5"/>
  <c r="P187" i="30" s="1"/>
  <c r="I209" i="5"/>
  <c r="H187" i="30" s="1"/>
  <c r="Q206" i="5"/>
  <c r="P176" i="30" s="1"/>
  <c r="Q203" i="5"/>
  <c r="P165" i="30" s="1"/>
  <c r="I203" i="5"/>
  <c r="H165" i="30" s="1"/>
  <c r="Q194" i="5"/>
  <c r="P130" i="30" s="1"/>
  <c r="I194" i="5"/>
  <c r="H130" i="30" s="1"/>
  <c r="Q191" i="5"/>
  <c r="P119" i="30" s="1"/>
  <c r="I191" i="5"/>
  <c r="H119" i="30" s="1"/>
  <c r="Q188" i="5"/>
  <c r="P106" i="30" s="1"/>
  <c r="I188" i="5"/>
  <c r="H106" i="30" s="1"/>
  <c r="Q185" i="5"/>
  <c r="P95" i="30" s="1"/>
  <c r="I185" i="5"/>
  <c r="H95" i="30" s="1"/>
  <c r="Q182" i="5"/>
  <c r="P84" i="30" s="1"/>
  <c r="I182" i="5"/>
  <c r="H84" i="30" s="1"/>
  <c r="Q179" i="5"/>
  <c r="P73" i="30" s="1"/>
  <c r="I179" i="5"/>
  <c r="H73" i="30" s="1"/>
  <c r="Q176" i="5"/>
  <c r="P62" i="30" s="1"/>
  <c r="I176" i="5"/>
  <c r="H62" i="30" s="1"/>
  <c r="Q173" i="5"/>
  <c r="P51" i="30" s="1"/>
  <c r="Q170" i="5"/>
  <c r="P40" i="30" s="1"/>
  <c r="H170" i="5"/>
  <c r="G40" i="30" s="1"/>
  <c r="P167" i="5"/>
  <c r="O29" i="30" s="1"/>
  <c r="H167" i="5"/>
  <c r="G29" i="30" s="1"/>
  <c r="P164" i="5"/>
  <c r="O18" i="30" s="1"/>
  <c r="J251" i="12"/>
  <c r="I121" i="30" s="1"/>
  <c r="K118" i="32"/>
  <c r="P72"/>
  <c r="P140"/>
  <c r="P142" s="1"/>
  <c r="Q206" i="7"/>
  <c r="O208" i="30" s="1"/>
  <c r="H36" i="31"/>
  <c r="C60"/>
  <c r="D197" i="5"/>
  <c r="C141" i="30" s="1"/>
  <c r="P118" i="32"/>
  <c r="Q115" i="33"/>
  <c r="P27" i="41" s="1"/>
  <c r="K57" i="31"/>
  <c r="L74" i="33"/>
  <c r="I251" i="12"/>
  <c r="H121" i="30" s="1"/>
  <c r="X114" i="33"/>
  <c r="X111"/>
  <c r="J136" i="7"/>
  <c r="Q64" i="10"/>
  <c r="P202" i="30" s="1"/>
  <c r="G129" i="33"/>
  <c r="C168"/>
  <c r="H239" i="7"/>
  <c r="F49" i="30" s="1"/>
  <c r="D176" i="5"/>
  <c r="C62" i="30" s="1"/>
  <c r="D200" i="5"/>
  <c r="C154" i="30" s="1"/>
  <c r="I254" i="12"/>
  <c r="H132" i="30" s="1"/>
  <c r="G236" i="12"/>
  <c r="F75" i="30" s="1"/>
  <c r="O227" i="12"/>
  <c r="N42" i="30" s="1"/>
  <c r="G227" i="12"/>
  <c r="F42" i="30" s="1"/>
  <c r="O224" i="12"/>
  <c r="N31" i="30" s="1"/>
  <c r="G224" i="12"/>
  <c r="F31" i="30" s="1"/>
  <c r="O221" i="12"/>
  <c r="N20" i="30" s="1"/>
  <c r="G221" i="12"/>
  <c r="F20" i="30" s="1"/>
  <c r="R277" i="7"/>
  <c r="I277"/>
  <c r="Q271" i="4"/>
  <c r="I271"/>
  <c r="AB114" i="33"/>
  <c r="AB116" s="1"/>
  <c r="Z111"/>
  <c r="Z115"/>
  <c r="Z116" s="1"/>
  <c r="M248" i="6"/>
  <c r="AG33" i="40"/>
  <c r="AI33"/>
  <c r="S131" i="5"/>
  <c r="L66" i="11"/>
  <c r="K19" i="29" s="1"/>
  <c r="L130" i="6"/>
  <c r="J127"/>
  <c r="I37" i="29" s="1"/>
  <c r="Q200" i="6"/>
  <c r="P209" i="30" s="1"/>
  <c r="I200" i="6"/>
  <c r="H209" i="30" s="1"/>
  <c r="E216" i="6"/>
  <c r="D220" i="30" s="1"/>
  <c r="M67" i="7"/>
  <c r="K14" i="29" s="1"/>
  <c r="R99" i="7"/>
  <c r="P25" i="29" s="1"/>
  <c r="H99" i="7"/>
  <c r="F25" i="29" s="1"/>
  <c r="J161" i="7"/>
  <c r="H196" i="30" s="1"/>
  <c r="L222" i="7"/>
  <c r="J219" i="30" s="1"/>
  <c r="H222" i="7"/>
  <c r="F219" i="30" s="1"/>
  <c r="R96" i="4"/>
  <c r="Q28" i="29" s="1"/>
  <c r="Q176" i="4"/>
  <c r="P211" i="30" s="1"/>
  <c r="Q194" i="4"/>
  <c r="P222" i="30" s="1"/>
  <c r="P125" i="12"/>
  <c r="O40" i="29" s="1"/>
  <c r="H125" i="12"/>
  <c r="G40" i="29" s="1"/>
  <c r="S196" i="11"/>
  <c r="R224" i="30" s="1"/>
  <c r="N43" i="10"/>
  <c r="M31" i="29" s="1"/>
  <c r="J43" i="10"/>
  <c r="I31" i="29" s="1"/>
  <c r="F43" i="10"/>
  <c r="E31" i="29" s="1"/>
  <c r="N64" i="10"/>
  <c r="M202" i="30" s="1"/>
  <c r="N58" i="31"/>
  <c r="N57"/>
  <c r="E74" i="33"/>
  <c r="G74"/>
  <c r="D91"/>
  <c r="L111"/>
  <c r="D111"/>
  <c r="F111"/>
  <c r="J129"/>
  <c r="C129"/>
  <c r="E272" i="7"/>
  <c r="M272"/>
  <c r="K174" i="30" s="1"/>
  <c r="M248" i="7"/>
  <c r="K82" i="30" s="1"/>
  <c r="G164" i="5"/>
  <c r="F18" i="30" s="1"/>
  <c r="D239" i="12"/>
  <c r="C86" i="30" s="1"/>
  <c r="S257" i="12"/>
  <c r="R143" i="30" s="1"/>
  <c r="Q245" i="12"/>
  <c r="P108" i="30" s="1"/>
  <c r="I245" i="12"/>
  <c r="H108" i="30" s="1"/>
  <c r="Q242" i="12"/>
  <c r="P97" i="30" s="1"/>
  <c r="I242" i="12"/>
  <c r="H97" i="30" s="1"/>
  <c r="Q239" i="12"/>
  <c r="P86" i="30" s="1"/>
  <c r="I239" i="12"/>
  <c r="H86" i="30" s="1"/>
  <c r="Q236" i="12"/>
  <c r="P75" i="30" s="1"/>
  <c r="I236" i="12"/>
  <c r="H75" i="30" s="1"/>
  <c r="Q233" i="12"/>
  <c r="P64" i="30" s="1"/>
  <c r="I233" i="12"/>
  <c r="H64" i="30" s="1"/>
  <c r="M72" i="10"/>
  <c r="L123" i="30" s="1"/>
  <c r="O163" i="33"/>
  <c r="O168" s="1"/>
  <c r="O162"/>
  <c r="Y114"/>
  <c r="Y116" s="1"/>
  <c r="Y111"/>
  <c r="AA114"/>
  <c r="AA116" s="1"/>
  <c r="AA111"/>
  <c r="AA248" i="7"/>
  <c r="O142" i="32"/>
  <c r="N204" i="30" s="1"/>
  <c r="F142" i="32"/>
  <c r="F204" i="30" s="1"/>
  <c r="S120" i="32"/>
  <c r="Q215" i="30" s="1"/>
  <c r="S119" i="32"/>
  <c r="N85" i="39"/>
  <c r="R87"/>
  <c r="N119" i="32"/>
  <c r="R85" i="39"/>
  <c r="C21" i="32"/>
  <c r="K269" i="4"/>
  <c r="J188" i="30" s="1"/>
  <c r="K263" i="4"/>
  <c r="J166" i="30" s="1"/>
  <c r="S260" i="4"/>
  <c r="R155" i="30" s="1"/>
  <c r="K257" i="4"/>
  <c r="J142" i="30" s="1"/>
  <c r="S245" i="4"/>
  <c r="R96" i="30" s="1"/>
  <c r="S242" i="4"/>
  <c r="R85" i="30" s="1"/>
  <c r="K242" i="4"/>
  <c r="J85" i="30" s="1"/>
  <c r="S239" i="4"/>
  <c r="R74" i="30" s="1"/>
  <c r="S227" i="4"/>
  <c r="R30" i="30" s="1"/>
  <c r="J96" i="4"/>
  <c r="I28" i="29" s="1"/>
  <c r="Q125" i="4"/>
  <c r="P39" i="29" s="1"/>
  <c r="R176" i="4"/>
  <c r="Q211" i="30" s="1"/>
  <c r="J194" i="4"/>
  <c r="I222" i="30" s="1"/>
  <c r="D239" i="4"/>
  <c r="C74" i="30" s="1"/>
  <c r="D263" i="4"/>
  <c r="C166" i="30" s="1"/>
  <c r="O269" i="4"/>
  <c r="N188" i="30" s="1"/>
  <c r="G269" i="4"/>
  <c r="F188" i="30" s="1"/>
  <c r="O266" i="4"/>
  <c r="N177" i="30" s="1"/>
  <c r="G266" i="4"/>
  <c r="O263"/>
  <c r="N166" i="30" s="1"/>
  <c r="G263" i="4"/>
  <c r="F166" i="30" s="1"/>
  <c r="O260" i="4"/>
  <c r="N155" i="30" s="1"/>
  <c r="G260" i="4"/>
  <c r="F155" i="30" s="1"/>
  <c r="O257" i="4"/>
  <c r="N142" i="30" s="1"/>
  <c r="G257" i="4"/>
  <c r="F142" i="30" s="1"/>
  <c r="O254" i="4"/>
  <c r="N131" i="30" s="1"/>
  <c r="G254" i="4"/>
  <c r="F131" i="30" s="1"/>
  <c r="O251" i="4"/>
  <c r="N120" i="30" s="1"/>
  <c r="G251" i="4"/>
  <c r="F120" i="30" s="1"/>
  <c r="O248" i="4"/>
  <c r="N107" i="30" s="1"/>
  <c r="G248" i="4"/>
  <c r="F107" i="30" s="1"/>
  <c r="O245" i="4"/>
  <c r="N96" i="30" s="1"/>
  <c r="G245" i="4"/>
  <c r="F96" i="30" s="1"/>
  <c r="O242" i="4"/>
  <c r="N85" i="30" s="1"/>
  <c r="G242" i="4"/>
  <c r="F85" i="30" s="1"/>
  <c r="O236" i="4"/>
  <c r="N63" i="30" s="1"/>
  <c r="G236" i="4"/>
  <c r="F63" i="30" s="1"/>
  <c r="G233" i="4"/>
  <c r="F52" i="30" s="1"/>
  <c r="O230" i="4"/>
  <c r="N41" i="30" s="1"/>
  <c r="G230" i="4"/>
  <c r="F41" i="30" s="1"/>
  <c r="G227" i="4"/>
  <c r="F30" i="30" s="1"/>
  <c r="S67" i="7"/>
  <c r="Q14" i="29" s="1"/>
  <c r="I136" i="7"/>
  <c r="L99"/>
  <c r="J25" i="29" s="1"/>
  <c r="F161" i="7"/>
  <c r="D196" i="30" s="1"/>
  <c r="N99" i="11"/>
  <c r="M30" i="29" s="1"/>
  <c r="F99" i="11"/>
  <c r="E30" i="29" s="1"/>
  <c r="N130" i="11"/>
  <c r="M41" i="29" s="1"/>
  <c r="F130" i="11"/>
  <c r="E41" i="29" s="1"/>
  <c r="M196" i="11"/>
  <c r="L224" i="30" s="1"/>
  <c r="E196" i="11"/>
  <c r="D224" i="30" s="1"/>
  <c r="L43" i="10"/>
  <c r="K31" i="29" s="1"/>
  <c r="E36" i="31"/>
  <c r="L59" i="33"/>
  <c r="L60" s="1"/>
  <c r="L230" i="30" s="1"/>
  <c r="G91" i="33"/>
  <c r="P230" i="12"/>
  <c r="O53" i="30" s="1"/>
  <c r="H230" i="12"/>
  <c r="G53" i="30" s="1"/>
  <c r="P82" i="10"/>
  <c r="D206" i="5"/>
  <c r="X269" i="12"/>
  <c r="M269"/>
  <c r="L189" i="30" s="1"/>
  <c r="E269" i="12"/>
  <c r="D189" i="30" s="1"/>
  <c r="M266" i="12"/>
  <c r="L178" i="30" s="1"/>
  <c r="E266" i="12"/>
  <c r="M263"/>
  <c r="L167" i="30" s="1"/>
  <c r="E263" i="12"/>
  <c r="D167" i="30" s="1"/>
  <c r="M260" i="12"/>
  <c r="L156" i="30" s="1"/>
  <c r="E260" i="12"/>
  <c r="D156" i="30" s="1"/>
  <c r="M257" i="12"/>
  <c r="L143" i="30" s="1"/>
  <c r="E257" i="12"/>
  <c r="D143" i="30" s="1"/>
  <c r="M254" i="12"/>
  <c r="L132" i="30" s="1"/>
  <c r="E254" i="12"/>
  <c r="D132" i="30" s="1"/>
  <c r="R72" i="10"/>
  <c r="Q123" i="30" s="1"/>
  <c r="J72" i="10"/>
  <c r="I123" i="30" s="1"/>
  <c r="X78" i="10"/>
  <c r="L78"/>
  <c r="K145" i="30" s="1"/>
  <c r="K132" i="31"/>
  <c r="K203" i="30" s="1"/>
  <c r="K38" i="33"/>
  <c r="C58"/>
  <c r="N58"/>
  <c r="M58"/>
  <c r="M36" i="31"/>
  <c r="D36"/>
  <c r="D145" i="33"/>
  <c r="I270" i="4"/>
  <c r="O230" i="12"/>
  <c r="N53" i="30" s="1"/>
  <c r="G230" i="12"/>
  <c r="F53" i="30" s="1"/>
  <c r="H263" i="4"/>
  <c r="G166" i="30" s="1"/>
  <c r="P257" i="4"/>
  <c r="O142" i="30" s="1"/>
  <c r="P242" i="4"/>
  <c r="O85" i="30" s="1"/>
  <c r="H242" i="4"/>
  <c r="G85" i="30" s="1"/>
  <c r="P239" i="4"/>
  <c r="O74" i="30" s="1"/>
  <c r="P230" i="4"/>
  <c r="O41" i="30" s="1"/>
  <c r="J227" i="12"/>
  <c r="I42" i="30" s="1"/>
  <c r="L269" i="12"/>
  <c r="K189" i="30" s="1"/>
  <c r="X266" i="12"/>
  <c r="L266"/>
  <c r="K178" i="30" s="1"/>
  <c r="L263" i="12"/>
  <c r="K167" i="30" s="1"/>
  <c r="X260" i="12"/>
  <c r="L260"/>
  <c r="K156" i="30" s="1"/>
  <c r="X257" i="12"/>
  <c r="L257"/>
  <c r="K143" i="30" s="1"/>
  <c r="X254" i="12"/>
  <c r="L254"/>
  <c r="K132" i="30" s="1"/>
  <c r="M270" i="12"/>
  <c r="S75" i="10"/>
  <c r="R134" i="30" s="1"/>
  <c r="K75" i="10"/>
  <c r="J134" i="30" s="1"/>
  <c r="S78" i="10"/>
  <c r="R145" i="30" s="1"/>
  <c r="J132" i="31"/>
  <c r="J203" i="30" s="1"/>
  <c r="C57" i="32"/>
  <c r="J38" i="33"/>
  <c r="L56"/>
  <c r="I161" i="7"/>
  <c r="G196" i="30" s="1"/>
  <c r="B63" i="5"/>
  <c r="P97"/>
  <c r="O27" i="29" s="1"/>
  <c r="H97" i="5"/>
  <c r="G27" i="29" s="1"/>
  <c r="P127" i="5"/>
  <c r="O38" i="29" s="1"/>
  <c r="H127" i="5"/>
  <c r="G38" i="29" s="1"/>
  <c r="N128" i="4"/>
  <c r="E125"/>
  <c r="D39" i="29" s="1"/>
  <c r="F176" i="4"/>
  <c r="E211" i="30" s="1"/>
  <c r="Q216" i="4"/>
  <c r="P199" i="30" s="1"/>
  <c r="L216" i="4"/>
  <c r="K199" i="30" s="1"/>
  <c r="O129" i="12"/>
  <c r="J95"/>
  <c r="I29" i="29" s="1"/>
  <c r="M125" i="12"/>
  <c r="I176"/>
  <c r="H212" i="30" s="1"/>
  <c r="Q192" i="12"/>
  <c r="P223" i="30" s="1"/>
  <c r="I192" i="12"/>
  <c r="H223" i="30" s="1"/>
  <c r="O213" i="12"/>
  <c r="N200" i="30" s="1"/>
  <c r="G213" i="12"/>
  <c r="F200" i="30" s="1"/>
  <c r="Q130" i="11"/>
  <c r="P41" i="29" s="1"/>
  <c r="M130" i="11"/>
  <c r="L41" i="29" s="1"/>
  <c r="I130" i="11"/>
  <c r="H41" i="29" s="1"/>
  <c r="I180" i="11"/>
  <c r="H213" i="30" s="1"/>
  <c r="P196" i="11"/>
  <c r="O224" i="30" s="1"/>
  <c r="H196" i="11"/>
  <c r="G224" i="30" s="1"/>
  <c r="P217" i="11"/>
  <c r="O201" i="30" s="1"/>
  <c r="G217" i="11"/>
  <c r="F201" i="30" s="1"/>
  <c r="O43" i="10"/>
  <c r="N31" i="29" s="1"/>
  <c r="G43" i="10"/>
  <c r="F31" i="29" s="1"/>
  <c r="S64" i="10"/>
  <c r="R202" i="30" s="1"/>
  <c r="K64" i="10"/>
  <c r="J202" i="30" s="1"/>
  <c r="N142" i="32"/>
  <c r="M204" i="30" s="1"/>
  <c r="E142" i="32"/>
  <c r="E204" i="30" s="1"/>
  <c r="K74" i="33"/>
  <c r="J91"/>
  <c r="J111"/>
  <c r="E155" i="5"/>
  <c r="D198" i="30" s="1"/>
  <c r="M270" i="6"/>
  <c r="D188" i="5"/>
  <c r="C106" i="30" s="1"/>
  <c r="L203" i="5"/>
  <c r="K165" i="30" s="1"/>
  <c r="L179" i="5"/>
  <c r="K73" i="30" s="1"/>
  <c r="L211" i="5"/>
  <c r="K164"/>
  <c r="J18" i="30" s="1"/>
  <c r="R78" i="10"/>
  <c r="Q145" i="30" s="1"/>
  <c r="J78" i="10"/>
  <c r="I145" i="30" s="1"/>
  <c r="I132" i="31"/>
  <c r="I203" i="30" s="1"/>
  <c r="I23" i="33"/>
  <c r="I38"/>
  <c r="F56"/>
  <c r="S82" i="10"/>
  <c r="K82"/>
  <c r="K19" i="32"/>
  <c r="K20"/>
  <c r="L22"/>
  <c r="L59"/>
  <c r="K52"/>
  <c r="K53"/>
  <c r="Q22"/>
  <c r="P19"/>
  <c r="P20"/>
  <c r="Q37"/>
  <c r="P34"/>
  <c r="P35"/>
  <c r="BU82" i="13"/>
  <c r="G128" i="12"/>
  <c r="P129"/>
  <c r="S128"/>
  <c r="I95"/>
  <c r="H29" i="29" s="1"/>
  <c r="O125" i="12"/>
  <c r="N40" i="29" s="1"/>
  <c r="H180" i="11"/>
  <c r="G213" i="30" s="1"/>
  <c r="N180" i="11"/>
  <c r="M213" i="30" s="1"/>
  <c r="F180" i="11"/>
  <c r="E213" i="30" s="1"/>
  <c r="N217" i="11"/>
  <c r="M201" i="30" s="1"/>
  <c r="F217" i="11"/>
  <c r="E201" i="30" s="1"/>
  <c r="M43" i="10"/>
  <c r="L31" i="29" s="1"/>
  <c r="E43" i="10"/>
  <c r="D31" i="29" s="1"/>
  <c r="M64" i="10"/>
  <c r="L202" i="30" s="1"/>
  <c r="R64" i="10"/>
  <c r="Q202" i="30" s="1"/>
  <c r="J64" i="10"/>
  <c r="I202" i="30" s="1"/>
  <c r="C57" i="31"/>
  <c r="F36"/>
  <c r="J53"/>
  <c r="E53"/>
  <c r="L142" i="32"/>
  <c r="K204" i="30" s="1"/>
  <c r="H59" i="33"/>
  <c r="C115"/>
  <c r="F115"/>
  <c r="H74"/>
  <c r="M115"/>
  <c r="H91"/>
  <c r="M111"/>
  <c r="K114"/>
  <c r="K129"/>
  <c r="N168"/>
  <c r="N169" s="1"/>
  <c r="N232" i="30" s="1"/>
  <c r="F168" i="33"/>
  <c r="L155" i="5"/>
  <c r="K198" i="30" s="1"/>
  <c r="G155" i="5"/>
  <c r="F198" i="30" s="1"/>
  <c r="L248" i="6"/>
  <c r="S222" i="7"/>
  <c r="Q219" i="30" s="1"/>
  <c r="Q230" i="12"/>
  <c r="P53" i="30" s="1"/>
  <c r="I230" i="12"/>
  <c r="H53" i="30" s="1"/>
  <c r="C82" i="10"/>
  <c r="T277" i="7"/>
  <c r="P277"/>
  <c r="K236"/>
  <c r="I38" i="30" s="1"/>
  <c r="L277" i="7"/>
  <c r="AA263"/>
  <c r="O200" i="5"/>
  <c r="N154" i="30" s="1"/>
  <c r="G200" i="5"/>
  <c r="F154" i="30" s="1"/>
  <c r="N269" i="12"/>
  <c r="M189" i="30" s="1"/>
  <c r="F269" i="12"/>
  <c r="E189" i="30" s="1"/>
  <c r="F254" i="12"/>
  <c r="E132" i="30" s="1"/>
  <c r="D83" i="10"/>
  <c r="M83"/>
  <c r="M84" s="1"/>
  <c r="E83"/>
  <c r="L37" i="32"/>
  <c r="K34"/>
  <c r="K35"/>
  <c r="Q59"/>
  <c r="P52"/>
  <c r="P53"/>
  <c r="X116" i="33"/>
  <c r="BT68" i="13"/>
  <c r="G241" i="30" s="1"/>
  <c r="BQ95" i="13"/>
  <c r="I127" i="39"/>
  <c r="L192" i="12"/>
  <c r="K223" i="30" s="1"/>
  <c r="L128" i="12"/>
  <c r="S245"/>
  <c r="R108" i="30" s="1"/>
  <c r="K245" i="12"/>
  <c r="J108" i="30" s="1"/>
  <c r="S236" i="12"/>
  <c r="R75" i="30" s="1"/>
  <c r="K236" i="12"/>
  <c r="J75" i="30" s="1"/>
  <c r="S233" i="12"/>
  <c r="R64" i="30" s="1"/>
  <c r="S213" i="12"/>
  <c r="R200" i="30" s="1"/>
  <c r="K128" i="12"/>
  <c r="R176"/>
  <c r="Q212" i="30" s="1"/>
  <c r="R192" i="12"/>
  <c r="Q223" i="30" s="1"/>
  <c r="J192" i="12"/>
  <c r="I223" i="30" s="1"/>
  <c r="D236" i="12"/>
  <c r="C75" i="30" s="1"/>
  <c r="J245" i="12"/>
  <c r="I108" i="30" s="1"/>
  <c r="R242" i="12"/>
  <c r="Q97" i="30" s="1"/>
  <c r="J242" i="12"/>
  <c r="I97" i="30" s="1"/>
  <c r="R239" i="12"/>
  <c r="Q86" i="30" s="1"/>
  <c r="J239" i="12"/>
  <c r="I86" i="30" s="1"/>
  <c r="R236" i="12"/>
  <c r="Q75" i="30" s="1"/>
  <c r="J236" i="12"/>
  <c r="I75" i="30" s="1"/>
  <c r="R233" i="12"/>
  <c r="Q64" i="30" s="1"/>
  <c r="J233" i="12"/>
  <c r="I64" i="30" s="1"/>
  <c r="J230" i="12"/>
  <c r="I53" i="30" s="1"/>
  <c r="M221" i="12"/>
  <c r="L20" i="30" s="1"/>
  <c r="E221" i="12"/>
  <c r="D20" i="30" s="1"/>
  <c r="E224" i="12"/>
  <c r="D31" i="30" s="1"/>
  <c r="E227" i="12"/>
  <c r="D42" i="30" s="1"/>
  <c r="K213" i="12"/>
  <c r="J200" i="30" s="1"/>
  <c r="P269" i="12"/>
  <c r="O189" i="30" s="1"/>
  <c r="H269" i="12"/>
  <c r="G189" i="30" s="1"/>
  <c r="P266" i="12"/>
  <c r="O178" i="30" s="1"/>
  <c r="H266" i="12"/>
  <c r="P263"/>
  <c r="O167" i="30" s="1"/>
  <c r="H263" i="12"/>
  <c r="G167" i="30" s="1"/>
  <c r="P260" i="12"/>
  <c r="O156" i="30" s="1"/>
  <c r="H260" i="12"/>
  <c r="G156" i="30" s="1"/>
  <c r="P257" i="12"/>
  <c r="O143" i="30" s="1"/>
  <c r="H257" i="12"/>
  <c r="G143" i="30" s="1"/>
  <c r="P254" i="12"/>
  <c r="O132" i="30" s="1"/>
  <c r="H254" i="12"/>
  <c r="G132" i="30" s="1"/>
  <c r="N227" i="12"/>
  <c r="M42" i="30" s="1"/>
  <c r="F227" i="12"/>
  <c r="E42" i="30" s="1"/>
  <c r="N224" i="12"/>
  <c r="M31" i="30" s="1"/>
  <c r="F224" i="12"/>
  <c r="E31" i="30" s="1"/>
  <c r="N221" i="12"/>
  <c r="M20" i="30" s="1"/>
  <c r="F221" i="12"/>
  <c r="E20" i="30" s="1"/>
  <c r="D95" i="12"/>
  <c r="C29" i="29" s="1"/>
  <c r="K176" i="12"/>
  <c r="J212" i="30" s="1"/>
  <c r="S192" i="12"/>
  <c r="R223" i="30" s="1"/>
  <c r="R213" i="12"/>
  <c r="Q200" i="30" s="1"/>
  <c r="J213" i="12"/>
  <c r="I200" i="30" s="1"/>
  <c r="I213" i="12"/>
  <c r="H200" i="30" s="1"/>
  <c r="N230" i="12"/>
  <c r="M53" i="30" s="1"/>
  <c r="G271" i="12"/>
  <c r="J176"/>
  <c r="I212" i="30" s="1"/>
  <c r="P213" i="12"/>
  <c r="O200" i="30" s="1"/>
  <c r="H213" i="12"/>
  <c r="G200" i="30" s="1"/>
  <c r="O176" i="12"/>
  <c r="N212" i="30" s="1"/>
  <c r="L270" i="12"/>
  <c r="D251"/>
  <c r="C121" i="30" s="1"/>
  <c r="P251" i="12"/>
  <c r="O121" i="30" s="1"/>
  <c r="F230" i="12"/>
  <c r="E53" i="30" s="1"/>
  <c r="E242" i="12"/>
  <c r="D97" i="30" s="1"/>
  <c r="M236" i="12"/>
  <c r="L75" i="30" s="1"/>
  <c r="E236" i="12"/>
  <c r="D75" i="30" s="1"/>
  <c r="J196" i="11"/>
  <c r="I224" i="30" s="1"/>
  <c r="D130" i="11"/>
  <c r="C41" i="29" s="1"/>
  <c r="K196" i="11"/>
  <c r="J224" i="30" s="1"/>
  <c r="E272" i="11"/>
  <c r="J272"/>
  <c r="H217"/>
  <c r="G201" i="30" s="1"/>
  <c r="M271" i="11"/>
  <c r="M273" s="1"/>
  <c r="L99"/>
  <c r="K30" i="29" s="1"/>
  <c r="Q272" i="11"/>
  <c r="S272"/>
  <c r="K272"/>
  <c r="I272"/>
  <c r="O66"/>
  <c r="N19" i="29" s="1"/>
  <c r="R272" i="11"/>
  <c r="I271"/>
  <c r="K130"/>
  <c r="J41" i="29" s="1"/>
  <c r="S180" i="11"/>
  <c r="R213" i="30" s="1"/>
  <c r="R196" i="11"/>
  <c r="Q224" i="30" s="1"/>
  <c r="Q196" i="11"/>
  <c r="P224" i="30" s="1"/>
  <c r="I217" i="11"/>
  <c r="H201" i="30" s="1"/>
  <c r="D180" i="11"/>
  <c r="C213" i="30" s="1"/>
  <c r="Q271" i="11"/>
  <c r="N271"/>
  <c r="N273" s="1"/>
  <c r="F272"/>
  <c r="G99"/>
  <c r="F30" i="29" s="1"/>
  <c r="F263" i="6"/>
  <c r="E164" i="30" s="1"/>
  <c r="AA263" i="6"/>
  <c r="N242"/>
  <c r="M83" i="30" s="1"/>
  <c r="M266" i="6"/>
  <c r="L175" i="30" s="1"/>
  <c r="G266" i="6"/>
  <c r="G260"/>
  <c r="F153" i="30" s="1"/>
  <c r="O242" i="6"/>
  <c r="N83" i="30" s="1"/>
  <c r="G242" i="6"/>
  <c r="F83" i="30" s="1"/>
  <c r="O230" i="6"/>
  <c r="N39" i="30" s="1"/>
  <c r="K155" i="6"/>
  <c r="J197" i="30" s="1"/>
  <c r="S200" i="6"/>
  <c r="R209" i="30" s="1"/>
  <c r="H236" i="6"/>
  <c r="G61" i="30" s="1"/>
  <c r="I242" i="6"/>
  <c r="H83" i="30" s="1"/>
  <c r="I270" i="6"/>
  <c r="AM15" i="40"/>
  <c r="K73" i="32"/>
  <c r="I142"/>
  <c r="I204" i="30" s="1"/>
  <c r="P119" i="32"/>
  <c r="P73"/>
  <c r="M142"/>
  <c r="L204" i="30" s="1"/>
  <c r="F234"/>
  <c r="K119" i="32"/>
  <c r="C74"/>
  <c r="C226" i="30" s="1"/>
  <c r="J142" i="32"/>
  <c r="J204" i="30" s="1"/>
  <c r="AK49" i="40"/>
  <c r="AB129" i="7"/>
  <c r="AB130"/>
  <c r="AB136" s="1"/>
  <c r="K277"/>
  <c r="J131"/>
  <c r="H36" i="29" s="1"/>
  <c r="N206" i="7"/>
  <c r="L208" i="30" s="1"/>
  <c r="F206" i="7"/>
  <c r="D208" i="30" s="1"/>
  <c r="P248" i="7"/>
  <c r="N82" i="30" s="1"/>
  <c r="G248" i="7"/>
  <c r="E82" i="30" s="1"/>
  <c r="O242" i="7"/>
  <c r="M60" i="30" s="1"/>
  <c r="T222" i="7"/>
  <c r="R219" i="30" s="1"/>
  <c r="S272" i="7"/>
  <c r="Q174" i="30" s="1"/>
  <c r="J272" i="7"/>
  <c r="H174" i="30" s="1"/>
  <c r="S248" i="7"/>
  <c r="Q82" i="30" s="1"/>
  <c r="J248" i="7"/>
  <c r="H82" i="30" s="1"/>
  <c r="R266" i="7"/>
  <c r="P152" i="30" s="1"/>
  <c r="U6" i="39"/>
  <c r="O251" i="7"/>
  <c r="M93" i="30" s="1"/>
  <c r="N245" i="6"/>
  <c r="M94" i="30" s="1"/>
  <c r="H269" i="6"/>
  <c r="G186" i="30" s="1"/>
  <c r="H266" i="6"/>
  <c r="I260"/>
  <c r="H153" i="30" s="1"/>
  <c r="F269" i="6"/>
  <c r="E186" i="30" s="1"/>
  <c r="O236" i="6"/>
  <c r="N61" i="30" s="1"/>
  <c r="I266" i="6"/>
  <c r="H175" i="30" s="1"/>
  <c r="Q260" i="6"/>
  <c r="P153" i="30" s="1"/>
  <c r="O239" i="6"/>
  <c r="N72" i="30" s="1"/>
  <c r="K271" i="6"/>
  <c r="P266"/>
  <c r="O175" i="30" s="1"/>
  <c r="L155" i="6"/>
  <c r="K197" i="30" s="1"/>
  <c r="O266" i="6"/>
  <c r="N175" i="30" s="1"/>
  <c r="G236" i="6"/>
  <c r="F61" i="30" s="1"/>
  <c r="S271" i="6"/>
  <c r="I269"/>
  <c r="H186" i="30" s="1"/>
  <c r="S131" i="6"/>
  <c r="K131"/>
  <c r="R127"/>
  <c r="Q37" i="29" s="1"/>
  <c r="I127" i="6"/>
  <c r="H37" i="29" s="1"/>
  <c r="G131" i="6"/>
  <c r="P155"/>
  <c r="O197" i="30" s="1"/>
  <c r="P200" i="6"/>
  <c r="O209" i="30" s="1"/>
  <c r="H200" i="6"/>
  <c r="G209" i="30" s="1"/>
  <c r="Q155" i="6"/>
  <c r="P197" i="30" s="1"/>
  <c r="E227" i="6"/>
  <c r="D28" i="30" s="1"/>
  <c r="H257" i="6"/>
  <c r="G140" i="30" s="1"/>
  <c r="D230" i="6"/>
  <c r="C39" i="30" s="1"/>
  <c r="D254" i="6"/>
  <c r="C129" i="30" s="1"/>
  <c r="R269" i="6"/>
  <c r="Q186" i="30" s="1"/>
  <c r="J269" i="6"/>
  <c r="I186" i="30" s="1"/>
  <c r="R266" i="6"/>
  <c r="Q175" i="30" s="1"/>
  <c r="R263" i="6"/>
  <c r="Q164" i="30" s="1"/>
  <c r="J263" i="6"/>
  <c r="I164" i="30" s="1"/>
  <c r="R260" i="6"/>
  <c r="Q153" i="30" s="1"/>
  <c r="J260" i="6"/>
  <c r="I153" i="30" s="1"/>
  <c r="R251" i="6"/>
  <c r="Q118" i="30" s="1"/>
  <c r="R248" i="6"/>
  <c r="J248"/>
  <c r="R245"/>
  <c r="Q94" i="30" s="1"/>
  <c r="R242" i="6"/>
  <c r="Q83" i="30" s="1"/>
  <c r="J242" i="6"/>
  <c r="I83" i="30" s="1"/>
  <c r="R233" i="6"/>
  <c r="Q50" i="30" s="1"/>
  <c r="J233" i="6"/>
  <c r="I50" i="30" s="1"/>
  <c r="J224" i="6"/>
  <c r="I17" i="30" s="1"/>
  <c r="D245" i="6"/>
  <c r="C94" i="30" s="1"/>
  <c r="D269" i="6"/>
  <c r="C186" i="30" s="1"/>
  <c r="O245" i="6"/>
  <c r="N94" i="30" s="1"/>
  <c r="M155" i="6"/>
  <c r="L197" i="30" s="1"/>
  <c r="N263" i="6"/>
  <c r="M164" i="30" s="1"/>
  <c r="H245" i="6"/>
  <c r="G94" i="30" s="1"/>
  <c r="F155" i="6"/>
  <c r="E197" i="30" s="1"/>
  <c r="D233" i="6"/>
  <c r="C50" i="30" s="1"/>
  <c r="R155" i="6"/>
  <c r="Q197" i="30" s="1"/>
  <c r="I155" i="6"/>
  <c r="H197" i="30" s="1"/>
  <c r="D227" i="6"/>
  <c r="C28" i="30" s="1"/>
  <c r="D251" i="6"/>
  <c r="C118" i="30" s="1"/>
  <c r="S269" i="6"/>
  <c r="R186" i="30" s="1"/>
  <c r="S266" i="6"/>
  <c r="R175" i="30" s="1"/>
  <c r="K266" i="6"/>
  <c r="J175" i="30" s="1"/>
  <c r="S263" i="6"/>
  <c r="R164" i="30" s="1"/>
  <c r="K263" i="6"/>
  <c r="J164" i="30" s="1"/>
  <c r="S260" i="6"/>
  <c r="R153" i="30" s="1"/>
  <c r="K260" i="6"/>
  <c r="J153" i="30" s="1"/>
  <c r="S248" i="6"/>
  <c r="K248"/>
  <c r="S245"/>
  <c r="R94" i="30" s="1"/>
  <c r="S242" i="6"/>
  <c r="R83" i="30" s="1"/>
  <c r="K242" i="6"/>
  <c r="J83" i="30" s="1"/>
  <c r="S239" i="6"/>
  <c r="R72" i="30" s="1"/>
  <c r="K239" i="6"/>
  <c r="J72" i="30" s="1"/>
  <c r="S236" i="6"/>
  <c r="R61" i="30" s="1"/>
  <c r="K236" i="6"/>
  <c r="J61" i="30" s="1"/>
  <c r="S233" i="6"/>
  <c r="R50" i="30" s="1"/>
  <c r="K233" i="6"/>
  <c r="J50" i="30" s="1"/>
  <c r="S230" i="6"/>
  <c r="R39" i="30" s="1"/>
  <c r="K230" i="6"/>
  <c r="J39" i="30" s="1"/>
  <c r="O224" i="6"/>
  <c r="N17" i="30" s="1"/>
  <c r="P245" i="6"/>
  <c r="O94" i="30" s="1"/>
  <c r="P239" i="6"/>
  <c r="O72" i="30" s="1"/>
  <c r="N155" i="6"/>
  <c r="M197" i="30" s="1"/>
  <c r="E266" i="6"/>
  <c r="K127"/>
  <c r="J37" i="29" s="1"/>
  <c r="G216" i="6"/>
  <c r="F220" i="30" s="1"/>
  <c r="O251" i="6"/>
  <c r="N118" i="30" s="1"/>
  <c r="D248" i="6"/>
  <c r="L269"/>
  <c r="K186" i="30" s="1"/>
  <c r="X248" i="6"/>
  <c r="L239"/>
  <c r="K72" i="30" s="1"/>
  <c r="X233" i="6"/>
  <c r="L224"/>
  <c r="K17" i="30" s="1"/>
  <c r="Q271" i="6"/>
  <c r="I271"/>
  <c r="I272" s="1"/>
  <c r="D257"/>
  <c r="C140" i="30" s="1"/>
  <c r="O130" i="6"/>
  <c r="F216"/>
  <c r="E220" i="30" s="1"/>
  <c r="F242" i="6"/>
  <c r="E83" i="30" s="1"/>
  <c r="E263" i="6"/>
  <c r="D164" i="30" s="1"/>
  <c r="E242" i="6"/>
  <c r="D83" i="30" s="1"/>
  <c r="M239" i="6"/>
  <c r="L72" i="30" s="1"/>
  <c r="M233" i="6"/>
  <c r="L50" i="30" s="1"/>
  <c r="R271" i="6"/>
  <c r="J271"/>
  <c r="Q239" i="7"/>
  <c r="O49" i="30" s="1"/>
  <c r="S266" i="7"/>
  <c r="Q163" i="30" s="1"/>
  <c r="H236" i="7"/>
  <c r="F38" i="30" s="1"/>
  <c r="J277" i="7"/>
  <c r="K251"/>
  <c r="I93" i="30" s="1"/>
  <c r="F67" i="7"/>
  <c r="D14" i="29" s="1"/>
  <c r="S99" i="7"/>
  <c r="Q25" i="29" s="1"/>
  <c r="I260" i="7"/>
  <c r="G128" i="30" s="1"/>
  <c r="J239" i="7"/>
  <c r="H49" i="30" s="1"/>
  <c r="Q233" i="7"/>
  <c r="O27" i="30" s="1"/>
  <c r="P161" i="7"/>
  <c r="N196" i="30" s="1"/>
  <c r="L161" i="7"/>
  <c r="J196" i="30" s="1"/>
  <c r="Q222" i="7"/>
  <c r="O219" i="30" s="1"/>
  <c r="S260" i="7"/>
  <c r="Q128" i="30" s="1"/>
  <c r="J260" i="7"/>
  <c r="H128" i="30" s="1"/>
  <c r="R257" i="7"/>
  <c r="P117" i="30" s="1"/>
  <c r="I257" i="7"/>
  <c r="G117" i="30" s="1"/>
  <c r="R233" i="7"/>
  <c r="P27" i="30" s="1"/>
  <c r="I233" i="7"/>
  <c r="G27" i="30" s="1"/>
  <c r="Q230" i="7"/>
  <c r="O16" i="30" s="1"/>
  <c r="H230" i="7"/>
  <c r="F16" i="30" s="1"/>
  <c r="AA277" i="7"/>
  <c r="L230"/>
  <c r="J16" i="30" s="1"/>
  <c r="E254" i="7"/>
  <c r="C104" i="30" s="1"/>
  <c r="E257" i="7"/>
  <c r="C117" i="30" s="1"/>
  <c r="M257" i="7"/>
  <c r="K117" i="30" s="1"/>
  <c r="I266" i="7"/>
  <c r="G152" i="30" s="1"/>
  <c r="E99" i="7"/>
  <c r="C25" i="29" s="1"/>
  <c r="J266" i="7"/>
  <c r="H152" i="30" s="1"/>
  <c r="R239" i="7"/>
  <c r="P49" i="30" s="1"/>
  <c r="S277" i="7"/>
  <c r="T248"/>
  <c r="R82" i="30" s="1"/>
  <c r="K275" i="7"/>
  <c r="I185" i="30" s="1"/>
  <c r="K161" i="7"/>
  <c r="I196" i="30" s="1"/>
  <c r="M222" i="7"/>
  <c r="K219" i="30" s="1"/>
  <c r="R260" i="7"/>
  <c r="P128" i="30" s="1"/>
  <c r="R236" i="7"/>
  <c r="P38" i="30" s="1"/>
  <c r="S135" i="7"/>
  <c r="Q136"/>
  <c r="Q161"/>
  <c r="O196" i="30" s="1"/>
  <c r="H161" i="7"/>
  <c r="F196" i="30" s="1"/>
  <c r="J222" i="7"/>
  <c r="H219" i="30" s="1"/>
  <c r="F222" i="7"/>
  <c r="D219" i="30" s="1"/>
  <c r="T260" i="7"/>
  <c r="R128" i="30" s="1"/>
  <c r="S257" i="7"/>
  <c r="Q117" i="30" s="1"/>
  <c r="J257" i="7"/>
  <c r="H117" i="30" s="1"/>
  <c r="R254" i="7"/>
  <c r="P104" i="30" s="1"/>
  <c r="I254" i="7"/>
  <c r="G104" i="30" s="1"/>
  <c r="R230" i="7"/>
  <c r="P16" i="30" s="1"/>
  <c r="I230" i="7"/>
  <c r="G16" i="30" s="1"/>
  <c r="E233" i="7"/>
  <c r="C27" i="30" s="1"/>
  <c r="M233" i="7"/>
  <c r="K27" i="30" s="1"/>
  <c r="M236" i="7"/>
  <c r="K38" i="30" s="1"/>
  <c r="N257" i="7"/>
  <c r="L117" i="30" s="1"/>
  <c r="F257" i="7"/>
  <c r="D117" i="30" s="1"/>
  <c r="F260" i="7"/>
  <c r="D128" i="30" s="1"/>
  <c r="E161" i="7"/>
  <c r="C196" i="30" s="1"/>
  <c r="J206" i="7"/>
  <c r="H208" i="30" s="1"/>
  <c r="R263" i="7"/>
  <c r="P139" i="30" s="1"/>
  <c r="Q236" i="7"/>
  <c r="O38" i="30" s="1"/>
  <c r="T251" i="7"/>
  <c r="R93" i="30" s="1"/>
  <c r="E136" i="7"/>
  <c r="S206"/>
  <c r="Q208" i="30" s="1"/>
  <c r="J263" i="7"/>
  <c r="H139" i="30" s="1"/>
  <c r="H233" i="7"/>
  <c r="F27" i="30" s="1"/>
  <c r="T131" i="7"/>
  <c r="R36" i="29" s="1"/>
  <c r="R275" i="7"/>
  <c r="P185" i="30" s="1"/>
  <c r="I275" i="7"/>
  <c r="G185" i="30" s="1"/>
  <c r="S254" i="7"/>
  <c r="Q105" i="30" s="1"/>
  <c r="J254" i="7"/>
  <c r="H104" i="30" s="1"/>
  <c r="R251" i="7"/>
  <c r="P93" i="30" s="1"/>
  <c r="I251" i="7"/>
  <c r="G93" i="30" s="1"/>
  <c r="M131" i="7"/>
  <c r="K36" i="29" s="1"/>
  <c r="I263" i="7"/>
  <c r="G139" i="30" s="1"/>
  <c r="I239" i="7"/>
  <c r="G49" i="30" s="1"/>
  <c r="K248" i="7"/>
  <c r="I82" i="30" s="1"/>
  <c r="T275" i="7"/>
  <c r="R185" i="30" s="1"/>
  <c r="N67" i="7"/>
  <c r="L14" i="29" s="1"/>
  <c r="P222" i="7"/>
  <c r="N219" i="30" s="1"/>
  <c r="S263" i="7"/>
  <c r="Q139" i="30" s="1"/>
  <c r="I236" i="7"/>
  <c r="G38" i="30" s="1"/>
  <c r="L254" i="7"/>
  <c r="J104" i="30" s="1"/>
  <c r="E131" i="7"/>
  <c r="C36" i="29" s="1"/>
  <c r="S275" i="7"/>
  <c r="Q185" i="30" s="1"/>
  <c r="J275" i="7"/>
  <c r="H185" i="30" s="1"/>
  <c r="R272" i="7"/>
  <c r="P174" i="30" s="1"/>
  <c r="I272" i="7"/>
  <c r="S251"/>
  <c r="Q93" i="30" s="1"/>
  <c r="J251" i="7"/>
  <c r="H93" i="30" s="1"/>
  <c r="R248" i="7"/>
  <c r="P82" i="30" s="1"/>
  <c r="I248" i="7"/>
  <c r="G82" i="30" s="1"/>
  <c r="T230" i="7"/>
  <c r="R16" i="30" s="1"/>
  <c r="P236" i="7"/>
  <c r="N38" i="30" s="1"/>
  <c r="G236" i="7"/>
  <c r="E38" i="30" s="1"/>
  <c r="P239" i="7"/>
  <c r="N49" i="30" s="1"/>
  <c r="H277" i="7"/>
  <c r="I224" i="4"/>
  <c r="H19" i="30" s="1"/>
  <c r="L129" i="4"/>
  <c r="N96"/>
  <c r="M28" i="29" s="1"/>
  <c r="F96" i="4"/>
  <c r="E28" i="29" s="1"/>
  <c r="M96" i="4"/>
  <c r="L28" i="29" s="1"/>
  <c r="E96" i="4"/>
  <c r="D28" i="29" s="1"/>
  <c r="M125" i="4"/>
  <c r="L39" i="29" s="1"/>
  <c r="L125" i="4"/>
  <c r="K39" i="29" s="1"/>
  <c r="D125" i="4"/>
  <c r="C39" i="29" s="1"/>
  <c r="N176" i="4"/>
  <c r="M211" i="30" s="1"/>
  <c r="M176" i="4"/>
  <c r="L211" i="30" s="1"/>
  <c r="E176" i="4"/>
  <c r="D211" i="30" s="1"/>
  <c r="N194" i="4"/>
  <c r="M222" i="30" s="1"/>
  <c r="F194" i="4"/>
  <c r="E222" i="30" s="1"/>
  <c r="M194" i="4"/>
  <c r="L222" i="30" s="1"/>
  <c r="E194" i="4"/>
  <c r="D222" i="30" s="1"/>
  <c r="S216" i="4"/>
  <c r="R199" i="30" s="1"/>
  <c r="J216" i="4"/>
  <c r="I199" i="30" s="1"/>
  <c r="R129" i="4"/>
  <c r="S64"/>
  <c r="R17" i="29" s="1"/>
  <c r="B62" i="4"/>
  <c r="I125"/>
  <c r="H39" i="29" s="1"/>
  <c r="H216" i="4"/>
  <c r="G199" i="30" s="1"/>
  <c r="R270" i="4"/>
  <c r="R272" s="1"/>
  <c r="K216"/>
  <c r="J199" i="30" s="1"/>
  <c r="J176" i="4"/>
  <c r="I211" i="30" s="1"/>
  <c r="J129" i="4"/>
  <c r="H64"/>
  <c r="G17" i="29" s="1"/>
  <c r="F216" i="4"/>
  <c r="E199" i="30" s="1"/>
  <c r="I128" i="4"/>
  <c r="Q96"/>
  <c r="P28" i="29" s="1"/>
  <c r="P125" i="4"/>
  <c r="O39" i="29" s="1"/>
  <c r="I194" i="4"/>
  <c r="H222" i="30" s="1"/>
  <c r="D236" i="4"/>
  <c r="C63" i="30" s="1"/>
  <c r="D260" i="4"/>
  <c r="C155" i="30" s="1"/>
  <c r="P269" i="4"/>
  <c r="O188" i="30" s="1"/>
  <c r="H269" i="4"/>
  <c r="G188" i="30" s="1"/>
  <c r="P266" i="4"/>
  <c r="O177" i="30" s="1"/>
  <c r="H266" i="4"/>
  <c r="P260"/>
  <c r="O155" i="30" s="1"/>
  <c r="H260" i="4"/>
  <c r="G155" i="30" s="1"/>
  <c r="P254" i="4"/>
  <c r="O131" i="30" s="1"/>
  <c r="H254" i="4"/>
  <c r="G131" i="30" s="1"/>
  <c r="P251" i="4"/>
  <c r="O120" i="30" s="1"/>
  <c r="H251" i="4"/>
  <c r="G120" i="30" s="1"/>
  <c r="P248" i="4"/>
  <c r="O107" i="30" s="1"/>
  <c r="H248" i="4"/>
  <c r="G107" i="30" s="1"/>
  <c r="P245" i="4"/>
  <c r="O96" i="30" s="1"/>
  <c r="H245" i="4"/>
  <c r="G96" i="30" s="1"/>
  <c r="H239" i="4"/>
  <c r="G74" i="30" s="1"/>
  <c r="P236" i="4"/>
  <c r="O63" i="30" s="1"/>
  <c r="H236" i="4"/>
  <c r="G63" i="30" s="1"/>
  <c r="P233" i="4"/>
  <c r="O52" i="30" s="1"/>
  <c r="H233" i="4"/>
  <c r="G52" i="30" s="1"/>
  <c r="H230" i="4"/>
  <c r="G41" i="30" s="1"/>
  <c r="P227" i="4"/>
  <c r="O30" i="30" s="1"/>
  <c r="H227" i="4"/>
  <c r="G30" i="30" s="1"/>
  <c r="H270" i="4"/>
  <c r="P271"/>
  <c r="H271"/>
  <c r="K266" i="7"/>
  <c r="S239"/>
  <c r="Q49" i="30" s="1"/>
  <c r="T206" i="7"/>
  <c r="R208" i="30" s="1"/>
  <c r="AA266" i="7"/>
  <c r="K263"/>
  <c r="I139" i="30" s="1"/>
  <c r="K239" i="7"/>
  <c r="I49" i="30" s="1"/>
  <c r="S236" i="7"/>
  <c r="Q38" i="30" s="1"/>
  <c r="AA230" i="7"/>
  <c r="K99"/>
  <c r="I25" i="29" s="1"/>
  <c r="M206" i="7"/>
  <c r="K208" i="30" s="1"/>
  <c r="E266" i="7"/>
  <c r="C163" i="30" s="1"/>
  <c r="T236" i="7"/>
  <c r="R38" i="30" s="1"/>
  <c r="J233" i="7"/>
  <c r="H27" i="30" s="1"/>
  <c r="M277" i="7"/>
  <c r="N254"/>
  <c r="L104" i="30" s="1"/>
  <c r="F254" i="7"/>
  <c r="D105" i="30" s="1"/>
  <c r="N275" i="7"/>
  <c r="L185" i="30" s="1"/>
  <c r="L67" i="7"/>
  <c r="J14" i="29" s="1"/>
  <c r="Q99" i="7"/>
  <c r="O25" i="29" s="1"/>
  <c r="K135" i="7"/>
  <c r="N161"/>
  <c r="L196" i="30" s="1"/>
  <c r="G206" i="7"/>
  <c r="E208" i="30" s="1"/>
  <c r="K222" i="7"/>
  <c r="I219" i="30" s="1"/>
  <c r="G222" i="7"/>
  <c r="E219" i="30" s="1"/>
  <c r="D276" i="7"/>
  <c r="P278" s="1"/>
  <c r="E263"/>
  <c r="C139" i="30" s="1"/>
  <c r="Q272" i="7"/>
  <c r="O174" i="30" s="1"/>
  <c r="H272" i="7"/>
  <c r="N266"/>
  <c r="L152" i="30" s="1"/>
  <c r="F266" i="7"/>
  <c r="D163" i="30" s="1"/>
  <c r="M263" i="7"/>
  <c r="K139" i="30" s="1"/>
  <c r="AA260" i="7"/>
  <c r="L260"/>
  <c r="J128" i="30" s="1"/>
  <c r="T257" i="7"/>
  <c r="R117" i="30" s="1"/>
  <c r="K257" i="7"/>
  <c r="I117" i="30" s="1"/>
  <c r="Q248" i="7"/>
  <c r="O82" i="30" s="1"/>
  <c r="H248" i="7"/>
  <c r="F82" i="30" s="1"/>
  <c r="M239" i="7"/>
  <c r="K49" i="30" s="1"/>
  <c r="AA236" i="7"/>
  <c r="T233"/>
  <c r="R27" i="30" s="1"/>
  <c r="N222" i="7"/>
  <c r="L219" i="30" s="1"/>
  <c r="N277" i="7"/>
  <c r="F277"/>
  <c r="N233"/>
  <c r="L27" i="30" s="1"/>
  <c r="F233" i="7"/>
  <c r="D27" i="30" s="1"/>
  <c r="N236" i="7"/>
  <c r="L38" i="30" s="1"/>
  <c r="F236" i="7"/>
  <c r="D38" i="30" s="1"/>
  <c r="P257" i="7"/>
  <c r="N117" i="30" s="1"/>
  <c r="G257" i="7"/>
  <c r="E117" i="30" s="1"/>
  <c r="G260" i="7"/>
  <c r="E128" i="30" s="1"/>
  <c r="P263" i="7"/>
  <c r="N139" i="30" s="1"/>
  <c r="G263" i="7"/>
  <c r="E139" i="30" s="1"/>
  <c r="G266" i="7"/>
  <c r="E163" i="30" s="1"/>
  <c r="O266" i="7"/>
  <c r="M152" i="30" s="1"/>
  <c r="O135" i="7"/>
  <c r="K206"/>
  <c r="I208" i="30" s="1"/>
  <c r="P136" i="7"/>
  <c r="L266"/>
  <c r="M161"/>
  <c r="K196" i="30" s="1"/>
  <c r="AE11" i="40"/>
  <c r="K260" i="7"/>
  <c r="I128" i="30" s="1"/>
  <c r="S233" i="7"/>
  <c r="Q27" i="30" s="1"/>
  <c r="L257" i="7"/>
  <c r="J117" i="30" s="1"/>
  <c r="K254" i="7"/>
  <c r="I105" i="30" s="1"/>
  <c r="P233" i="7"/>
  <c r="N27" i="30" s="1"/>
  <c r="AA254" i="7"/>
  <c r="T266"/>
  <c r="T263"/>
  <c r="R139" i="30" s="1"/>
  <c r="T239" i="7"/>
  <c r="R49" i="30" s="1"/>
  <c r="J236" i="7"/>
  <c r="H38" i="30" s="1"/>
  <c r="E206" i="7"/>
  <c r="C208" i="30" s="1"/>
  <c r="I222" i="7"/>
  <c r="G219" i="30" s="1"/>
  <c r="F263" i="7"/>
  <c r="D139" i="30" s="1"/>
  <c r="AA257" i="7"/>
  <c r="T254"/>
  <c r="R104" i="30" s="1"/>
  <c r="L233" i="7"/>
  <c r="J27" i="30" s="1"/>
  <c r="I206" i="7"/>
  <c r="G208" i="30" s="1"/>
  <c r="T272" i="7"/>
  <c r="R174" i="30" s="1"/>
  <c r="K272" i="7"/>
  <c r="I174" i="30" s="1"/>
  <c r="AA251" i="7"/>
  <c r="P135"/>
  <c r="O236"/>
  <c r="M38" i="30" s="1"/>
  <c r="O248" i="7"/>
  <c r="M82" i="30" s="1"/>
  <c r="O260" i="7"/>
  <c r="M128" i="30" s="1"/>
  <c r="O272" i="7"/>
  <c r="M174" i="30" s="1"/>
  <c r="O99" i="11"/>
  <c r="N30" i="29" s="1"/>
  <c r="P99" i="11"/>
  <c r="O30" i="29" s="1"/>
  <c r="O196" i="11"/>
  <c r="N224" i="30" s="1"/>
  <c r="R99" i="11"/>
  <c r="Q30" i="29" s="1"/>
  <c r="J99" i="11"/>
  <c r="I30" i="29" s="1"/>
  <c r="R130" i="11"/>
  <c r="Q41" i="29" s="1"/>
  <c r="P180" i="11"/>
  <c r="O213" i="30" s="1"/>
  <c r="I196" i="11"/>
  <c r="H224" i="30" s="1"/>
  <c r="O130" i="11"/>
  <c r="N41" i="29" s="1"/>
  <c r="P130" i="11"/>
  <c r="O41" i="29" s="1"/>
  <c r="M217" i="11"/>
  <c r="L201" i="30" s="1"/>
  <c r="C271" i="11"/>
  <c r="S66"/>
  <c r="R19" i="29" s="1"/>
  <c r="K99" i="11"/>
  <c r="J30" i="29" s="1"/>
  <c r="S130" i="11"/>
  <c r="R41" i="29" s="1"/>
  <c r="H130" i="11"/>
  <c r="G41" i="29" s="1"/>
  <c r="O180" i="11"/>
  <c r="N213" i="30" s="1"/>
  <c r="E217" i="11"/>
  <c r="D201" i="30" s="1"/>
  <c r="N225" i="11"/>
  <c r="M21" i="30" s="1"/>
  <c r="K180" i="11"/>
  <c r="J213" i="30" s="1"/>
  <c r="R217" i="11"/>
  <c r="Q201" i="30" s="1"/>
  <c r="G130" i="11"/>
  <c r="F41" i="29" s="1"/>
  <c r="G180" i="11"/>
  <c r="F213" i="30" s="1"/>
  <c r="G196" i="11"/>
  <c r="F224" i="30" s="1"/>
  <c r="M99" i="11"/>
  <c r="L30" i="29" s="1"/>
  <c r="E99" i="11"/>
  <c r="D30" i="29" s="1"/>
  <c r="E130" i="11"/>
  <c r="D41" i="29" s="1"/>
  <c r="L180" i="11"/>
  <c r="K213" i="30" s="1"/>
  <c r="D196" i="11"/>
  <c r="C224" i="30" s="1"/>
  <c r="S217" i="11"/>
  <c r="R201" i="30" s="1"/>
  <c r="O127" i="5"/>
  <c r="N38" i="29" s="1"/>
  <c r="K155" i="5"/>
  <c r="J198" i="30" s="1"/>
  <c r="C210" i="5"/>
  <c r="N179"/>
  <c r="M73" i="30" s="1"/>
  <c r="I97" i="5"/>
  <c r="H27" i="29" s="1"/>
  <c r="K130" i="5"/>
  <c r="R97"/>
  <c r="Q27" i="29" s="1"/>
  <c r="D164" i="5"/>
  <c r="C18" i="30" s="1"/>
  <c r="Q97" i="5"/>
  <c r="P27" i="29" s="1"/>
  <c r="O97" i="5"/>
  <c r="N27" i="29" s="1"/>
  <c r="E210" i="5"/>
  <c r="E212" s="1"/>
  <c r="N185"/>
  <c r="M95" i="30" s="1"/>
  <c r="I127" i="5"/>
  <c r="H38" i="29" s="1"/>
  <c r="G97" i="5"/>
  <c r="F27" i="29" s="1"/>
  <c r="D155" i="5"/>
  <c r="C198" i="30" s="1"/>
  <c r="R65" i="5"/>
  <c r="Q16" i="29" s="1"/>
  <c r="R131" i="5"/>
  <c r="P38" i="29"/>
  <c r="O131" i="5"/>
  <c r="F65"/>
  <c r="E16" i="29" s="1"/>
  <c r="M97" i="5"/>
  <c r="L27" i="29" s="1"/>
  <c r="E97" i="5"/>
  <c r="D27" i="29" s="1"/>
  <c r="M127" i="5"/>
  <c r="L38" i="29" s="1"/>
  <c r="N233" i="12"/>
  <c r="M64" i="30" s="1"/>
  <c r="F213" i="12"/>
  <c r="E200" i="30" s="1"/>
  <c r="N236" i="12"/>
  <c r="M75" i="30" s="1"/>
  <c r="I227" i="12"/>
  <c r="H42" i="30" s="1"/>
  <c r="D266" i="12"/>
  <c r="R271"/>
  <c r="N239"/>
  <c r="M86" i="30" s="1"/>
  <c r="E128" i="12"/>
  <c r="K266"/>
  <c r="J178" i="30" s="1"/>
  <c r="S260" i="12"/>
  <c r="R156" i="30" s="1"/>
  <c r="K254" i="12"/>
  <c r="J132" i="30" s="1"/>
  <c r="Q227" i="12"/>
  <c r="P42" i="30" s="1"/>
  <c r="I224" i="12"/>
  <c r="H31" i="30" s="1"/>
  <c r="N270" i="12"/>
  <c r="S129"/>
  <c r="S130" s="1"/>
  <c r="G95"/>
  <c r="F29" i="29" s="1"/>
  <c r="J125" i="12"/>
  <c r="I40" i="29" s="1"/>
  <c r="S254" i="12"/>
  <c r="R132" i="30" s="1"/>
  <c r="R129" i="12"/>
  <c r="L95"/>
  <c r="K29" i="29" s="1"/>
  <c r="R95" i="12"/>
  <c r="Q29" i="29" s="1"/>
  <c r="H95" i="12"/>
  <c r="G29" i="29" s="1"/>
  <c r="N125" i="12"/>
  <c r="M40" i="29" s="1"/>
  <c r="F125" i="12"/>
  <c r="E40" i="29" s="1"/>
  <c r="N176" i="12"/>
  <c r="M212" i="30" s="1"/>
  <c r="F176" i="12"/>
  <c r="E212" i="30" s="1"/>
  <c r="N192" i="12"/>
  <c r="M223" i="30" s="1"/>
  <c r="F192" i="12"/>
  <c r="E223" i="30" s="1"/>
  <c r="L213" i="12"/>
  <c r="K200" i="30" s="1"/>
  <c r="D213" i="12"/>
  <c r="C200" i="30" s="1"/>
  <c r="O269" i="12"/>
  <c r="N189" i="30" s="1"/>
  <c r="O266" i="12"/>
  <c r="N178" i="30" s="1"/>
  <c r="G266" i="12"/>
  <c r="G260"/>
  <c r="F156" i="30" s="1"/>
  <c r="O257" i="12"/>
  <c r="N143" i="30" s="1"/>
  <c r="Q215" i="6"/>
  <c r="P17" i="41" s="1"/>
  <c r="Q17" s="1"/>
  <c r="F251" i="6"/>
  <c r="E118" i="30" s="1"/>
  <c r="M130" i="6"/>
  <c r="D155"/>
  <c r="C197" i="30" s="1"/>
  <c r="O216" i="6"/>
  <c r="N220" i="30" s="1"/>
  <c r="E270" i="6"/>
  <c r="E130"/>
  <c r="E271"/>
  <c r="E131"/>
  <c r="F200"/>
  <c r="E209" i="30" s="1"/>
  <c r="M271" i="6"/>
  <c r="S155"/>
  <c r="R197" i="30" s="1"/>
  <c r="D133" i="6"/>
  <c r="E248"/>
  <c r="L65"/>
  <c r="K15" i="29" s="1"/>
  <c r="R131" i="6"/>
  <c r="J131"/>
  <c r="Q127"/>
  <c r="P37" i="29" s="1"/>
  <c r="H127" i="6"/>
  <c r="G37" i="29" s="1"/>
  <c r="F131" i="6"/>
  <c r="O200"/>
  <c r="N209" i="30" s="1"/>
  <c r="G200" i="6"/>
  <c r="F209" i="30" s="1"/>
  <c r="E200" i="6"/>
  <c r="D209" i="30" s="1"/>
  <c r="L216" i="6"/>
  <c r="K220" i="30" s="1"/>
  <c r="S216" i="6"/>
  <c r="R220" i="30" s="1"/>
  <c r="M270" i="4"/>
  <c r="J64"/>
  <c r="I17" i="29" s="1"/>
  <c r="M216" i="4"/>
  <c r="L199" i="30" s="1"/>
  <c r="H128" i="4"/>
  <c r="H224"/>
  <c r="G19" i="30" s="1"/>
  <c r="I96" i="4"/>
  <c r="H28" i="29" s="1"/>
  <c r="P128" i="4"/>
  <c r="H125"/>
  <c r="G39" i="29" s="1"/>
  <c r="I176" i="4"/>
  <c r="H211" i="30" s="1"/>
  <c r="P216" i="4"/>
  <c r="O199" i="30" s="1"/>
  <c r="G216" i="4"/>
  <c r="F199" i="30" s="1"/>
  <c r="M271" i="4"/>
  <c r="G270"/>
  <c r="K129"/>
  <c r="D194"/>
  <c r="C222" i="30" s="1"/>
  <c r="R216" i="4"/>
  <c r="Q199" i="30" s="1"/>
  <c r="I216" i="4"/>
  <c r="H199" i="30" s="1"/>
  <c r="C270" i="6"/>
  <c r="S257"/>
  <c r="R140" i="30" s="1"/>
  <c r="Q57" i="39"/>
  <c r="X227" i="6"/>
  <c r="N200"/>
  <c r="M209" i="30" s="1"/>
  <c r="S227" i="6"/>
  <c r="R28" i="30" s="1"/>
  <c r="G227" i="6"/>
  <c r="F28" i="30" s="1"/>
  <c r="J155" i="6"/>
  <c r="I197" i="30" s="1"/>
  <c r="G248" i="6"/>
  <c r="Q251"/>
  <c r="P118" i="30" s="1"/>
  <c r="K200" i="6"/>
  <c r="J209" i="30" s="1"/>
  <c r="E233" i="6"/>
  <c r="D50" i="30" s="1"/>
  <c r="D236" i="6"/>
  <c r="C61" i="30" s="1"/>
  <c r="D260" i="6"/>
  <c r="C153" i="30" s="1"/>
  <c r="P248" i="6"/>
  <c r="H248"/>
  <c r="P242"/>
  <c r="O83" i="30" s="1"/>
  <c r="H242" i="6"/>
  <c r="G83" i="30" s="1"/>
  <c r="H230" i="6"/>
  <c r="G39" i="30" s="1"/>
  <c r="K257" i="6"/>
  <c r="J140" i="30" s="1"/>
  <c r="K227" i="6"/>
  <c r="J28" i="30" s="1"/>
  <c r="I251" i="6"/>
  <c r="H118" i="30" s="1"/>
  <c r="N251" i="6"/>
  <c r="M118" i="30" s="1"/>
  <c r="P131" i="6"/>
  <c r="H131"/>
  <c r="F130"/>
  <c r="L127"/>
  <c r="K37" i="29" s="1"/>
  <c r="I216" i="6"/>
  <c r="H220" i="30" s="1"/>
  <c r="Q266" i="6"/>
  <c r="P175" i="30" s="1"/>
  <c r="Q263" i="6"/>
  <c r="P164" i="30" s="1"/>
  <c r="I263" i="6"/>
  <c r="H164" i="30" s="1"/>
  <c r="Q248" i="6"/>
  <c r="I248"/>
  <c r="Q242"/>
  <c r="P83" i="30" s="1"/>
  <c r="Q236" i="6"/>
  <c r="P61" i="30" s="1"/>
  <c r="I236" i="6"/>
  <c r="H61" i="30" s="1"/>
  <c r="Q233" i="6"/>
  <c r="P50" i="30" s="1"/>
  <c r="I233" i="6"/>
  <c r="H50" i="30" s="1"/>
  <c r="Q224" i="6"/>
  <c r="P17" i="30" s="1"/>
  <c r="I224" i="6"/>
  <c r="H17" i="30" s="1"/>
  <c r="M224" i="6"/>
  <c r="L17" i="30" s="1"/>
  <c r="E224" i="6"/>
  <c r="D17" i="30" s="1"/>
  <c r="Q271" i="12"/>
  <c r="O192"/>
  <c r="N223" i="30" s="1"/>
  <c r="H176" i="12"/>
  <c r="G212" i="30" s="1"/>
  <c r="H192" i="12"/>
  <c r="G223" i="30" s="1"/>
  <c r="N213" i="12"/>
  <c r="M200" i="30" s="1"/>
  <c r="C270" i="12"/>
  <c r="N129"/>
  <c r="Q176"/>
  <c r="P212" i="30" s="1"/>
  <c r="S176" i="12"/>
  <c r="R212" i="30" s="1"/>
  <c r="K192" i="12"/>
  <c r="J223" i="30" s="1"/>
  <c r="Q213" i="12"/>
  <c r="P200" i="30" s="1"/>
  <c r="Q125" i="12"/>
  <c r="P40" i="29" s="1"/>
  <c r="G192" i="12"/>
  <c r="F223" i="30" s="1"/>
  <c r="P176" i="12"/>
  <c r="O212" i="30" s="1"/>
  <c r="P192" i="12"/>
  <c r="O223" i="30" s="1"/>
  <c r="R227" i="12"/>
  <c r="Q42" i="30" s="1"/>
  <c r="D129" i="12"/>
  <c r="D176"/>
  <c r="C212" i="30" s="1"/>
  <c r="L176" i="12"/>
  <c r="K212" i="30" s="1"/>
  <c r="F266" i="12"/>
  <c r="M230"/>
  <c r="L53" i="30" s="1"/>
  <c r="M227" i="12"/>
  <c r="L42" i="30" s="1"/>
  <c r="M224" i="12"/>
  <c r="L31" i="30" s="1"/>
  <c r="D221" i="12"/>
  <c r="C20" i="30" s="1"/>
  <c r="L271" i="12"/>
  <c r="D270"/>
  <c r="G269"/>
  <c r="F189" i="30" s="1"/>
  <c r="O263" i="12"/>
  <c r="N167" i="30" s="1"/>
  <c r="G263" i="12"/>
  <c r="F167" i="30" s="1"/>
  <c r="O260" i="12"/>
  <c r="N156" i="30" s="1"/>
  <c r="G257" i="12"/>
  <c r="F143" i="30" s="1"/>
  <c r="O254" i="12"/>
  <c r="N132" i="30" s="1"/>
  <c r="I271" i="12"/>
  <c r="E127" i="5"/>
  <c r="D38" i="29" s="1"/>
  <c r="R130" i="5"/>
  <c r="G65"/>
  <c r="F16" i="29" s="1"/>
  <c r="K131" i="5"/>
  <c r="J127"/>
  <c r="I38" i="29" s="1"/>
  <c r="M211" i="5"/>
  <c r="B125"/>
  <c r="G127"/>
  <c r="F38" i="29" s="1"/>
  <c r="R200" i="5"/>
  <c r="Q154" i="30" s="1"/>
  <c r="K65" i="5"/>
  <c r="J16" i="29" s="1"/>
  <c r="J65" i="5"/>
  <c r="I16" i="29" s="1"/>
  <c r="L97" i="5"/>
  <c r="K27" i="29" s="1"/>
  <c r="D127" i="5"/>
  <c r="C38" i="29" s="1"/>
  <c r="L127" i="5"/>
  <c r="K38" i="29" s="1"/>
  <c r="D97" i="5"/>
  <c r="C27" i="29" s="1"/>
  <c r="Q155" i="5"/>
  <c r="P198" i="30" s="1"/>
  <c r="D170" i="5"/>
  <c r="C40" i="30" s="1"/>
  <c r="D194" i="5"/>
  <c r="C130" i="30" s="1"/>
  <c r="AB49" i="40"/>
  <c r="AC49" s="1"/>
  <c r="L125" i="39"/>
  <c r="BV96" i="13"/>
  <c r="BV94"/>
  <c r="I249" i="30" s="1"/>
  <c r="I130" i="6"/>
  <c r="O72" i="33"/>
  <c r="P58" i="31"/>
  <c r="K53"/>
  <c r="I167" i="33"/>
  <c r="I169" s="1"/>
  <c r="I232" i="30" s="1"/>
  <c r="G58" i="33"/>
  <c r="G60" s="1"/>
  <c r="G230" i="30" s="1"/>
  <c r="G23" i="33"/>
  <c r="J56"/>
  <c r="F276" i="7"/>
  <c r="U4" i="39"/>
  <c r="U5"/>
  <c r="N127"/>
  <c r="R257" i="6"/>
  <c r="Q140" i="30" s="1"/>
  <c r="J227" i="6"/>
  <c r="I28" i="30" s="1"/>
  <c r="E224" i="4"/>
  <c r="D19" i="30" s="1"/>
  <c r="E270" i="4"/>
  <c r="O275" i="7"/>
  <c r="M185" i="30" s="1"/>
  <c r="M200" i="6"/>
  <c r="L209" i="30" s="1"/>
  <c r="F136" i="7"/>
  <c r="F131"/>
  <c r="D36" i="29" s="1"/>
  <c r="O65" i="5"/>
  <c r="N16" i="29" s="1"/>
  <c r="G176" i="12"/>
  <c r="F212" i="30" s="1"/>
  <c r="N196" i="11"/>
  <c r="M224" i="30" s="1"/>
  <c r="D64" i="10"/>
  <c r="C202" i="30" s="1"/>
  <c r="F114" i="33"/>
  <c r="F116" s="1"/>
  <c r="F231" i="30" s="1"/>
  <c r="N114" i="33"/>
  <c r="H167"/>
  <c r="L168"/>
  <c r="L169" s="1"/>
  <c r="L232" i="30" s="1"/>
  <c r="J155" i="5"/>
  <c r="I198" i="30" s="1"/>
  <c r="C61" i="33"/>
  <c r="P275" i="7"/>
  <c r="N185" i="30" s="1"/>
  <c r="G275" i="7"/>
  <c r="E185" i="30" s="1"/>
  <c r="P251" i="7"/>
  <c r="N93" i="30" s="1"/>
  <c r="G251" i="7"/>
  <c r="E93" i="30" s="1"/>
  <c r="J230" i="6"/>
  <c r="I39" i="30" s="1"/>
  <c r="E230" i="6"/>
  <c r="D39" i="30" s="1"/>
  <c r="Q227" i="6"/>
  <c r="P28" i="30" s="1"/>
  <c r="I227" i="6"/>
  <c r="H28" i="30" s="1"/>
  <c r="N203" i="5"/>
  <c r="M165" i="30" s="1"/>
  <c r="M127" i="39"/>
  <c r="BY94" i="13"/>
  <c r="L249" i="30" s="1"/>
  <c r="K254" i="6"/>
  <c r="J129" i="30" s="1"/>
  <c r="F58" i="33"/>
  <c r="F23"/>
  <c r="H127" i="39"/>
  <c r="E167" i="33"/>
  <c r="E129"/>
  <c r="E168"/>
  <c r="F257" i="6"/>
  <c r="E140" i="30" s="1"/>
  <c r="O257" i="6"/>
  <c r="N140" i="30" s="1"/>
  <c r="E257" i="6"/>
  <c r="D140" i="30" s="1"/>
  <c r="J257" i="6"/>
  <c r="I140" i="30" s="1"/>
  <c r="R227" i="6"/>
  <c r="Q28" i="30" s="1"/>
  <c r="R224" i="6"/>
  <c r="Q17" i="30" s="1"/>
  <c r="R270" i="6"/>
  <c r="N210" i="5"/>
  <c r="P270" i="12"/>
  <c r="P221"/>
  <c r="O20" i="30" s="1"/>
  <c r="H82" i="10"/>
  <c r="E211" i="5"/>
  <c r="F230" i="7"/>
  <c r="D16" i="30" s="1"/>
  <c r="M95" i="12"/>
  <c r="L29" i="29" s="1"/>
  <c r="M213" i="12"/>
  <c r="L200" i="30" s="1"/>
  <c r="E213" i="12"/>
  <c r="D200" i="30" s="1"/>
  <c r="N66" i="11"/>
  <c r="M19" i="29" s="1"/>
  <c r="N133" i="11"/>
  <c r="N135" s="1"/>
  <c r="F196"/>
  <c r="E224" i="30" s="1"/>
  <c r="I36" i="31"/>
  <c r="I58"/>
  <c r="E130" i="5"/>
  <c r="E132" s="1"/>
  <c r="K115" i="33"/>
  <c r="K116" s="1"/>
  <c r="K231" i="30" s="1"/>
  <c r="N230" i="7"/>
  <c r="L16" i="30" s="1"/>
  <c r="I58" i="33"/>
  <c r="G131" i="7"/>
  <c r="E36" i="29" s="1"/>
  <c r="G254" i="7"/>
  <c r="E105" i="30" s="1"/>
  <c r="S254" i="6"/>
  <c r="R129" i="30" s="1"/>
  <c r="D271" i="11"/>
  <c r="D231"/>
  <c r="C43" i="30" s="1"/>
  <c r="BR96" i="13"/>
  <c r="G133" i="11"/>
  <c r="G135" s="1"/>
  <c r="G66"/>
  <c r="M168" i="33"/>
  <c r="M169" s="1"/>
  <c r="M232" i="30" s="1"/>
  <c r="O227" i="6"/>
  <c r="N28" i="30" s="1"/>
  <c r="M227" i="6"/>
  <c r="L28" i="30" s="1"/>
  <c r="N227" i="6"/>
  <c r="M28" i="30" s="1"/>
  <c r="J270" i="6"/>
  <c r="L83" i="10"/>
  <c r="L75"/>
  <c r="K134" i="30" s="1"/>
  <c r="I56" i="33"/>
  <c r="C56"/>
  <c r="F127" i="5"/>
  <c r="E38" i="29" s="1"/>
  <c r="J212" i="5"/>
  <c r="M257" i="6"/>
  <c r="L140" i="30" s="1"/>
  <c r="G155" i="6"/>
  <c r="F197" i="30" s="1"/>
  <c r="I67" i="7"/>
  <c r="G14" i="29" s="1"/>
  <c r="T29" i="41"/>
  <c r="T25" s="1"/>
  <c r="U25" s="1"/>
  <c r="E216" i="4"/>
  <c r="D199" i="30" s="1"/>
  <c r="M128" i="12"/>
  <c r="E95"/>
  <c r="D29" i="29" s="1"/>
  <c r="F59" i="33"/>
  <c r="I74"/>
  <c r="I114"/>
  <c r="I116" s="1"/>
  <c r="I231" i="30" s="1"/>
  <c r="N239" i="7"/>
  <c r="L49" i="30" s="1"/>
  <c r="X257" i="6"/>
  <c r="L257"/>
  <c r="K140" i="30" s="1"/>
  <c r="L251" i="6"/>
  <c r="K118" i="30" s="1"/>
  <c r="L230" i="6"/>
  <c r="K39" i="30" s="1"/>
  <c r="L227" i="6"/>
  <c r="K28" i="30" s="1"/>
  <c r="I173" i="5"/>
  <c r="H51" i="30" s="1"/>
  <c r="I210" i="5"/>
  <c r="I212" s="1"/>
  <c r="O270" i="4"/>
  <c r="K270" i="12"/>
  <c r="K243" i="11"/>
  <c r="J87" i="30" s="1"/>
  <c r="K271" i="11"/>
  <c r="K273" s="1"/>
  <c r="J81" i="10"/>
  <c r="AM17" i="40"/>
  <c r="E260" i="6"/>
  <c r="D153" i="30" s="1"/>
  <c r="O260" i="6"/>
  <c r="N153" i="30" s="1"/>
  <c r="Q257" i="6"/>
  <c r="P140" i="30" s="1"/>
  <c r="I230" i="6"/>
  <c r="H39" i="30" s="1"/>
  <c r="N209" i="5"/>
  <c r="M187" i="30" s="1"/>
  <c r="F188" i="5"/>
  <c r="E106" i="30" s="1"/>
  <c r="N182" i="5"/>
  <c r="M84" i="30" s="1"/>
  <c r="N176" i="5"/>
  <c r="M62" i="30" s="1"/>
  <c r="F173" i="5"/>
  <c r="E51" i="30" s="1"/>
  <c r="E167" i="5"/>
  <c r="D29" i="30" s="1"/>
  <c r="G245" i="12"/>
  <c r="F108" i="30" s="1"/>
  <c r="O239" i="12"/>
  <c r="N86" i="30" s="1"/>
  <c r="P225" i="11"/>
  <c r="O21" i="30" s="1"/>
  <c r="P271" i="11"/>
  <c r="G72" i="10"/>
  <c r="F123" i="30" s="1"/>
  <c r="G82" i="10"/>
  <c r="E239" i="7"/>
  <c r="C49" i="30" s="1"/>
  <c r="M242" i="7"/>
  <c r="K60" i="30" s="1"/>
  <c r="M224" i="4"/>
  <c r="L19" i="30" s="1"/>
  <c r="H272" i="11"/>
  <c r="R111" i="33"/>
  <c r="W6" i="41"/>
  <c r="E127" i="6"/>
  <c r="D37" i="29" s="1"/>
  <c r="M130" i="5"/>
  <c r="F134" i="11"/>
  <c r="M133"/>
  <c r="M135" s="1"/>
  <c r="E66"/>
  <c r="E133"/>
  <c r="E135" s="1"/>
  <c r="L217"/>
  <c r="K201" i="30" s="1"/>
  <c r="C22" i="31"/>
  <c r="J57"/>
  <c r="N226" i="30"/>
  <c r="H142" i="32"/>
  <c r="H204" i="30" s="1"/>
  <c r="E38" i="33"/>
  <c r="M74"/>
  <c r="H129"/>
  <c r="H168"/>
  <c r="C145"/>
  <c r="F275" i="7"/>
  <c r="D185" i="30" s="1"/>
  <c r="P254" i="7"/>
  <c r="H263" i="6"/>
  <c r="G164" i="30" s="1"/>
  <c r="P260" i="6"/>
  <c r="O153" i="30" s="1"/>
  <c r="P257" i="6"/>
  <c r="O140" i="30" s="1"/>
  <c r="P230" i="6"/>
  <c r="O39" i="30" s="1"/>
  <c r="P227" i="6"/>
  <c r="O28" i="30" s="1"/>
  <c r="H227" i="6"/>
  <c r="G28" i="30" s="1"/>
  <c r="H270" i="6"/>
  <c r="D182" i="5"/>
  <c r="C84" i="30" s="1"/>
  <c r="M209" i="5"/>
  <c r="L187" i="30" s="1"/>
  <c r="E209" i="5"/>
  <c r="D187" i="30" s="1"/>
  <c r="M206" i="5"/>
  <c r="L176" i="30" s="1"/>
  <c r="E206" i="5"/>
  <c r="M203"/>
  <c r="L165" i="30" s="1"/>
  <c r="E203" i="5"/>
  <c r="D165" i="30" s="1"/>
  <c r="M194" i="5"/>
  <c r="L130" i="30" s="1"/>
  <c r="E194" i="5"/>
  <c r="D130" i="30" s="1"/>
  <c r="M191" i="5"/>
  <c r="L119" i="30" s="1"/>
  <c r="E191" i="5"/>
  <c r="D119" i="30" s="1"/>
  <c r="M188" i="5"/>
  <c r="L106" i="30" s="1"/>
  <c r="E188" i="5"/>
  <c r="D106" i="30" s="1"/>
  <c r="M185" i="5"/>
  <c r="L95" i="30" s="1"/>
  <c r="E185" i="5"/>
  <c r="D95" i="30" s="1"/>
  <c r="M182" i="5"/>
  <c r="L84" i="30" s="1"/>
  <c r="E182" i="5"/>
  <c r="D84" i="30" s="1"/>
  <c r="M179" i="5"/>
  <c r="L73" i="30" s="1"/>
  <c r="E179" i="5"/>
  <c r="D73" i="30" s="1"/>
  <c r="M176" i="5"/>
  <c r="L62" i="30" s="1"/>
  <c r="E176" i="5"/>
  <c r="D62" i="30" s="1"/>
  <c r="M173" i="5"/>
  <c r="L51" i="30" s="1"/>
  <c r="E173" i="5"/>
  <c r="D51" i="30" s="1"/>
  <c r="M170" i="5"/>
  <c r="L40" i="30" s="1"/>
  <c r="X167" i="5"/>
  <c r="L167"/>
  <c r="K29" i="30" s="1"/>
  <c r="L164" i="5"/>
  <c r="K18" i="30" s="1"/>
  <c r="F251" i="12"/>
  <c r="E121" i="30" s="1"/>
  <c r="I257" i="6"/>
  <c r="H140" i="30" s="1"/>
  <c r="F209" i="5"/>
  <c r="E187" i="30" s="1"/>
  <c r="F206" i="5"/>
  <c r="N194"/>
  <c r="M130" i="30" s="1"/>
  <c r="F191" i="5"/>
  <c r="E119" i="30" s="1"/>
  <c r="F182" i="5"/>
  <c r="E84" i="30" s="1"/>
  <c r="F176" i="5"/>
  <c r="E62" i="30" s="1"/>
  <c r="N170" i="5"/>
  <c r="M40" i="30" s="1"/>
  <c r="M167" i="5"/>
  <c r="L29" i="30" s="1"/>
  <c r="O245" i="12"/>
  <c r="N108" i="30" s="1"/>
  <c r="G242" i="12"/>
  <c r="F97" i="30" s="1"/>
  <c r="O236" i="12"/>
  <c r="N75" i="30" s="1"/>
  <c r="G233" i="12"/>
  <c r="F64" i="30" s="1"/>
  <c r="M200" i="5"/>
  <c r="L154" i="30" s="1"/>
  <c r="E200" i="5"/>
  <c r="D154" i="30" s="1"/>
  <c r="S271" i="12"/>
  <c r="R28" i="41"/>
  <c r="AD28" i="40"/>
  <c r="O239" i="7"/>
  <c r="M49" i="30" s="1"/>
  <c r="W33" i="41"/>
  <c r="R161" i="7"/>
  <c r="P196" i="30" s="1"/>
  <c r="I135" i="7"/>
  <c r="L200" i="6"/>
  <c r="K209" i="30" s="1"/>
  <c r="K95" i="12"/>
  <c r="J29" i="29" s="1"/>
  <c r="BU68" i="13"/>
  <c r="H241" i="30" s="1"/>
  <c r="H117" i="39"/>
  <c r="M260" i="6"/>
  <c r="L153" i="30" s="1"/>
  <c r="N206" i="5"/>
  <c r="M176" i="30" s="1"/>
  <c r="F203" i="5"/>
  <c r="E165" i="30" s="1"/>
  <c r="N191" i="5"/>
  <c r="M119" i="30" s="1"/>
  <c r="F185" i="5"/>
  <c r="E95" i="30" s="1"/>
  <c r="F179" i="5"/>
  <c r="E73" i="30" s="1"/>
  <c r="N173" i="5"/>
  <c r="M51" i="30" s="1"/>
  <c r="E170" i="5"/>
  <c r="D40" i="30" s="1"/>
  <c r="M164" i="5"/>
  <c r="L18" i="30" s="1"/>
  <c r="M210" i="5"/>
  <c r="G251" i="12"/>
  <c r="F121" i="30" s="1"/>
  <c r="O242" i="12"/>
  <c r="N97" i="30" s="1"/>
  <c r="G239" i="12"/>
  <c r="F86" i="30" s="1"/>
  <c r="O233" i="12"/>
  <c r="N64" i="30" s="1"/>
  <c r="O72" i="10"/>
  <c r="N123" i="30" s="1"/>
  <c r="O82" i="10"/>
  <c r="O84" s="1"/>
  <c r="F245" i="7"/>
  <c r="D71" i="30" s="1"/>
  <c r="F271" i="6"/>
  <c r="E271" i="4"/>
  <c r="P272" i="11"/>
  <c r="O263" i="7"/>
  <c r="M139" i="30" s="1"/>
  <c r="K135" i="11"/>
  <c r="P131" i="7"/>
  <c r="N36" i="29" s="1"/>
  <c r="R206" i="7"/>
  <c r="P208" i="30" s="1"/>
  <c r="AL68" i="13"/>
  <c r="E240" i="30" s="1"/>
  <c r="J124" i="39"/>
  <c r="O124"/>
  <c r="BZ69" i="13"/>
  <c r="BQ69"/>
  <c r="K109" i="39"/>
  <c r="BV83" i="13"/>
  <c r="BX81"/>
  <c r="K245" i="30" s="1"/>
  <c r="BQ81" i="13"/>
  <c r="D245" i="30" s="1"/>
  <c r="L68" i="13"/>
  <c r="K239" i="30" s="1"/>
  <c r="F68" i="13"/>
  <c r="E239" i="30" s="1"/>
  <c r="O81" i="13"/>
  <c r="N243" i="30" s="1"/>
  <c r="F81" i="13"/>
  <c r="E243" i="30" s="1"/>
  <c r="H82" i="13"/>
  <c r="I123" i="39"/>
  <c r="K123"/>
  <c r="M122"/>
  <c r="AM94" i="13"/>
  <c r="F248" i="30" s="1"/>
  <c r="BR69" i="13"/>
  <c r="BT70"/>
  <c r="BV69"/>
  <c r="BX68"/>
  <c r="K241" i="30" s="1"/>
  <c r="BZ82" i="13"/>
  <c r="J115" i="33"/>
  <c r="O263" i="6"/>
  <c r="N164" i="30" s="1"/>
  <c r="M263" i="6"/>
  <c r="L164" i="30" s="1"/>
  <c r="S271" i="11"/>
  <c r="N245" i="12"/>
  <c r="M108" i="30" s="1"/>
  <c r="F245" i="12"/>
  <c r="E108" i="30" s="1"/>
  <c r="N242" i="12"/>
  <c r="M97" i="30" s="1"/>
  <c r="F242" i="12"/>
  <c r="E97" i="30" s="1"/>
  <c r="F239" i="12"/>
  <c r="E86" i="30" s="1"/>
  <c r="F236" i="12"/>
  <c r="E75" i="30" s="1"/>
  <c r="F233" i="12"/>
  <c r="E64" i="30" s="1"/>
  <c r="AA233" i="7"/>
  <c r="AA239"/>
  <c r="L239"/>
  <c r="J49" i="30" s="1"/>
  <c r="M260" i="7"/>
  <c r="K128" i="30" s="1"/>
  <c r="M266" i="7"/>
  <c r="K152" i="30" s="1"/>
  <c r="K211" i="5"/>
  <c r="K269" i="12"/>
  <c r="J189" i="30" s="1"/>
  <c r="S266" i="12"/>
  <c r="R178" i="30" s="1"/>
  <c r="S263" i="12"/>
  <c r="R167" i="30" s="1"/>
  <c r="K263" i="12"/>
  <c r="J167" i="30" s="1"/>
  <c r="K260" i="12"/>
  <c r="J156" i="30" s="1"/>
  <c r="K257" i="12"/>
  <c r="J143" i="30" s="1"/>
  <c r="R83" i="10"/>
  <c r="R75"/>
  <c r="Q134" i="30" s="1"/>
  <c r="N131" i="6"/>
  <c r="P216"/>
  <c r="O220" i="30" s="1"/>
  <c r="H216" i="6"/>
  <c r="G220" i="30" s="1"/>
  <c r="Q67" i="7"/>
  <c r="O14" i="29" s="1"/>
  <c r="N131" i="7"/>
  <c r="L36" i="29" s="1"/>
  <c r="L136" i="7"/>
  <c r="M131" i="5"/>
  <c r="R200" i="6"/>
  <c r="Q209" i="30" s="1"/>
  <c r="N136" i="7"/>
  <c r="D128" i="12"/>
  <c r="O128"/>
  <c r="L125"/>
  <c r="K40" i="29" s="1"/>
  <c r="E234" i="30"/>
  <c r="D142" i="32"/>
  <c r="D204" i="30" s="1"/>
  <c r="G142" i="32"/>
  <c r="G204" i="30" s="1"/>
  <c r="I59" i="33"/>
  <c r="I60" s="1"/>
  <c r="I230" i="30" s="1"/>
  <c r="L38" i="33"/>
  <c r="L91"/>
  <c r="C164"/>
  <c r="E251" i="7"/>
  <c r="C93" i="30" s="1"/>
  <c r="J236" i="6"/>
  <c r="I61" i="30" s="1"/>
  <c r="J266" i="6"/>
  <c r="I175" i="30" s="1"/>
  <c r="G257" i="6"/>
  <c r="F140" i="30" s="1"/>
  <c r="G230" i="6"/>
  <c r="F39" i="30" s="1"/>
  <c r="O270" i="6"/>
  <c r="L194" i="5"/>
  <c r="K130" i="30" s="1"/>
  <c r="X191" i="5"/>
  <c r="L191"/>
  <c r="K119" i="30" s="1"/>
  <c r="X173" i="5"/>
  <c r="L173"/>
  <c r="K51" i="30" s="1"/>
  <c r="K170" i="5"/>
  <c r="J40" i="30" s="1"/>
  <c r="N251" i="12"/>
  <c r="M121" i="30" s="1"/>
  <c r="L263" i="7"/>
  <c r="J139" i="30" s="1"/>
  <c r="X224" i="6"/>
  <c r="L271"/>
  <c r="L272" s="1"/>
  <c r="K206" i="5"/>
  <c r="J176" i="30" s="1"/>
  <c r="K194" i="5"/>
  <c r="J130" i="30" s="1"/>
  <c r="S176" i="5"/>
  <c r="R62" i="30" s="1"/>
  <c r="S173" i="5"/>
  <c r="R51" i="30" s="1"/>
  <c r="J167" i="5"/>
  <c r="I29" i="30" s="1"/>
  <c r="P224" i="12"/>
  <c r="O31" i="30" s="1"/>
  <c r="H224" i="12"/>
  <c r="G31" i="30" s="1"/>
  <c r="H227" i="12"/>
  <c r="G42" i="30" s="1"/>
  <c r="S251" i="12"/>
  <c r="R121" i="30" s="1"/>
  <c r="L251" i="12"/>
  <c r="K121" i="30" s="1"/>
  <c r="L245" i="12"/>
  <c r="K108" i="30" s="1"/>
  <c r="X239" i="12"/>
  <c r="L239"/>
  <c r="K86" i="30" s="1"/>
  <c r="S95" i="12"/>
  <c r="R29" i="29" s="1"/>
  <c r="J36" i="31"/>
  <c r="C142" i="32"/>
  <c r="C204" i="30" s="1"/>
  <c r="P260" i="7"/>
  <c r="N128" i="30" s="1"/>
  <c r="D266" i="6"/>
  <c r="N257"/>
  <c r="M140" i="30" s="1"/>
  <c r="F227" i="6"/>
  <c r="E28" i="30" s="1"/>
  <c r="R230" i="12"/>
  <c r="Q53" i="30" s="1"/>
  <c r="X75" i="10"/>
  <c r="BW94" i="13"/>
  <c r="J249" i="30" s="1"/>
  <c r="T67" i="7"/>
  <c r="R14" i="29" s="1"/>
  <c r="J67" i="7"/>
  <c r="H14" i="29" s="1"/>
  <c r="G161" i="7"/>
  <c r="E196" i="30" s="1"/>
  <c r="M129" i="33"/>
  <c r="R194" i="5"/>
  <c r="Q130" i="30" s="1"/>
  <c r="J194" i="5"/>
  <c r="I130" i="30" s="1"/>
  <c r="R191" i="5"/>
  <c r="Q119" i="30" s="1"/>
  <c r="J191" i="5"/>
  <c r="I119" i="30" s="1"/>
  <c r="R188" i="5"/>
  <c r="Q106" i="30" s="1"/>
  <c r="J188" i="5"/>
  <c r="I106" i="30" s="1"/>
  <c r="R185" i="5"/>
  <c r="Q95" i="30" s="1"/>
  <c r="J185" i="5"/>
  <c r="I95" i="30" s="1"/>
  <c r="R182" i="5"/>
  <c r="Q84" i="30" s="1"/>
  <c r="J182" i="5"/>
  <c r="I84" i="30" s="1"/>
  <c r="R179" i="5"/>
  <c r="Q73" i="30" s="1"/>
  <c r="J179" i="5"/>
  <c r="I73" i="30" s="1"/>
  <c r="R176" i="5"/>
  <c r="Q62" i="30" s="1"/>
  <c r="J176" i="5"/>
  <c r="I62" i="30" s="1"/>
  <c r="R173" i="5"/>
  <c r="Q51" i="30" s="1"/>
  <c r="J173" i="5"/>
  <c r="I51" i="30" s="1"/>
  <c r="R170" i="5"/>
  <c r="Q40" i="30" s="1"/>
  <c r="S242" i="12"/>
  <c r="R97" i="30" s="1"/>
  <c r="K242" i="12"/>
  <c r="J97" i="30" s="1"/>
  <c r="K239" i="12"/>
  <c r="J86" i="30" s="1"/>
  <c r="S227" i="12"/>
  <c r="R42" i="30" s="1"/>
  <c r="K227" i="12"/>
  <c r="J42" i="30" s="1"/>
  <c r="S224" i="12"/>
  <c r="R31" i="30" s="1"/>
  <c r="K224" i="12"/>
  <c r="J31" i="30" s="1"/>
  <c r="S221" i="12"/>
  <c r="R20" i="30" s="1"/>
  <c r="K221" i="12"/>
  <c r="J20" i="30" s="1"/>
  <c r="P68" i="13"/>
  <c r="O239" i="30" s="1"/>
  <c r="P81" i="13"/>
  <c r="O243" i="30" s="1"/>
  <c r="P94" i="13"/>
  <c r="O247" i="30" s="1"/>
  <c r="Q95" i="12"/>
  <c r="P29" i="29" s="1"/>
  <c r="Q53" i="31"/>
  <c r="G239" i="7"/>
  <c r="E49" i="30" s="1"/>
  <c r="P242" i="7"/>
  <c r="N60" i="30" s="1"/>
  <c r="Q245" i="7"/>
  <c r="O71" i="30" s="1"/>
  <c r="Q251" i="7"/>
  <c r="O93" i="30" s="1"/>
  <c r="H251" i="7"/>
  <c r="F93" i="30" s="1"/>
  <c r="H254" i="7"/>
  <c r="F105" i="30" s="1"/>
  <c r="Q257" i="7"/>
  <c r="O117" i="30" s="1"/>
  <c r="H257" i="7"/>
  <c r="F117" i="30" s="1"/>
  <c r="Q266" i="7"/>
  <c r="O163" i="30" s="1"/>
  <c r="H266" i="7"/>
  <c r="F152" i="30" s="1"/>
  <c r="Q269" i="7"/>
  <c r="H269"/>
  <c r="Q275"/>
  <c r="O185" i="30" s="1"/>
  <c r="H275" i="7"/>
  <c r="F185" i="30" s="1"/>
  <c r="P271" i="6"/>
  <c r="P272" s="1"/>
  <c r="D239"/>
  <c r="C72" i="30" s="1"/>
  <c r="D211" i="5"/>
  <c r="O209"/>
  <c r="N187" i="30" s="1"/>
  <c r="G209" i="5"/>
  <c r="F187" i="30" s="1"/>
  <c r="O206" i="5"/>
  <c r="N176" i="30" s="1"/>
  <c r="G206" i="5"/>
  <c r="O203"/>
  <c r="N165" i="30" s="1"/>
  <c r="G203" i="5"/>
  <c r="F165" i="30" s="1"/>
  <c r="O194" i="5"/>
  <c r="N130" i="30" s="1"/>
  <c r="G194" i="5"/>
  <c r="F130" i="30" s="1"/>
  <c r="O191" i="5"/>
  <c r="N119" i="30" s="1"/>
  <c r="O188" i="5"/>
  <c r="N106" i="30" s="1"/>
  <c r="G188" i="5"/>
  <c r="F106" i="30" s="1"/>
  <c r="O185" i="5"/>
  <c r="N95" i="30" s="1"/>
  <c r="G185" i="5"/>
  <c r="F95" i="30" s="1"/>
  <c r="O182" i="5"/>
  <c r="N84" i="30" s="1"/>
  <c r="G182" i="5"/>
  <c r="F84" i="30" s="1"/>
  <c r="O179" i="5"/>
  <c r="N73" i="30" s="1"/>
  <c r="G179" i="5"/>
  <c r="F73" i="30" s="1"/>
  <c r="O176" i="5"/>
  <c r="N62" i="30" s="1"/>
  <c r="G176" i="5"/>
  <c r="F62" i="30" s="1"/>
  <c r="O173" i="5"/>
  <c r="N51" i="30" s="1"/>
  <c r="G173" i="5"/>
  <c r="F51" i="30" s="1"/>
  <c r="O170" i="5"/>
  <c r="N40" i="30" s="1"/>
  <c r="F170" i="5"/>
  <c r="E40" i="30" s="1"/>
  <c r="N167" i="5"/>
  <c r="M29" i="30" s="1"/>
  <c r="F167" i="5"/>
  <c r="E29" i="30" s="1"/>
  <c r="N200" i="5"/>
  <c r="M154" i="30" s="1"/>
  <c r="F200" i="5"/>
  <c r="E154" i="30" s="1"/>
  <c r="G224" i="4"/>
  <c r="F19" i="30" s="1"/>
  <c r="N271" i="4"/>
  <c r="F271"/>
  <c r="X271" i="12"/>
  <c r="M271"/>
  <c r="E271"/>
  <c r="N263"/>
  <c r="M167" i="30" s="1"/>
  <c r="F263" i="12"/>
  <c r="E167" i="30" s="1"/>
  <c r="F257" i="12"/>
  <c r="E143" i="30" s="1"/>
  <c r="N254" i="12"/>
  <c r="M132" i="30" s="1"/>
  <c r="F271" i="12"/>
  <c r="O271"/>
  <c r="P239"/>
  <c r="O86" i="30" s="1"/>
  <c r="H239" i="12"/>
  <c r="G86" i="30" s="1"/>
  <c r="P271" i="12"/>
  <c r="H233"/>
  <c r="G64" i="30" s="1"/>
  <c r="D272" i="11"/>
  <c r="S83" i="10"/>
  <c r="K72"/>
  <c r="J123" i="30" s="1"/>
  <c r="C53" i="31"/>
  <c r="H132"/>
  <c r="H203" i="30" s="1"/>
  <c r="D132" i="31"/>
  <c r="D203" i="30" s="1"/>
  <c r="J58" i="33"/>
  <c r="N38"/>
  <c r="D56"/>
  <c r="O136" i="7"/>
  <c r="O233"/>
  <c r="M27" i="30" s="1"/>
  <c r="O245" i="7"/>
  <c r="M71" i="30" s="1"/>
  <c r="O257" i="7"/>
  <c r="M117" i="30" s="1"/>
  <c r="O269" i="7"/>
  <c r="L82" i="10"/>
  <c r="S58" i="33"/>
  <c r="U23"/>
  <c r="U38"/>
  <c r="U56"/>
  <c r="V91"/>
  <c r="P133" i="11"/>
  <c r="P135" s="1"/>
  <c r="P66"/>
  <c r="O19" i="29" s="1"/>
  <c r="I57" i="31"/>
  <c r="M57"/>
  <c r="M59" s="1"/>
  <c r="M233" i="30" s="1"/>
  <c r="M53" i="31"/>
  <c r="G234" i="30"/>
  <c r="E59" i="33"/>
  <c r="E60" s="1"/>
  <c r="E230" i="30" s="1"/>
  <c r="E23" i="33"/>
  <c r="E236" i="7"/>
  <c r="C38" i="30" s="1"/>
  <c r="E276" i="7"/>
  <c r="Q104" i="30"/>
  <c r="L276" i="7"/>
  <c r="L236"/>
  <c r="J38" i="30" s="1"/>
  <c r="S230" i="7"/>
  <c r="Q16" i="30" s="1"/>
  <c r="S276" i="7"/>
  <c r="X254" i="6"/>
  <c r="M254"/>
  <c r="L129" i="30" s="1"/>
  <c r="J254" i="6"/>
  <c r="I129" i="30" s="1"/>
  <c r="R254" i="6"/>
  <c r="Q129" i="30" s="1"/>
  <c r="E254" i="6"/>
  <c r="D129" i="30" s="1"/>
  <c r="F254" i="6"/>
  <c r="E129" i="30" s="1"/>
  <c r="G254" i="6"/>
  <c r="F129" i="30" s="1"/>
  <c r="H254" i="6"/>
  <c r="G129" i="30" s="1"/>
  <c r="K224" i="6"/>
  <c r="J17" i="30" s="1"/>
  <c r="K270" i="6"/>
  <c r="P210" i="5"/>
  <c r="P212" s="1"/>
  <c r="P170"/>
  <c r="O40" i="30" s="1"/>
  <c r="G210" i="5"/>
  <c r="G167"/>
  <c r="F29" i="30" s="1"/>
  <c r="N224" i="4"/>
  <c r="M19" i="30" s="1"/>
  <c r="N270" i="4"/>
  <c r="F74" i="33"/>
  <c r="H276" i="7"/>
  <c r="F242"/>
  <c r="D60" i="30" s="1"/>
  <c r="K168" i="33"/>
  <c r="O211" i="5"/>
  <c r="R65" i="6"/>
  <c r="Q15" i="29" s="1"/>
  <c r="R130" i="6"/>
  <c r="F58" i="31"/>
  <c r="M59" i="33"/>
  <c r="M23"/>
  <c r="E115"/>
  <c r="E91"/>
  <c r="C38"/>
  <c r="C59"/>
  <c r="C60" s="1"/>
  <c r="C230" i="30" s="1"/>
  <c r="J276" i="7"/>
  <c r="J230"/>
  <c r="H16" i="30" s="1"/>
  <c r="O210" i="5"/>
  <c r="F270" i="4"/>
  <c r="I72" i="10"/>
  <c r="H123" i="30" s="1"/>
  <c r="I82" i="10"/>
  <c r="G271" i="6"/>
  <c r="N211" i="5"/>
  <c r="N164"/>
  <c r="M18" i="30" s="1"/>
  <c r="M276" i="7"/>
  <c r="J105" i="30"/>
  <c r="H245" i="7"/>
  <c r="F71" i="30" s="1"/>
  <c r="F127" i="6"/>
  <c r="E37" i="29" s="1"/>
  <c r="H128" i="12"/>
  <c r="P128"/>
  <c r="F135" i="7"/>
  <c r="F99"/>
  <c r="D25" i="29" s="1"/>
  <c r="N128" i="12"/>
  <c r="N63"/>
  <c r="M18" i="29" s="1"/>
  <c r="P40" i="41"/>
  <c r="P39" s="1"/>
  <c r="Q39" s="1"/>
  <c r="Q135" i="11"/>
  <c r="C56" i="32"/>
  <c r="C58" s="1"/>
  <c r="C234" i="30" s="1"/>
  <c r="C36" i="32"/>
  <c r="J167" i="33"/>
  <c r="R276" i="7"/>
  <c r="T276"/>
  <c r="S224" i="6"/>
  <c r="R17" i="30" s="1"/>
  <c r="S270" i="6"/>
  <c r="D173" i="5"/>
  <c r="C51" i="30" s="1"/>
  <c r="D210" i="5"/>
  <c r="F210"/>
  <c r="F164"/>
  <c r="E18" i="30" s="1"/>
  <c r="J270" i="12"/>
  <c r="J254"/>
  <c r="I132" i="30" s="1"/>
  <c r="Q270" i="12"/>
  <c r="J225" i="11"/>
  <c r="I21" i="30" s="1"/>
  <c r="J271" i="11"/>
  <c r="Q82" i="10"/>
  <c r="Q72"/>
  <c r="P123" i="30" s="1"/>
  <c r="H224" i="6"/>
  <c r="G17" i="30" s="1"/>
  <c r="H271" i="6"/>
  <c r="O271"/>
  <c r="O104" i="30"/>
  <c r="C74" i="33"/>
  <c r="M129" i="12"/>
  <c r="N254" i="6"/>
  <c r="M129" i="30" s="1"/>
  <c r="Q277" i="7"/>
  <c r="O131" i="6"/>
  <c r="P230" i="7"/>
  <c r="N16" i="30" s="1"/>
  <c r="J65" i="6"/>
  <c r="I15" i="29" s="1"/>
  <c r="J130" i="6"/>
  <c r="F63" i="12"/>
  <c r="F128"/>
  <c r="F95"/>
  <c r="E29" i="29" s="1"/>
  <c r="F129" i="12"/>
  <c r="H66" i="11"/>
  <c r="H133"/>
  <c r="G114" i="33"/>
  <c r="G116" s="1"/>
  <c r="G231" i="30" s="1"/>
  <c r="G111" i="33"/>
  <c r="F167"/>
  <c r="F169" s="1"/>
  <c r="F232" i="30" s="1"/>
  <c r="F129" i="33"/>
  <c r="I276" i="7"/>
  <c r="K276"/>
  <c r="K233"/>
  <c r="I27" i="30" s="1"/>
  <c r="S269" i="12"/>
  <c r="R189" i="30" s="1"/>
  <c r="S270" i="12"/>
  <c r="I221"/>
  <c r="H20" i="30" s="1"/>
  <c r="I270" i="12"/>
  <c r="R271" i="11"/>
  <c r="H164" i="5"/>
  <c r="G18" i="30" s="1"/>
  <c r="H210" i="5"/>
  <c r="H212" s="1"/>
  <c r="G230" i="7"/>
  <c r="E16" i="30" s="1"/>
  <c r="G277" i="7"/>
  <c r="F211" i="5"/>
  <c r="F212" s="1"/>
  <c r="F224" i="4"/>
  <c r="E19" i="30" s="1"/>
  <c r="M91" i="33"/>
  <c r="F239" i="4"/>
  <c r="E74" i="30" s="1"/>
  <c r="AO82" i="13"/>
  <c r="BS81"/>
  <c r="F245" i="30" s="1"/>
  <c r="I110" i="39"/>
  <c r="AK81" i="13"/>
  <c r="D244" i="30" s="1"/>
  <c r="M116" i="39"/>
  <c r="BS95" i="13"/>
  <c r="N125" i="39"/>
  <c r="AQ95" i="13"/>
  <c r="M65" i="5"/>
  <c r="L16" i="29" s="1"/>
  <c r="I272" i="4"/>
  <c r="R212" i="5"/>
  <c r="E75" i="10"/>
  <c r="D134" i="30" s="1"/>
  <c r="Q63" i="12"/>
  <c r="P18" i="29" s="1"/>
  <c r="R56" i="33"/>
  <c r="I81" i="13"/>
  <c r="H243" i="30" s="1"/>
  <c r="BW68" i="13"/>
  <c r="J241" i="30" s="1"/>
  <c r="BS94" i="13"/>
  <c r="F249" i="30" s="1"/>
  <c r="H63" i="12"/>
  <c r="Q270" i="6"/>
  <c r="N266"/>
  <c r="M175" i="30" s="1"/>
  <c r="M75" i="10"/>
  <c r="L134" i="30" s="1"/>
  <c r="O224" i="4"/>
  <c r="N19" i="30" s="1"/>
  <c r="O271" i="4"/>
  <c r="K94" i="13"/>
  <c r="J247" i="30" s="1"/>
  <c r="AN95" i="13"/>
  <c r="BQ68"/>
  <c r="D241" i="30" s="1"/>
  <c r="BQ96" i="13"/>
  <c r="I125" i="39"/>
  <c r="H130" i="6"/>
  <c r="H65"/>
  <c r="G15" i="29" s="1"/>
  <c r="O127" i="6"/>
  <c r="N37" i="29" s="1"/>
  <c r="N130" i="5"/>
  <c r="N65"/>
  <c r="M16" i="29" s="1"/>
  <c r="F133" i="11"/>
  <c r="F66"/>
  <c r="F57" i="31"/>
  <c r="E111" i="33"/>
  <c r="Q276" i="7"/>
  <c r="R230" i="6"/>
  <c r="Q39" i="30" s="1"/>
  <c r="F230" i="6"/>
  <c r="E39" i="30" s="1"/>
  <c r="M230" i="6"/>
  <c r="L39" i="30" s="1"/>
  <c r="Q254" i="6"/>
  <c r="P129" i="30" s="1"/>
  <c r="I254" i="6"/>
  <c r="H129" i="30" s="1"/>
  <c r="Q230" i="6"/>
  <c r="P39" i="30" s="1"/>
  <c r="D179" i="5"/>
  <c r="C73" i="30" s="1"/>
  <c r="D203" i="5"/>
  <c r="C165" i="30" s="1"/>
  <c r="L270" i="4"/>
  <c r="H270" i="12"/>
  <c r="O270"/>
  <c r="N271"/>
  <c r="D242" i="4"/>
  <c r="C85" i="30" s="1"/>
  <c r="N254" i="4"/>
  <c r="M131" i="30" s="1"/>
  <c r="BP81" i="13"/>
  <c r="C245" i="30" s="1"/>
  <c r="BV81" i="13"/>
  <c r="I245" i="30" s="1"/>
  <c r="G271" i="4"/>
  <c r="AM81" i="13"/>
  <c r="F244" i="30" s="1"/>
  <c r="M126" i="39"/>
  <c r="F131" i="5"/>
  <c r="R128" i="12"/>
  <c r="G58" i="31"/>
  <c r="J59" i="33"/>
  <c r="M114"/>
  <c r="E114"/>
  <c r="C167"/>
  <c r="C169" s="1"/>
  <c r="C232" i="30" s="1"/>
  <c r="R155" i="5"/>
  <c r="Q198" i="30" s="1"/>
  <c r="P263" i="6"/>
  <c r="O164" i="30" s="1"/>
  <c r="H260" i="6"/>
  <c r="G153" i="30" s="1"/>
  <c r="P254" i="6"/>
  <c r="O129" i="30" s="1"/>
  <c r="P236" i="6"/>
  <c r="O61" i="30" s="1"/>
  <c r="H233" i="6"/>
  <c r="G50" i="30" s="1"/>
  <c r="P224" i="6"/>
  <c r="O17" i="30" s="1"/>
  <c r="K270" i="4"/>
  <c r="O251" i="12"/>
  <c r="N121" i="30" s="1"/>
  <c r="AP81" i="13"/>
  <c r="I244" i="30" s="1"/>
  <c r="N109" i="39"/>
  <c r="H271" i="12"/>
  <c r="AP94" i="13"/>
  <c r="I248" i="30" s="1"/>
  <c r="AQ94" i="13"/>
  <c r="J248" i="30" s="1"/>
  <c r="O83" i="13"/>
  <c r="S72" i="10"/>
  <c r="R123" i="30" s="1"/>
  <c r="D130" i="5"/>
  <c r="D132" s="1"/>
  <c r="D65"/>
  <c r="C16" i="29" s="1"/>
  <c r="L130" i="5"/>
  <c r="L132" s="1"/>
  <c r="J128" i="4"/>
  <c r="Q128"/>
  <c r="R26" i="41" s="1"/>
  <c r="P30"/>
  <c r="Q30" s="1"/>
  <c r="AB30" i="40"/>
  <c r="P29" i="41"/>
  <c r="Q29" s="1"/>
  <c r="AB29" i="40"/>
  <c r="AC29" s="1"/>
  <c r="J128" i="12"/>
  <c r="J130" s="1"/>
  <c r="J63"/>
  <c r="I18" i="29" s="1"/>
  <c r="K129" i="12"/>
  <c r="J58" i="31"/>
  <c r="M234" i="30"/>
  <c r="D74" i="33"/>
  <c r="D114"/>
  <c r="Q260" i="7"/>
  <c r="O128" i="30" s="1"/>
  <c r="H260" i="7"/>
  <c r="F128" i="30" s="1"/>
  <c r="G233" i="7"/>
  <c r="E27" i="30" s="1"/>
  <c r="N276" i="7"/>
  <c r="E236" i="6"/>
  <c r="D61" i="30" s="1"/>
  <c r="M236" i="6"/>
  <c r="L61" i="30" s="1"/>
  <c r="R236" i="6"/>
  <c r="Q61" i="30" s="1"/>
  <c r="D263" i="6"/>
  <c r="C164" i="30" s="1"/>
  <c r="G263" i="6"/>
  <c r="F164" i="30" s="1"/>
  <c r="O254" i="6"/>
  <c r="N129" i="30" s="1"/>
  <c r="G224" i="6"/>
  <c r="F17" i="30" s="1"/>
  <c r="G270" i="6"/>
  <c r="K210" i="5"/>
  <c r="D230" i="12"/>
  <c r="C53" i="30" s="1"/>
  <c r="N266" i="12"/>
  <c r="M178" i="30" s="1"/>
  <c r="N260" i="12"/>
  <c r="M156" i="30" s="1"/>
  <c r="F260" i="12"/>
  <c r="E156" i="30" s="1"/>
  <c r="N257" i="12"/>
  <c r="M143" i="30" s="1"/>
  <c r="D78" i="10"/>
  <c r="C145" i="30" s="1"/>
  <c r="G122" i="39"/>
  <c r="H271" i="11"/>
  <c r="D271" i="4"/>
  <c r="O271" i="11"/>
  <c r="G271"/>
  <c r="N72" i="10"/>
  <c r="M123" i="30" s="1"/>
  <c r="N82" i="10"/>
  <c r="N84" s="1"/>
  <c r="AA242" i="7"/>
  <c r="M245"/>
  <c r="K71" i="30" s="1"/>
  <c r="E248" i="7"/>
  <c r="C82" i="30" s="1"/>
  <c r="M251" i="7"/>
  <c r="K93" i="30" s="1"/>
  <c r="E275" i="7"/>
  <c r="C185" i="30" s="1"/>
  <c r="M275" i="7"/>
  <c r="K185" i="30" s="1"/>
  <c r="D271" i="6"/>
  <c r="D224"/>
  <c r="C17" i="30" s="1"/>
  <c r="N271" i="6"/>
  <c r="X209" i="5"/>
  <c r="L209"/>
  <c r="K187" i="30" s="1"/>
  <c r="X206" i="5"/>
  <c r="L206"/>
  <c r="K176" i="30" s="1"/>
  <c r="X203" i="5"/>
  <c r="X200"/>
  <c r="L200"/>
  <c r="K154" i="30" s="1"/>
  <c r="X194" i="5"/>
  <c r="X188"/>
  <c r="L188"/>
  <c r="K106" i="30" s="1"/>
  <c r="X185" i="5"/>
  <c r="L185"/>
  <c r="K95" i="30" s="1"/>
  <c r="L182" i="5"/>
  <c r="K84" i="30" s="1"/>
  <c r="X179" i="5"/>
  <c r="X176"/>
  <c r="L176"/>
  <c r="K62" i="30" s="1"/>
  <c r="X170" i="5"/>
  <c r="S167"/>
  <c r="R29" i="30" s="1"/>
  <c r="K200" i="5"/>
  <c r="J154" i="30" s="1"/>
  <c r="X271" i="4"/>
  <c r="L271"/>
  <c r="S269"/>
  <c r="R188" i="30" s="1"/>
  <c r="K266" i="4"/>
  <c r="J177" i="30" s="1"/>
  <c r="K260" i="4"/>
  <c r="J155" i="30" s="1"/>
  <c r="K254" i="4"/>
  <c r="J131" i="30" s="1"/>
  <c r="S251" i="4"/>
  <c r="R120" i="30" s="1"/>
  <c r="S248" i="4"/>
  <c r="R107" i="30" s="1"/>
  <c r="K248" i="4"/>
  <c r="J107" i="30" s="1"/>
  <c r="S236" i="4"/>
  <c r="R63" i="30" s="1"/>
  <c r="K236" i="4"/>
  <c r="J63" i="30" s="1"/>
  <c r="S233" i="4"/>
  <c r="R52" i="30" s="1"/>
  <c r="S230" i="4"/>
  <c r="R41" i="30" s="1"/>
  <c r="K230" i="4"/>
  <c r="J41" i="30" s="1"/>
  <c r="D254" i="12"/>
  <c r="C132" i="30" s="1"/>
  <c r="Q221" i="12"/>
  <c r="P20" i="30" s="1"/>
  <c r="Q224" i="12"/>
  <c r="P31" i="30" s="1"/>
  <c r="J271" i="12"/>
  <c r="R270"/>
  <c r="M245"/>
  <c r="L108" i="30" s="1"/>
  <c r="E245" i="12"/>
  <c r="D108" i="30" s="1"/>
  <c r="M242" i="12"/>
  <c r="L97" i="30" s="1"/>
  <c r="M239" i="12"/>
  <c r="L86" i="30" s="1"/>
  <c r="E239" i="12"/>
  <c r="D86" i="30" s="1"/>
  <c r="M233" i="12"/>
  <c r="L64" i="30" s="1"/>
  <c r="E233" i="12"/>
  <c r="D64" i="30" s="1"/>
  <c r="O272" i="11"/>
  <c r="P72" i="10"/>
  <c r="O123" i="30" s="1"/>
  <c r="P83" i="10"/>
  <c r="P84" s="1"/>
  <c r="E270" i="12"/>
  <c r="F271" i="11"/>
  <c r="E78" i="10"/>
  <c r="D145" i="30" s="1"/>
  <c r="E82" i="10"/>
  <c r="E84" s="1"/>
  <c r="R257" i="12"/>
  <c r="Q143" i="30" s="1"/>
  <c r="L132" i="31"/>
  <c r="L203" i="30" s="1"/>
  <c r="D135" i="11"/>
  <c r="AG39" i="40"/>
  <c r="Q38" i="33"/>
  <c r="W14" i="41"/>
  <c r="K83" i="10"/>
  <c r="N127" i="6"/>
  <c r="M37" i="29" s="1"/>
  <c r="O155" i="5"/>
  <c r="N198" i="30" s="1"/>
  <c r="P28" i="41"/>
  <c r="Q28" s="1"/>
  <c r="AB28" i="40"/>
  <c r="AC28" s="1"/>
  <c r="Q131" i="6"/>
  <c r="P15" i="41" s="1"/>
  <c r="Q15" s="1"/>
  <c r="I131" i="6"/>
  <c r="P130"/>
  <c r="G130"/>
  <c r="M127"/>
  <c r="L37" i="29" s="1"/>
  <c r="E155" i="6"/>
  <c r="D197" i="30" s="1"/>
  <c r="D216" i="6"/>
  <c r="C220" i="30" s="1"/>
  <c r="R216" i="6"/>
  <c r="Q220" i="30" s="1"/>
  <c r="J216" i="6"/>
  <c r="I220" i="30" s="1"/>
  <c r="T136" i="7"/>
  <c r="G67"/>
  <c r="E14" i="29" s="1"/>
  <c r="M135" i="7"/>
  <c r="T99"/>
  <c r="R25" i="29" s="1"/>
  <c r="J99" i="7"/>
  <c r="H25" i="29" s="1"/>
  <c r="R131" i="7"/>
  <c r="P36" i="29" s="1"/>
  <c r="I131" i="7"/>
  <c r="G36" i="29" s="1"/>
  <c r="G136" i="7"/>
  <c r="L206"/>
  <c r="J208" i="30" s="1"/>
  <c r="E222" i="7"/>
  <c r="C219" i="30" s="1"/>
  <c r="G131" i="5"/>
  <c r="N97"/>
  <c r="M27" i="29" s="1"/>
  <c r="F97" i="5"/>
  <c r="E27" i="29" s="1"/>
  <c r="N127" i="5"/>
  <c r="M38" i="29" s="1"/>
  <c r="B94" i="4"/>
  <c r="K64"/>
  <c r="J17" i="29" s="1"/>
  <c r="H129" i="12"/>
  <c r="G57" i="31"/>
  <c r="I53"/>
  <c r="D57"/>
  <c r="M226" i="30"/>
  <c r="P82" i="13"/>
  <c r="G35" i="40"/>
  <c r="S56" i="33"/>
  <c r="R53" i="31"/>
  <c r="W60" i="33"/>
  <c r="V230" i="30" s="1"/>
  <c r="W38" i="33"/>
  <c r="W56"/>
  <c r="L129" i="12"/>
  <c r="I129"/>
  <c r="K125"/>
  <c r="J40" i="29" s="1"/>
  <c r="D192" i="12"/>
  <c r="C223" i="30" s="1"/>
  <c r="D99" i="11"/>
  <c r="C30" i="29" s="1"/>
  <c r="L130" i="11"/>
  <c r="K41" i="29" s="1"/>
  <c r="J180" i="11"/>
  <c r="I213" i="30" s="1"/>
  <c r="Q217" i="11"/>
  <c r="P201" i="30" s="1"/>
  <c r="R43" i="10"/>
  <c r="Q31" i="29" s="1"/>
  <c r="I64" i="10"/>
  <c r="H202" i="30" s="1"/>
  <c r="E58" i="31"/>
  <c r="D58"/>
  <c r="N234" i="30"/>
  <c r="L226"/>
  <c r="H23" i="33"/>
  <c r="Q263" i="7"/>
  <c r="O139" i="30" s="1"/>
  <c r="H263" i="7"/>
  <c r="F139" i="30" s="1"/>
  <c r="M254" i="7"/>
  <c r="K104" i="30" s="1"/>
  <c r="L251" i="7"/>
  <c r="J93" i="30" s="1"/>
  <c r="G276" i="7"/>
  <c r="M230"/>
  <c r="K16" i="30" s="1"/>
  <c r="F266" i="6"/>
  <c r="N260"/>
  <c r="M153" i="30" s="1"/>
  <c r="F260" i="6"/>
  <c r="E153" i="30" s="1"/>
  <c r="N248" i="6"/>
  <c r="F248"/>
  <c r="N236"/>
  <c r="M61" i="30" s="1"/>
  <c r="F236" i="6"/>
  <c r="E61" i="30" s="1"/>
  <c r="N233" i="6"/>
  <c r="M50" i="30" s="1"/>
  <c r="F233" i="6"/>
  <c r="E50" i="30" s="1"/>
  <c r="N230" i="6"/>
  <c r="M39" i="30" s="1"/>
  <c r="N224" i="6"/>
  <c r="M17" i="30" s="1"/>
  <c r="F224" i="6"/>
  <c r="E17" i="30" s="1"/>
  <c r="K209" i="5"/>
  <c r="J187" i="30" s="1"/>
  <c r="S206" i="5"/>
  <c r="R176" i="30" s="1"/>
  <c r="S203" i="5"/>
  <c r="R165" i="30" s="1"/>
  <c r="K203" i="5"/>
  <c r="J165" i="30" s="1"/>
  <c r="S194" i="5"/>
  <c r="R130" i="30" s="1"/>
  <c r="K191" i="5"/>
  <c r="J119" i="30" s="1"/>
  <c r="S188" i="5"/>
  <c r="R106" i="30" s="1"/>
  <c r="S185" i="5"/>
  <c r="R95" i="30" s="1"/>
  <c r="K185" i="5"/>
  <c r="J95" i="30" s="1"/>
  <c r="S182" i="5"/>
  <c r="R84" i="30" s="1"/>
  <c r="K182" i="5"/>
  <c r="J84" i="30" s="1"/>
  <c r="K179" i="5"/>
  <c r="J73" i="30" s="1"/>
  <c r="K173" i="5"/>
  <c r="J51" i="30" s="1"/>
  <c r="S170" i="5"/>
  <c r="R40" i="30" s="1"/>
  <c r="R167" i="5"/>
  <c r="Q29" i="30" s="1"/>
  <c r="P53" i="31"/>
  <c r="C133" i="7"/>
  <c r="D130" i="6"/>
  <c r="D131"/>
  <c r="L131"/>
  <c r="S127"/>
  <c r="R37" i="29" s="1"/>
  <c r="H155" i="6"/>
  <c r="G197" i="30" s="1"/>
  <c r="N216" i="6"/>
  <c r="M220" i="30" s="1"/>
  <c r="M216" i="6"/>
  <c r="L220" i="30" s="1"/>
  <c r="M136" i="7"/>
  <c r="L135"/>
  <c r="S136"/>
  <c r="S161"/>
  <c r="Q196" i="30" s="1"/>
  <c r="P206" i="7"/>
  <c r="N208" i="30" s="1"/>
  <c r="H206" i="7"/>
  <c r="F208" i="30" s="1"/>
  <c r="J131" i="5"/>
  <c r="J132" s="1"/>
  <c r="Q130"/>
  <c r="J114" i="33"/>
  <c r="O248" i="6"/>
  <c r="X263" i="12"/>
  <c r="L23" i="33"/>
  <c r="D58"/>
  <c r="H58"/>
  <c r="G56"/>
  <c r="D133" i="5"/>
  <c r="O276" i="7"/>
  <c r="O277"/>
  <c r="G83" i="10"/>
  <c r="G84" s="1"/>
  <c r="W39" i="41"/>
  <c r="H57" i="31"/>
  <c r="H59" s="1"/>
  <c r="H233" i="30" s="1"/>
  <c r="P95" i="12"/>
  <c r="O29" i="29" s="1"/>
  <c r="E129" i="12"/>
  <c r="I128"/>
  <c r="I66" i="11"/>
  <c r="H19" i="29" s="1"/>
  <c r="Q99" i="11"/>
  <c r="P30" i="29" s="1"/>
  <c r="O64" i="10"/>
  <c r="N202" i="30" s="1"/>
  <c r="L64" i="10"/>
  <c r="K202" i="30" s="1"/>
  <c r="C58" i="31"/>
  <c r="L58"/>
  <c r="C36"/>
  <c r="K58"/>
  <c r="N53"/>
  <c r="F53"/>
  <c r="J226" i="30"/>
  <c r="I91" i="33"/>
  <c r="L129"/>
  <c r="D168"/>
  <c r="G167"/>
  <c r="N263" i="7"/>
  <c r="L139" i="30" s="1"/>
  <c r="K230" i="7"/>
  <c r="I16" i="30" s="1"/>
  <c r="B95" i="5"/>
  <c r="X269" i="6"/>
  <c r="X266"/>
  <c r="L266"/>
  <c r="K175" i="30" s="1"/>
  <c r="X263" i="6"/>
  <c r="L263"/>
  <c r="K164" i="30" s="1"/>
  <c r="X260" i="6"/>
  <c r="L260"/>
  <c r="K153" i="30" s="1"/>
  <c r="L254" i="6"/>
  <c r="K129" i="30" s="1"/>
  <c r="X245" i="6"/>
  <c r="L245"/>
  <c r="K94" i="30" s="1"/>
  <c r="X242" i="6"/>
  <c r="L242"/>
  <c r="K83" i="30" s="1"/>
  <c r="X239" i="6"/>
  <c r="X236"/>
  <c r="L236"/>
  <c r="K61" i="30" s="1"/>
  <c r="L233" i="6"/>
  <c r="K50" i="30" s="1"/>
  <c r="X230" i="6"/>
  <c r="S114" i="33"/>
  <c r="E67" i="7"/>
  <c r="C14" i="29" s="1"/>
  <c r="E135" i="7"/>
  <c r="K67"/>
  <c r="I14" i="29" s="1"/>
  <c r="K136" i="7"/>
  <c r="I65" i="5"/>
  <c r="H16" i="29" s="1"/>
  <c r="I131" i="5"/>
  <c r="AR81" i="13"/>
  <c r="K244" i="30" s="1"/>
  <c r="L128" i="4"/>
  <c r="F112" i="39"/>
  <c r="BU94" i="13"/>
  <c r="H249" i="30" s="1"/>
  <c r="F102" i="39"/>
  <c r="F103"/>
  <c r="H68" i="13"/>
  <c r="G239" i="30" s="1"/>
  <c r="H112" i="39"/>
  <c r="J81" i="13"/>
  <c r="I243" i="30" s="1"/>
  <c r="J82" i="13"/>
  <c r="F121" i="39"/>
  <c r="AJ68" i="13"/>
  <c r="C240" i="30" s="1"/>
  <c r="AM68" i="13"/>
  <c r="F240" i="30" s="1"/>
  <c r="H105" i="39"/>
  <c r="J115"/>
  <c r="K124"/>
  <c r="AS94" i="13"/>
  <c r="L248" i="30" s="1"/>
  <c r="AK94" i="13"/>
  <c r="D248" i="30" s="1"/>
  <c r="BR68" i="13"/>
  <c r="E241" i="30" s="1"/>
  <c r="H107" i="39"/>
  <c r="H108"/>
  <c r="J109"/>
  <c r="BZ96" i="13"/>
  <c r="BR94"/>
  <c r="E249" i="30" s="1"/>
  <c r="BT94" i="13"/>
  <c r="G249" i="30" s="1"/>
  <c r="J126" i="39"/>
  <c r="Q131" i="7"/>
  <c r="O36" i="29" s="1"/>
  <c r="R40" i="41"/>
  <c r="R39" s="1"/>
  <c r="AD40" i="40"/>
  <c r="AD39" s="1"/>
  <c r="R135" i="7"/>
  <c r="AD7" i="40" s="1"/>
  <c r="R67" i="7"/>
  <c r="P14" i="29" s="1"/>
  <c r="H136" i="7"/>
  <c r="H131"/>
  <c r="F36" i="29" s="1"/>
  <c r="Q131" i="5"/>
  <c r="Q65"/>
  <c r="P16" i="29" s="1"/>
  <c r="L69" i="13"/>
  <c r="L70"/>
  <c r="K216" i="6"/>
  <c r="J220" i="30" s="1"/>
  <c r="G130" i="5"/>
  <c r="BR81" i="13"/>
  <c r="E245" i="30" s="1"/>
  <c r="BY95" i="13"/>
  <c r="L112" i="39"/>
  <c r="AM95" i="13"/>
  <c r="BV68"/>
  <c r="I241" i="30" s="1"/>
  <c r="J125" i="39"/>
  <c r="H130" i="5"/>
  <c r="H65"/>
  <c r="G16" i="29" s="1"/>
  <c r="L126" i="39"/>
  <c r="BX94" i="13"/>
  <c r="K249" i="30" s="1"/>
  <c r="L127" i="39"/>
  <c r="BX95" i="13"/>
  <c r="P131" i="5"/>
  <c r="J118" i="39"/>
  <c r="BZ68" i="13"/>
  <c r="M241" i="30" s="1"/>
  <c r="J112" i="39"/>
  <c r="BX96" i="13"/>
  <c r="I126" i="39"/>
  <c r="J108"/>
  <c r="BV95" i="13"/>
  <c r="AN68"/>
  <c r="G240" i="30" s="1"/>
  <c r="H67" i="7"/>
  <c r="F14" i="29" s="1"/>
  <c r="H135" i="7"/>
  <c r="N99"/>
  <c r="L25" i="29" s="1"/>
  <c r="N135" i="7"/>
  <c r="P65" i="5"/>
  <c r="O16" i="29" s="1"/>
  <c r="P130" i="5"/>
  <c r="R58" i="33"/>
  <c r="R222" i="7"/>
  <c r="P219" i="30" s="1"/>
  <c r="AO95" i="13"/>
  <c r="I124" i="39"/>
  <c r="AO94" i="13"/>
  <c r="H248" i="30" s="1"/>
  <c r="G95" i="13"/>
  <c r="L108" i="39"/>
  <c r="BZ81" i="13"/>
  <c r="M245" i="30" s="1"/>
  <c r="BW96" i="13"/>
  <c r="K127" i="39"/>
  <c r="BU95" i="13"/>
  <c r="J127" i="39"/>
  <c r="S131" i="7"/>
  <c r="Q36" i="29" s="1"/>
  <c r="N129" i="4"/>
  <c r="N130" s="1"/>
  <c r="L170" i="5"/>
  <c r="K40" i="30" s="1"/>
  <c r="L210" i="5"/>
  <c r="R58" i="31"/>
  <c r="BR95" i="13"/>
  <c r="P127" i="6"/>
  <c r="O37" i="29" s="1"/>
  <c r="D65" i="6"/>
  <c r="C15" i="29" s="1"/>
  <c r="M131" i="6"/>
  <c r="J135" i="7"/>
  <c r="J137" s="1"/>
  <c r="Q130" i="6"/>
  <c r="AD15" i="40" s="1"/>
  <c r="S130" i="6"/>
  <c r="K65"/>
  <c r="J15" i="29" s="1"/>
  <c r="K130" i="6"/>
  <c r="J134" i="11"/>
  <c r="J135" s="1"/>
  <c r="J66"/>
  <c r="I19" i="29" s="1"/>
  <c r="J234" i="30"/>
  <c r="Q142" i="32"/>
  <c r="O204" i="30" s="1"/>
  <c r="H234"/>
  <c r="K56" i="33"/>
  <c r="K59"/>
  <c r="N91"/>
  <c r="N115"/>
  <c r="K167"/>
  <c r="E260" i="7"/>
  <c r="C128" i="30" s="1"/>
  <c r="AA276" i="7"/>
  <c r="M251" i="6"/>
  <c r="L118" i="30" s="1"/>
  <c r="E251" i="6"/>
  <c r="D118" i="30" s="1"/>
  <c r="S251" i="6"/>
  <c r="R118" i="30" s="1"/>
  <c r="P251" i="6"/>
  <c r="O118" i="30" s="1"/>
  <c r="H251" i="6"/>
  <c r="G118" i="30" s="1"/>
  <c r="K251" i="6"/>
  <c r="J118" i="30" s="1"/>
  <c r="G251" i="6"/>
  <c r="F118" i="30" s="1"/>
  <c r="J251" i="6"/>
  <c r="I118" i="30" s="1"/>
  <c r="X251" i="6"/>
  <c r="K84" i="10"/>
  <c r="O130" i="5"/>
  <c r="R81" i="10"/>
  <c r="R82"/>
  <c r="R84" s="1"/>
  <c r="U45" i="41"/>
  <c r="W45"/>
  <c r="V38" i="33"/>
  <c r="W91"/>
  <c r="BZ94" i="13"/>
  <c r="M249" i="30" s="1"/>
  <c r="H125" i="39"/>
  <c r="N107"/>
  <c r="BZ95" i="13"/>
  <c r="G127" i="6"/>
  <c r="F37" i="29" s="1"/>
  <c r="F130" i="5"/>
  <c r="G270" i="12"/>
  <c r="G254"/>
  <c r="F132" i="30" s="1"/>
  <c r="D75" i="10"/>
  <c r="C134" i="30" s="1"/>
  <c r="D82" i="10"/>
  <c r="D84" s="1"/>
  <c r="S211" i="5"/>
  <c r="S271" i="4"/>
  <c r="K271"/>
  <c r="D224" i="12"/>
  <c r="C31" i="30" s="1"/>
  <c r="D271" i="12"/>
  <c r="K271"/>
  <c r="G272" i="11"/>
  <c r="J75" i="10"/>
  <c r="I134" i="30" s="1"/>
  <c r="J83" i="10"/>
  <c r="J84" s="1"/>
  <c r="H131" i="5"/>
  <c r="E128" i="4"/>
  <c r="H126" i="39"/>
  <c r="N126"/>
  <c r="L81" i="13"/>
  <c r="K243" i="30" s="1"/>
  <c r="W20" i="41"/>
  <c r="V56" i="33"/>
  <c r="W111"/>
  <c r="L131" i="7"/>
  <c r="J36" i="29" s="1"/>
  <c r="G135" i="7"/>
  <c r="F270" i="12"/>
  <c r="F72" i="10"/>
  <c r="E123" i="30" s="1"/>
  <c r="F82" i="10"/>
  <c r="E277" i="7"/>
  <c r="E245"/>
  <c r="C71" i="30" s="1"/>
  <c r="BT95" i="13"/>
  <c r="G123" i="39"/>
  <c r="H101"/>
  <c r="J111"/>
  <c r="L82" i="13"/>
  <c r="M124" i="39"/>
  <c r="J107"/>
  <c r="I125" i="12"/>
  <c r="H40" i="29" s="1"/>
  <c r="E125" i="12"/>
  <c r="D40" i="29" s="1"/>
  <c r="L36" i="31"/>
  <c r="T135" i="7"/>
  <c r="S132" i="5"/>
  <c r="Q210"/>
  <c r="Q212" s="1"/>
  <c r="Q66" i="11"/>
  <c r="P19" i="29" s="1"/>
  <c r="D128" i="4"/>
  <c r="BT96" i="13"/>
  <c r="AJ96"/>
  <c r="AR96"/>
  <c r="BS69"/>
  <c r="L57" i="31"/>
  <c r="J245" i="6"/>
  <c r="I94" i="30" s="1"/>
  <c r="G245" i="6"/>
  <c r="F94" i="30" s="1"/>
  <c r="Q245" i="6"/>
  <c r="P94" i="30" s="1"/>
  <c r="I245" i="6"/>
  <c r="H94" i="30" s="1"/>
  <c r="M245" i="6"/>
  <c r="L94" i="30" s="1"/>
  <c r="E245" i="6"/>
  <c r="D94" i="30" s="1"/>
  <c r="K245" i="6"/>
  <c r="J94" i="30" s="1"/>
  <c r="J239" i="6"/>
  <c r="I72" i="30" s="1"/>
  <c r="E239" i="6"/>
  <c r="D72" i="30" s="1"/>
  <c r="R239" i="6"/>
  <c r="Q72" i="30" s="1"/>
  <c r="Q239" i="6"/>
  <c r="P72" i="30" s="1"/>
  <c r="I239" i="6"/>
  <c r="H72" i="30" s="1"/>
  <c r="G239" i="6"/>
  <c r="F72" i="30" s="1"/>
  <c r="G269" i="6"/>
  <c r="F186" i="30" s="1"/>
  <c r="M269" i="6"/>
  <c r="L186" i="30" s="1"/>
  <c r="E269" i="6"/>
  <c r="D186" i="30" s="1"/>
  <c r="O269" i="6"/>
  <c r="N186" i="30" s="1"/>
  <c r="P269" i="6"/>
  <c r="O186" i="30" s="1"/>
  <c r="Q269" i="6"/>
  <c r="P186" i="30" s="1"/>
  <c r="K269" i="6"/>
  <c r="J186" i="30" s="1"/>
  <c r="D270" i="6"/>
  <c r="D242"/>
  <c r="C83" i="30" s="1"/>
  <c r="N269" i="6"/>
  <c r="M186" i="30" s="1"/>
  <c r="F245" i="6"/>
  <c r="E94" i="30" s="1"/>
  <c r="N239" i="6"/>
  <c r="M72" i="30" s="1"/>
  <c r="F239" i="6"/>
  <c r="E72" i="30" s="1"/>
  <c r="N270" i="6"/>
  <c r="F270"/>
  <c r="K167" i="5"/>
  <c r="J29" i="30" s="1"/>
  <c r="S164" i="5"/>
  <c r="R18" i="30" s="1"/>
  <c r="S210" i="5"/>
  <c r="P83" i="13"/>
  <c r="H38" i="33"/>
  <c r="H114"/>
  <c r="H116" s="1"/>
  <c r="H231" i="30" s="1"/>
  <c r="O63" i="12"/>
  <c r="N18" i="29" s="1"/>
  <c r="G125" i="12"/>
  <c r="E57" i="31"/>
  <c r="D23" i="33"/>
  <c r="D59"/>
  <c r="D60" s="1"/>
  <c r="D230" i="30" s="1"/>
  <c r="Q91" i="33"/>
  <c r="O55"/>
  <c r="P69" i="13"/>
  <c r="P70"/>
  <c r="P96"/>
  <c r="P95"/>
  <c r="M242" i="6"/>
  <c r="L83" i="30" s="1"/>
  <c r="K58" i="33"/>
  <c r="G211" i="5"/>
  <c r="H239" i="6"/>
  <c r="G72" i="30" s="1"/>
  <c r="V65" i="39"/>
  <c r="V64"/>
  <c r="G168" i="33"/>
  <c r="D227" i="4"/>
  <c r="C30" i="30" s="1"/>
  <c r="D251" i="4"/>
  <c r="C120" i="30" s="1"/>
  <c r="S266" i="4"/>
  <c r="R177" i="30" s="1"/>
  <c r="S263" i="4"/>
  <c r="R166" i="30" s="1"/>
  <c r="S257" i="4"/>
  <c r="R142" i="30" s="1"/>
  <c r="S254" i="4"/>
  <c r="R131" i="30" s="1"/>
  <c r="K251" i="4"/>
  <c r="J120" i="30" s="1"/>
  <c r="K245" i="4"/>
  <c r="J96" i="30" s="1"/>
  <c r="K239" i="4"/>
  <c r="J74" i="30" s="1"/>
  <c r="K233" i="4"/>
  <c r="J52" i="30" s="1"/>
  <c r="K227" i="4"/>
  <c r="J30" i="30" s="1"/>
  <c r="O81" i="10"/>
  <c r="G81"/>
  <c r="V83" i="39"/>
  <c r="V82"/>
  <c r="Q56"/>
  <c r="Q214" i="6"/>
  <c r="AD17" i="40" s="1"/>
  <c r="Q55" i="39"/>
  <c r="D185" i="5"/>
  <c r="C95" i="30" s="1"/>
  <c r="D209" i="5"/>
  <c r="C187" i="30" s="1"/>
  <c r="X269" i="4"/>
  <c r="X263"/>
  <c r="L260"/>
  <c r="K155" i="30" s="1"/>
  <c r="X257" i="4"/>
  <c r="X251"/>
  <c r="L248"/>
  <c r="K107" i="30" s="1"/>
  <c r="X245" i="4"/>
  <c r="X239"/>
  <c r="L236"/>
  <c r="K63" i="30" s="1"/>
  <c r="X233" i="4"/>
  <c r="X227"/>
  <c r="H251" i="12"/>
  <c r="G121" i="30" s="1"/>
  <c r="P242" i="12"/>
  <c r="O97" i="30" s="1"/>
  <c r="H242" i="12"/>
  <c r="G97" i="30" s="1"/>
  <c r="P236" i="12"/>
  <c r="O75" i="30" s="1"/>
  <c r="H236" i="12"/>
  <c r="G75" i="30" s="1"/>
  <c r="E22" i="40"/>
  <c r="Y22"/>
  <c r="O23"/>
  <c r="E26"/>
  <c r="S28"/>
  <c r="AW28" s="1"/>
  <c r="G31"/>
  <c r="U33"/>
  <c r="AE36"/>
  <c r="U39"/>
  <c r="N130" i="6"/>
  <c r="Q64" i="4"/>
  <c r="P17" i="29" s="1"/>
  <c r="X227" i="12"/>
  <c r="L227"/>
  <c r="K42" i="30" s="1"/>
  <c r="X224" i="12"/>
  <c r="L224"/>
  <c r="K31" i="30" s="1"/>
  <c r="X221" i="12"/>
  <c r="L221"/>
  <c r="K20" i="30" s="1"/>
  <c r="E15" i="40"/>
  <c r="U15"/>
  <c r="M22"/>
  <c r="G23"/>
  <c r="Y23" s="1"/>
  <c r="M33"/>
  <c r="Q58" i="33"/>
  <c r="AD8" i="40" s="1"/>
  <c r="N59" i="33"/>
  <c r="N60" s="1"/>
  <c r="N230" i="30" s="1"/>
  <c r="X251" i="12"/>
  <c r="AK18" i="40"/>
  <c r="AK29"/>
  <c r="R38" i="33"/>
  <c r="T38"/>
  <c r="T56"/>
  <c r="S74"/>
  <c r="U91"/>
  <c r="U111"/>
  <c r="F269" i="4"/>
  <c r="E188" i="30" s="1"/>
  <c r="N260" i="4"/>
  <c r="M155" i="30" s="1"/>
  <c r="D242" i="12"/>
  <c r="C97" i="30" s="1"/>
  <c r="R263" i="12"/>
  <c r="Q167" i="30" s="1"/>
  <c r="J257" i="12"/>
  <c r="I143" i="30" s="1"/>
  <c r="R224" i="12"/>
  <c r="Q31" i="30" s="1"/>
  <c r="J224" i="12"/>
  <c r="I31" i="30" s="1"/>
  <c r="R221" i="12"/>
  <c r="Q20" i="30" s="1"/>
  <c r="J221" i="12"/>
  <c r="I20" i="30" s="1"/>
  <c r="S81" i="10"/>
  <c r="K81"/>
  <c r="AK48" i="40"/>
  <c r="I106" i="39"/>
  <c r="X211" i="5"/>
  <c r="O99" i="7"/>
  <c r="M25" i="29" s="1"/>
  <c r="O131" i="7"/>
  <c r="M36" i="29" s="1"/>
  <c r="O161" i="7"/>
  <c r="M196" i="30" s="1"/>
  <c r="AB48" i="40"/>
  <c r="AC48" s="1"/>
  <c r="E22" i="41"/>
  <c r="Q129" i="12"/>
  <c r="P34" i="41" s="1"/>
  <c r="Q34" s="1"/>
  <c r="J168" i="33"/>
  <c r="J169" s="1"/>
  <c r="J232" i="30" s="1"/>
  <c r="Q132" i="31"/>
  <c r="Q203" i="30" s="1"/>
  <c r="H70" i="13"/>
  <c r="E69"/>
  <c r="M119" i="39"/>
  <c r="E94" i="13"/>
  <c r="D247" i="30" s="1"/>
  <c r="M115" i="39"/>
  <c r="AL81" i="13"/>
  <c r="E244" i="30" s="1"/>
  <c r="AU96" i="13"/>
  <c r="AL94"/>
  <c r="E248" i="30" s="1"/>
  <c r="I108" i="39"/>
  <c r="BW69" i="13"/>
  <c r="BQ94"/>
  <c r="D249" i="30" s="1"/>
  <c r="Q135" i="7"/>
  <c r="E251" i="12"/>
  <c r="D121" i="30" s="1"/>
  <c r="X182" i="5"/>
  <c r="X210"/>
  <c r="X164"/>
  <c r="X271" i="6"/>
  <c r="X83" i="10"/>
  <c r="X270" i="12"/>
  <c r="X82" i="10"/>
  <c r="X270" i="4"/>
  <c r="X270" i="6"/>
  <c r="N108" i="39"/>
  <c r="BW81" i="13"/>
  <c r="J245" i="30" s="1"/>
  <c r="M251" i="12"/>
  <c r="L121" i="30" s="1"/>
  <c r="D81" i="13"/>
  <c r="C243" i="30" s="1"/>
  <c r="G101" i="39"/>
  <c r="I70" i="13"/>
  <c r="E68"/>
  <c r="D239" i="30" s="1"/>
  <c r="M81" i="13"/>
  <c r="L243" i="30" s="1"/>
  <c r="E81" i="13"/>
  <c r="D243" i="30" s="1"/>
  <c r="K110" i="39"/>
  <c r="K95" i="13"/>
  <c r="G120" i="39"/>
  <c r="M120"/>
  <c r="I120"/>
  <c r="E96" i="13"/>
  <c r="J96"/>
  <c r="F95"/>
  <c r="L95"/>
  <c r="H94"/>
  <c r="G247" i="30" s="1"/>
  <c r="O94" i="13"/>
  <c r="N247" i="30" s="1"/>
  <c r="J106" i="39"/>
  <c r="AL69" i="13"/>
  <c r="L105" i="39"/>
  <c r="H104"/>
  <c r="M104"/>
  <c r="I105"/>
  <c r="AK68" i="13"/>
  <c r="D240" i="30" s="1"/>
  <c r="K104" i="39"/>
  <c r="AM70" i="13"/>
  <c r="AJ81"/>
  <c r="C244" i="30" s="1"/>
  <c r="AU82" i="13"/>
  <c r="AQ83"/>
  <c r="L113" i="39"/>
  <c r="AN81" i="13"/>
  <c r="G244" i="30" s="1"/>
  <c r="J114" i="39"/>
  <c r="AL82" i="13"/>
  <c r="AS83"/>
  <c r="I113" i="39"/>
  <c r="AK82" i="13"/>
  <c r="AJ95"/>
  <c r="L122" i="39"/>
  <c r="AU95" i="13"/>
  <c r="AP96"/>
  <c r="AL95"/>
  <c r="BP69"/>
  <c r="L107" i="39"/>
  <c r="BS68" i="13"/>
  <c r="F241" i="30" s="1"/>
  <c r="M108" i="39"/>
  <c r="I109"/>
  <c r="K108"/>
  <c r="BP82" i="13"/>
  <c r="N118" i="39"/>
  <c r="J117"/>
  <c r="BR82" i="13"/>
  <c r="BS96"/>
  <c r="O36" i="40"/>
  <c r="J101" i="39"/>
  <c r="F70" i="13"/>
  <c r="L101" i="39"/>
  <c r="H102"/>
  <c r="O69" i="13"/>
  <c r="L83"/>
  <c r="H111" i="39"/>
  <c r="O112"/>
  <c r="J110"/>
  <c r="AQ96" i="13"/>
  <c r="G124" i="39"/>
  <c r="AO96" i="13"/>
  <c r="AK96"/>
  <c r="H109" i="39"/>
  <c r="G112"/>
  <c r="AM83" i="13"/>
  <c r="G114" i="39"/>
  <c r="H122"/>
  <c r="AN96" i="13"/>
  <c r="L118" i="39"/>
  <c r="H116"/>
  <c r="M118"/>
  <c r="BU83" i="13"/>
  <c r="BQ83"/>
  <c r="BW83"/>
  <c r="BS82"/>
  <c r="BP95"/>
  <c r="K125" i="39"/>
  <c r="K126"/>
  <c r="BY96" i="13"/>
  <c r="BU96"/>
  <c r="AB39" i="40"/>
  <c r="AC39" s="1"/>
  <c r="AU81" i="13"/>
  <c r="N244" i="30" s="1"/>
  <c r="K115" i="39"/>
  <c r="M105"/>
  <c r="AR95" i="13"/>
  <c r="F111" i="39"/>
  <c r="F83" i="13"/>
  <c r="J95"/>
  <c r="L96"/>
  <c r="H120" i="39"/>
  <c r="AO70" i="13"/>
  <c r="AM69"/>
  <c r="K106" i="39"/>
  <c r="AQ81" i="13"/>
  <c r="J244" i="30" s="1"/>
  <c r="J68" i="13"/>
  <c r="I239" i="30" s="1"/>
  <c r="F94" i="13"/>
  <c r="E247" i="30" s="1"/>
  <c r="H81" i="13"/>
  <c r="G243" i="30" s="1"/>
  <c r="O68" i="13"/>
  <c r="N239" i="30" s="1"/>
  <c r="AS81" i="13"/>
  <c r="L244" i="30" s="1"/>
  <c r="BY81" i="13"/>
  <c r="L245" i="30" s="1"/>
  <c r="BP94" i="13"/>
  <c r="C249" i="30" s="1"/>
  <c r="I118" i="39"/>
  <c r="J104"/>
  <c r="H69" i="13"/>
  <c r="K96"/>
  <c r="L103" i="39"/>
  <c r="M109"/>
  <c r="J83" i="13"/>
  <c r="L120" i="39"/>
  <c r="L111"/>
  <c r="L115"/>
  <c r="H110"/>
  <c r="P81" i="10"/>
  <c r="L81"/>
  <c r="E16" i="40"/>
  <c r="G22"/>
  <c r="AA22"/>
  <c r="G26"/>
  <c r="W26"/>
  <c r="AI45"/>
  <c r="P38" i="33"/>
  <c r="AO83" i="13"/>
  <c r="E273" i="11"/>
  <c r="C116" i="33"/>
  <c r="C231" i="30" s="1"/>
  <c r="M99" i="7"/>
  <c r="K25" i="29" s="1"/>
  <c r="I99" i="7"/>
  <c r="G25" i="29" s="1"/>
  <c r="M128" i="4"/>
  <c r="G129" i="12"/>
  <c r="G130" s="1"/>
  <c r="I99" i="11"/>
  <c r="H30" i="29" s="1"/>
  <c r="F84" i="10"/>
  <c r="P64" i="4"/>
  <c r="O17" i="29" s="1"/>
  <c r="F129" i="4"/>
  <c r="Q83" i="10"/>
  <c r="I83"/>
  <c r="M163" i="30"/>
  <c r="L273" i="11"/>
  <c r="G99" i="7"/>
  <c r="E25" i="29" s="1"/>
  <c r="N131" i="5"/>
  <c r="I130"/>
  <c r="E65"/>
  <c r="D16" i="29" s="1"/>
  <c r="G128" i="4"/>
  <c r="S155" i="5"/>
  <c r="R198" i="30" s="1"/>
  <c r="S197" i="5"/>
  <c r="R141" i="30" s="1"/>
  <c r="O197" i="5"/>
  <c r="N141" i="30" s="1"/>
  <c r="R269" i="12"/>
  <c r="Q189" i="30" s="1"/>
  <c r="G94" i="13"/>
  <c r="F247" i="30" s="1"/>
  <c r="AS68" i="13"/>
  <c r="L240" i="30" s="1"/>
  <c r="BT81" i="13"/>
  <c r="G245" i="30" s="1"/>
  <c r="AN94" i="13"/>
  <c r="G248" i="30" s="1"/>
  <c r="AO81" i="13"/>
  <c r="H244" i="30" s="1"/>
  <c r="AP68" i="13"/>
  <c r="I240" i="30" s="1"/>
  <c r="I94" i="13"/>
  <c r="H247" i="30" s="1"/>
  <c r="BU81" i="13"/>
  <c r="H245" i="30" s="1"/>
  <c r="AO68" i="13"/>
  <c r="H240" i="30" s="1"/>
  <c r="J94" i="13"/>
  <c r="I247" i="30" s="1"/>
  <c r="I68" i="13"/>
  <c r="H239" i="30" s="1"/>
  <c r="BP68" i="13"/>
  <c r="C241" i="30" s="1"/>
  <c r="AJ94" i="13"/>
  <c r="C248" i="30" s="1"/>
  <c r="K107" i="39"/>
  <c r="I117"/>
  <c r="AP95" i="13"/>
  <c r="F120" i="39"/>
  <c r="H103"/>
  <c r="K113"/>
  <c r="K121"/>
  <c r="J113"/>
  <c r="L102"/>
  <c r="BT82" i="13"/>
  <c r="BY69"/>
  <c r="AS82"/>
  <c r="I104" i="39"/>
  <c r="M121"/>
  <c r="H123"/>
  <c r="F101"/>
  <c r="G96" i="13"/>
  <c r="L110" i="39"/>
  <c r="M125"/>
  <c r="BX69" i="13"/>
  <c r="AN69"/>
  <c r="N117" i="39"/>
  <c r="H83" i="13"/>
  <c r="BY82"/>
  <c r="O82"/>
  <c r="BV82"/>
  <c r="BW95"/>
  <c r="L117" i="39"/>
  <c r="I115"/>
  <c r="BW82" i="13"/>
  <c r="L123" i="39"/>
  <c r="AM82" i="13"/>
  <c r="BY70"/>
  <c r="O110" i="39"/>
  <c r="E70" i="13"/>
  <c r="K70"/>
  <c r="G69"/>
  <c r="G82"/>
  <c r="I111" i="39"/>
  <c r="I114"/>
  <c r="AK83" i="13"/>
  <c r="AL96"/>
  <c r="AQ68"/>
  <c r="J240" i="30" s="1"/>
  <c r="L94" i="13"/>
  <c r="K247" i="30" s="1"/>
  <c r="AR94" i="13"/>
  <c r="K248" i="30" s="1"/>
  <c r="M94" i="13"/>
  <c r="L247" i="30" s="1"/>
  <c r="BY68" i="13"/>
  <c r="L241" i="30" s="1"/>
  <c r="AU94" i="13"/>
  <c r="N248" i="30" s="1"/>
  <c r="I116" i="39"/>
  <c r="J123"/>
  <c r="AP69" i="13"/>
  <c r="K114" i="39"/>
  <c r="K120"/>
  <c r="J120"/>
  <c r="H118"/>
  <c r="M114"/>
  <c r="AO69" i="13"/>
  <c r="M95"/>
  <c r="H124" i="39"/>
  <c r="L119"/>
  <c r="AR82" i="13"/>
  <c r="G106" i="39"/>
  <c r="BU69" i="13"/>
  <c r="L116" i="39"/>
  <c r="K116"/>
  <c r="L124"/>
  <c r="AN83" i="13"/>
  <c r="H114" i="39"/>
  <c r="AR68" i="13"/>
  <c r="K240" i="30" s="1"/>
  <c r="J122" i="39"/>
  <c r="AQ82" i="13"/>
  <c r="M113" i="39"/>
  <c r="BQ82" i="13"/>
  <c r="G104" i="39"/>
  <c r="G113"/>
  <c r="D96" i="13"/>
  <c r="J102" i="39"/>
  <c r="J69" i="13"/>
  <c r="F110" i="39"/>
  <c r="F82" i="13"/>
  <c r="O121" i="39"/>
  <c r="H121"/>
  <c r="AS70" i="13"/>
  <c r="M106" i="39"/>
  <c r="AK69" i="13"/>
  <c r="AK70"/>
  <c r="AQ69"/>
  <c r="AQ70"/>
  <c r="K105" i="39"/>
  <c r="G105"/>
  <c r="AN70" i="13"/>
  <c r="G115" i="39"/>
  <c r="AS96" i="13"/>
  <c r="M123" i="39"/>
  <c r="K118"/>
  <c r="AB12" i="40"/>
  <c r="AC12" s="1"/>
  <c r="P12" i="41"/>
  <c r="Q12" s="1"/>
  <c r="R18"/>
  <c r="AD18" i="40"/>
  <c r="O122" i="39"/>
  <c r="O123"/>
  <c r="N64" i="4"/>
  <c r="M17" i="29" s="1"/>
  <c r="F64" i="4"/>
  <c r="E17" i="29" s="1"/>
  <c r="I63" i="12"/>
  <c r="H18" i="29" s="1"/>
  <c r="E138" i="7"/>
  <c r="M197" i="5"/>
  <c r="L141" i="30" s="1"/>
  <c r="Q36" i="31"/>
  <c r="P111" i="33"/>
  <c r="O59" i="31"/>
  <c r="O233" i="30" s="1"/>
  <c r="T194" i="4"/>
  <c r="S222" i="30" s="1"/>
  <c r="U222" i="7"/>
  <c r="S219" i="30" s="1"/>
  <c r="T130" i="12"/>
  <c r="D64" i="4"/>
  <c r="C17" i="29" s="1"/>
  <c r="I64" i="4"/>
  <c r="H17" i="29" s="1"/>
  <c r="M26" i="40"/>
  <c r="U26"/>
  <c r="K27"/>
  <c r="AK27" s="1"/>
  <c r="S40"/>
  <c r="AW40" s="1"/>
  <c r="S41"/>
  <c r="AW41" s="1"/>
  <c r="K46"/>
  <c r="AK46" s="1"/>
  <c r="S46"/>
  <c r="AW46" s="1"/>
  <c r="G47"/>
  <c r="O47"/>
  <c r="W49"/>
  <c r="P23" i="33"/>
  <c r="R12" i="41"/>
  <c r="G63" i="12"/>
  <c r="K63"/>
  <c r="J18" i="29" s="1"/>
  <c r="AI25" i="40"/>
  <c r="N23" i="33"/>
  <c r="U206" i="7"/>
  <c r="S208" i="30" s="1"/>
  <c r="O217" i="11"/>
  <c r="N201" i="30" s="1"/>
  <c r="K15" i="40"/>
  <c r="AK15" s="1"/>
  <c r="Q15"/>
  <c r="AA15"/>
  <c r="S16"/>
  <c r="AW16" s="1"/>
  <c r="K21"/>
  <c r="AK21" s="1"/>
  <c r="R20"/>
  <c r="AA21"/>
  <c r="I22"/>
  <c r="Q22"/>
  <c r="K23"/>
  <c r="AC23" s="1"/>
  <c r="I26"/>
  <c r="Q26"/>
  <c r="Y26"/>
  <c r="W27"/>
  <c r="E28"/>
  <c r="S29"/>
  <c r="AW29" s="1"/>
  <c r="O30"/>
  <c r="G34"/>
  <c r="W33"/>
  <c r="AE35"/>
  <c r="K36"/>
  <c r="X33"/>
  <c r="Y33" s="1"/>
  <c r="G40"/>
  <c r="G42"/>
  <c r="G46"/>
  <c r="O46"/>
  <c r="Q129" i="33"/>
  <c r="F69" i="13"/>
  <c r="J70"/>
  <c r="J103" i="39"/>
  <c r="O102"/>
  <c r="O101"/>
  <c r="O70" i="13"/>
  <c r="AS69"/>
  <c r="AM96"/>
  <c r="AP70"/>
  <c r="O111" i="39"/>
  <c r="D69" i="13"/>
  <c r="D95"/>
  <c r="I96"/>
  <c r="K119" i="39"/>
  <c r="H119"/>
  <c r="J119"/>
  <c r="AJ70" i="13"/>
  <c r="AR70"/>
  <c r="AL70"/>
  <c r="BX83"/>
  <c r="BS83"/>
  <c r="BY83"/>
  <c r="P10" i="41"/>
  <c r="Q10" s="1"/>
  <c r="P99" i="7"/>
  <c r="N25" i="29" s="1"/>
  <c r="O155" i="6"/>
  <c r="N197" i="30" s="1"/>
  <c r="K11" i="41"/>
  <c r="I28"/>
  <c r="G41"/>
  <c r="AI20" i="40"/>
  <c r="N56" i="33"/>
  <c r="Q56"/>
  <c r="P74"/>
  <c r="AM46" i="40"/>
  <c r="AJ39"/>
  <c r="AM29"/>
  <c r="R59" i="33"/>
  <c r="W114"/>
  <c r="W115"/>
  <c r="T132" i="5"/>
  <c r="Q81" i="10"/>
  <c r="M81"/>
  <c r="Q168" i="33"/>
  <c r="P22" i="41" s="1"/>
  <c r="N74" i="33"/>
  <c r="AE10" i="40"/>
  <c r="L64" i="4"/>
  <c r="K17" i="29" s="1"/>
  <c r="O67" i="7"/>
  <c r="M14" i="29" s="1"/>
  <c r="H81" i="10"/>
  <c r="O132" i="31"/>
  <c r="O203" i="30" s="1"/>
  <c r="P121" i="39"/>
  <c r="E33" i="41"/>
  <c r="S111" i="33"/>
  <c r="P91"/>
  <c r="S91"/>
  <c r="R36" i="31"/>
  <c r="T131" i="6"/>
  <c r="U136" i="7"/>
  <c r="AN7" i="40" s="1"/>
  <c r="I129" i="4"/>
  <c r="D129"/>
  <c r="L96"/>
  <c r="K28" i="29" s="1"/>
  <c r="S128" i="4"/>
  <c r="K125"/>
  <c r="J39" i="29" s="1"/>
  <c r="R125" i="4"/>
  <c r="Q39" i="29" s="1"/>
  <c r="J125" i="4"/>
  <c r="I39" i="29" s="1"/>
  <c r="L176" i="4"/>
  <c r="K211" i="30" s="1"/>
  <c r="S176" i="4"/>
  <c r="R211" i="30" s="1"/>
  <c r="S194" i="4"/>
  <c r="R222" i="30" s="1"/>
  <c r="K194" i="4"/>
  <c r="J222" i="30" s="1"/>
  <c r="L63" i="12"/>
  <c r="K18" i="29" s="1"/>
  <c r="R197" i="5"/>
  <c r="Q141" i="30" s="1"/>
  <c r="V23" i="33"/>
  <c r="Q28" i="40"/>
  <c r="G37"/>
  <c r="O26"/>
  <c r="E11" i="41"/>
  <c r="F39" i="40"/>
  <c r="C20"/>
  <c r="AG20" s="1"/>
  <c r="I21"/>
  <c r="Y21"/>
  <c r="N20"/>
  <c r="G27"/>
  <c r="K37"/>
  <c r="K43"/>
  <c r="G48"/>
  <c r="W48"/>
  <c r="N33"/>
  <c r="O33" s="1"/>
  <c r="F20"/>
  <c r="R25"/>
  <c r="N39"/>
  <c r="S48"/>
  <c r="H14" i="41"/>
  <c r="T25" i="40"/>
  <c r="V45"/>
  <c r="F45"/>
  <c r="O16"/>
  <c r="AK16" s="1"/>
  <c r="J33"/>
  <c r="Z39"/>
  <c r="F39" i="41"/>
  <c r="R45" i="40"/>
  <c r="R39"/>
  <c r="C14"/>
  <c r="AG14" s="1"/>
  <c r="E21"/>
  <c r="U21"/>
  <c r="K22"/>
  <c r="AK22" s="1"/>
  <c r="K26"/>
  <c r="AK26" s="1"/>
  <c r="G28"/>
  <c r="G43"/>
  <c r="H45"/>
  <c r="I45" s="1"/>
  <c r="W46"/>
  <c r="H20" i="41"/>
  <c r="D45"/>
  <c r="E45" s="1"/>
  <c r="N45" i="40"/>
  <c r="S47"/>
  <c r="AW47" s="1"/>
  <c r="G18"/>
  <c r="Y18" s="1"/>
  <c r="P33"/>
  <c r="Q33" s="1"/>
  <c r="N14"/>
  <c r="V14"/>
  <c r="P20"/>
  <c r="M28"/>
  <c r="H14"/>
  <c r="H45" i="41"/>
  <c r="I45" s="1"/>
  <c r="L45" i="40"/>
  <c r="M45" s="1"/>
  <c r="N25"/>
  <c r="L20"/>
  <c r="M34"/>
  <c r="W18"/>
  <c r="AA26"/>
  <c r="E16" i="41"/>
  <c r="J39" i="40"/>
  <c r="S27"/>
  <c r="AW27" s="1"/>
  <c r="AA16"/>
  <c r="I46"/>
  <c r="G36" i="41"/>
  <c r="D25" i="40"/>
  <c r="W21"/>
  <c r="S34"/>
  <c r="AW34" s="1"/>
  <c r="D45"/>
  <c r="G21"/>
  <c r="O27"/>
  <c r="T14"/>
  <c r="Y16"/>
  <c r="Q16"/>
  <c r="F25"/>
  <c r="K47"/>
  <c r="M15"/>
  <c r="O21"/>
  <c r="J25"/>
  <c r="AA27"/>
  <c r="O28"/>
  <c r="Z33"/>
  <c r="F33"/>
  <c r="H25"/>
  <c r="J14" i="41"/>
  <c r="P25" i="40"/>
  <c r="M42"/>
  <c r="Z14"/>
  <c r="Q23"/>
  <c r="AG28"/>
  <c r="E34" i="41"/>
  <c r="K16"/>
  <c r="K34" i="40"/>
  <c r="AK34" s="1"/>
  <c r="C25"/>
  <c r="AG25" s="1"/>
  <c r="H33"/>
  <c r="I33" s="1"/>
  <c r="G30"/>
  <c r="G21" i="41"/>
  <c r="K31" i="40"/>
  <c r="W34"/>
  <c r="G29"/>
  <c r="Q36"/>
  <c r="U34"/>
  <c r="H33" i="41"/>
  <c r="I33" s="1"/>
  <c r="S30" i="40"/>
  <c r="AW30" s="1"/>
  <c r="P45"/>
  <c r="Q45" s="1"/>
  <c r="D20"/>
  <c r="J45"/>
  <c r="O35"/>
  <c r="AK35" s="1"/>
  <c r="Z20"/>
  <c r="I23"/>
  <c r="AA23" s="1"/>
  <c r="S26"/>
  <c r="AW26" s="1"/>
  <c r="F14"/>
  <c r="H20"/>
  <c r="O22"/>
  <c r="I28"/>
  <c r="K35"/>
  <c r="I8" i="41"/>
  <c r="E21"/>
  <c r="E26"/>
  <c r="C25"/>
  <c r="F45"/>
  <c r="X197" i="5"/>
  <c r="L197"/>
  <c r="K141" i="30" s="1"/>
  <c r="BU70" i="13"/>
  <c r="J116" i="39"/>
  <c r="BP70" i="13"/>
  <c r="BR70"/>
  <c r="BZ70"/>
  <c r="BP96"/>
  <c r="BW70"/>
  <c r="O103" i="39"/>
  <c r="AJ83" i="13"/>
  <c r="AL9" i="40" s="1"/>
  <c r="BT69" i="13"/>
  <c r="O115" i="39"/>
  <c r="M107"/>
  <c r="BQ70" i="13"/>
  <c r="BZ83"/>
  <c r="BR83"/>
  <c r="BV70"/>
  <c r="BP83"/>
  <c r="I102" i="39"/>
  <c r="K68" i="13"/>
  <c r="J239" i="30" s="1"/>
  <c r="M68" i="13"/>
  <c r="L239" i="30" s="1"/>
  <c r="K83" i="13"/>
  <c r="M110" i="39"/>
  <c r="M96" i="13"/>
  <c r="E95"/>
  <c r="G121" i="39"/>
  <c r="L121"/>
  <c r="O119"/>
  <c r="F96" i="13"/>
  <c r="H106" i="39"/>
  <c r="J105"/>
  <c r="BS70" i="13"/>
  <c r="BT83"/>
  <c r="K117" i="39"/>
  <c r="O120"/>
  <c r="AR83" i="13"/>
  <c r="BX70"/>
  <c r="E63" i="12"/>
  <c r="M63"/>
  <c r="Q272" i="4"/>
  <c r="P67" i="7"/>
  <c r="N14" i="29" s="1"/>
  <c r="P102" i="39"/>
  <c r="D14" i="40"/>
  <c r="Q21"/>
  <c r="J20"/>
  <c r="O15"/>
  <c r="I15"/>
  <c r="X45"/>
  <c r="Y45" s="1"/>
  <c r="AA35"/>
  <c r="K28"/>
  <c r="AK28" s="1"/>
  <c r="Q27"/>
  <c r="G41"/>
  <c r="P36" i="31"/>
  <c r="F14" i="41"/>
  <c r="G27"/>
  <c r="I48"/>
  <c r="AI39" i="40"/>
  <c r="AL45"/>
  <c r="Q57" i="31"/>
  <c r="P59" i="33"/>
  <c r="AD48" i="40"/>
  <c r="P226" i="30"/>
  <c r="Q58" i="31"/>
  <c r="AL14" i="40"/>
  <c r="S142" i="32"/>
  <c r="M129" i="4"/>
  <c r="E129"/>
  <c r="P96"/>
  <c r="O28" i="29" s="1"/>
  <c r="H129" i="4"/>
  <c r="O128"/>
  <c r="G96"/>
  <c r="F28" i="29" s="1"/>
  <c r="O125" i="4"/>
  <c r="N39" i="29" s="1"/>
  <c r="G129" i="4"/>
  <c r="N125"/>
  <c r="M39" i="29" s="1"/>
  <c r="F128" i="4"/>
  <c r="P176"/>
  <c r="O211" i="30" s="1"/>
  <c r="H176" i="4"/>
  <c r="G211" i="30" s="1"/>
  <c r="O176" i="4"/>
  <c r="N211" i="30" s="1"/>
  <c r="G176" i="4"/>
  <c r="F211" i="30" s="1"/>
  <c r="P194" i="4"/>
  <c r="O222" i="30" s="1"/>
  <c r="H194" i="4"/>
  <c r="G222" i="30" s="1"/>
  <c r="G194" i="4"/>
  <c r="F222" i="30" s="1"/>
  <c r="N216" i="4"/>
  <c r="M199" i="30" s="1"/>
  <c r="D216" i="4"/>
  <c r="C199" i="30" s="1"/>
  <c r="T269" i="6"/>
  <c r="S186" i="30" s="1"/>
  <c r="U269" i="6"/>
  <c r="T186" i="30" s="1"/>
  <c r="T266" i="6"/>
  <c r="S175" i="30" s="1"/>
  <c r="U266" i="6"/>
  <c r="T175" i="30" s="1"/>
  <c r="T263" i="6"/>
  <c r="S164" i="30" s="1"/>
  <c r="U263" i="6"/>
  <c r="T164" i="30" s="1"/>
  <c r="T260" i="6"/>
  <c r="S153" i="30" s="1"/>
  <c r="U260" i="6"/>
  <c r="T153" i="30" s="1"/>
  <c r="T257" i="6"/>
  <c r="S140" i="30" s="1"/>
  <c r="U257" i="6"/>
  <c r="T140" i="30" s="1"/>
  <c r="T254" i="6"/>
  <c r="S129" i="30" s="1"/>
  <c r="U254" i="6"/>
  <c r="T129" i="30" s="1"/>
  <c r="T251" i="6"/>
  <c r="S118" i="30" s="1"/>
  <c r="U251" i="6"/>
  <c r="T118" i="30" s="1"/>
  <c r="T248" i="6"/>
  <c r="U248"/>
  <c r="T245"/>
  <c r="S94" i="30" s="1"/>
  <c r="U245" i="6"/>
  <c r="T94" i="30" s="1"/>
  <c r="T242" i="6"/>
  <c r="S83" i="30" s="1"/>
  <c r="U242" i="6"/>
  <c r="T83" i="30" s="1"/>
  <c r="T239" i="6"/>
  <c r="S72" i="30" s="1"/>
  <c r="U239" i="6"/>
  <c r="T72" i="30" s="1"/>
  <c r="T236" i="6"/>
  <c r="S61" i="30" s="1"/>
  <c r="U236" i="6"/>
  <c r="T61" i="30" s="1"/>
  <c r="T233" i="6"/>
  <c r="S50" i="30" s="1"/>
  <c r="U233" i="6"/>
  <c r="T50" i="30" s="1"/>
  <c r="T230" i="6"/>
  <c r="S39" i="30" s="1"/>
  <c r="U230" i="6"/>
  <c r="T39" i="30" s="1"/>
  <c r="T227" i="6"/>
  <c r="S28" i="30" s="1"/>
  <c r="U227" i="6"/>
  <c r="T28" i="30" s="1"/>
  <c r="P270" i="4"/>
  <c r="V230" i="12"/>
  <c r="U53" i="30" s="1"/>
  <c r="W230" i="12"/>
  <c r="V53" i="30" s="1"/>
  <c r="R9" i="41"/>
  <c r="AD9" i="40"/>
  <c r="O90" i="33"/>
  <c r="P101" i="39"/>
  <c r="P111"/>
  <c r="W16" i="40"/>
  <c r="I15" i="41"/>
  <c r="AG45" i="40"/>
  <c r="P63" i="12"/>
  <c r="O18" i="29" s="1"/>
  <c r="L269" i="4"/>
  <c r="K188" i="30" s="1"/>
  <c r="X266" i="4"/>
  <c r="L263"/>
  <c r="K166" i="30" s="1"/>
  <c r="L257" i="4"/>
  <c r="K142" i="30" s="1"/>
  <c r="X254" i="4"/>
  <c r="L251"/>
  <c r="K120" i="30" s="1"/>
  <c r="L245" i="4"/>
  <c r="K96" i="30" s="1"/>
  <c r="X242" i="4"/>
  <c r="L239"/>
  <c r="K74" i="30" s="1"/>
  <c r="L233" i="4"/>
  <c r="K52" i="30" s="1"/>
  <c r="X230" i="4"/>
  <c r="L227"/>
  <c r="K30" i="30" s="1"/>
  <c r="P110" i="39"/>
  <c r="G15" i="40"/>
  <c r="G17"/>
  <c r="Y17" s="1"/>
  <c r="W15"/>
  <c r="X20"/>
  <c r="S42"/>
  <c r="Q74" i="33"/>
  <c r="Q167"/>
  <c r="F33" i="41"/>
  <c r="G33" s="1"/>
  <c r="K35"/>
  <c r="G40"/>
  <c r="P114" i="33"/>
  <c r="AM48" i="40"/>
  <c r="AM34"/>
  <c r="R132" i="31"/>
  <c r="R203" i="30" s="1"/>
  <c r="S38" i="33"/>
  <c r="T142" i="32"/>
  <c r="P11" i="41"/>
  <c r="Q11" s="1"/>
  <c r="T230" i="12"/>
  <c r="S53" i="30" s="1"/>
  <c r="U230" i="12"/>
  <c r="T53" i="30" s="1"/>
  <c r="O37" i="33"/>
  <c r="O109"/>
  <c r="X14" i="40"/>
  <c r="Y14" s="1"/>
  <c r="H39"/>
  <c r="I39" s="1"/>
  <c r="J39" i="41"/>
  <c r="Q128" i="12"/>
  <c r="AD34" i="40" s="1"/>
  <c r="R63" i="12"/>
  <c r="Q18" i="29" s="1"/>
  <c r="D167" i="33"/>
  <c r="P119" i="39"/>
  <c r="Z25" i="40"/>
  <c r="I16"/>
  <c r="T45"/>
  <c r="K30"/>
  <c r="X39"/>
  <c r="Y39" s="1"/>
  <c r="AG7"/>
  <c r="I7"/>
  <c r="Y7"/>
  <c r="U7"/>
  <c r="Q7"/>
  <c r="R14"/>
  <c r="W17"/>
  <c r="G36"/>
  <c r="O41"/>
  <c r="S49" i="41"/>
  <c r="I12"/>
  <c r="G9"/>
  <c r="G16"/>
  <c r="G26"/>
  <c r="R74" i="33"/>
  <c r="AJ45" i="40"/>
  <c r="AM18"/>
  <c r="P132" i="31"/>
  <c r="P203" i="30" s="1"/>
  <c r="S115" i="33"/>
  <c r="T97" i="6"/>
  <c r="S26" i="29" s="1"/>
  <c r="K128" i="4"/>
  <c r="S129"/>
  <c r="D176"/>
  <c r="C211" i="30" s="1"/>
  <c r="K176" i="4"/>
  <c r="J211" i="30" s="1"/>
  <c r="L194" i="4"/>
  <c r="K222" i="30" s="1"/>
  <c r="C270" i="4"/>
  <c r="P9" i="41"/>
  <c r="Q9" s="1"/>
  <c r="AB9" i="40"/>
  <c r="AC9" s="1"/>
  <c r="E81" i="10"/>
  <c r="P120" i="39"/>
  <c r="U16" i="40"/>
  <c r="V111" i="33"/>
  <c r="R11" i="41"/>
  <c r="S63" i="12"/>
  <c r="R18" i="29" s="1"/>
  <c r="D63" i="12"/>
  <c r="D66" i="11"/>
  <c r="M8" i="40"/>
  <c r="AG8"/>
  <c r="Y8"/>
  <c r="I8"/>
  <c r="Q8"/>
  <c r="U8"/>
  <c r="Q111" i="33"/>
  <c r="P57" i="31"/>
  <c r="E23" i="41"/>
  <c r="R142" i="32"/>
  <c r="P204" i="30" s="1"/>
  <c r="R23" i="33"/>
  <c r="U135" i="7"/>
  <c r="AP7" i="40" s="1"/>
  <c r="T135" i="11"/>
  <c r="B123" i="4"/>
  <c r="S99" i="11"/>
  <c r="R30" i="29" s="1"/>
  <c r="V269" i="6"/>
  <c r="U186" i="30" s="1"/>
  <c r="W269" i="6"/>
  <c r="V186" i="30" s="1"/>
  <c r="V266" i="6"/>
  <c r="U175" i="30" s="1"/>
  <c r="W266" i="6"/>
  <c r="V175" i="30" s="1"/>
  <c r="V263" i="6"/>
  <c r="U164" i="30" s="1"/>
  <c r="W263" i="6"/>
  <c r="V164" i="30" s="1"/>
  <c r="V260" i="6"/>
  <c r="U153" i="30" s="1"/>
  <c r="W260" i="6"/>
  <c r="V153" i="30" s="1"/>
  <c r="V257" i="6"/>
  <c r="U140" i="30" s="1"/>
  <c r="W257" i="6"/>
  <c r="V140" i="30" s="1"/>
  <c r="V254" i="6"/>
  <c r="U129" i="30" s="1"/>
  <c r="W254" i="6"/>
  <c r="V129" i="30" s="1"/>
  <c r="V251" i="6"/>
  <c r="U118" i="30" s="1"/>
  <c r="W251" i="6"/>
  <c r="V118" i="30" s="1"/>
  <c r="V248" i="6"/>
  <c r="W248"/>
  <c r="V245"/>
  <c r="U94" i="30" s="1"/>
  <c r="W245" i="6"/>
  <c r="V94" i="30" s="1"/>
  <c r="V242" i="6"/>
  <c r="U83" i="30" s="1"/>
  <c r="W242" i="6"/>
  <c r="V83" i="30" s="1"/>
  <c r="V239" i="6"/>
  <c r="U72" i="30" s="1"/>
  <c r="W239" i="6"/>
  <c r="V72" i="30" s="1"/>
  <c r="V236" i="6"/>
  <c r="U61" i="30" s="1"/>
  <c r="W236" i="6"/>
  <c r="V61" i="30" s="1"/>
  <c r="V233" i="6"/>
  <c r="U50" i="30" s="1"/>
  <c r="W233" i="6"/>
  <c r="V50" i="30" s="1"/>
  <c r="V230" i="6"/>
  <c r="U39" i="30" s="1"/>
  <c r="W230" i="6"/>
  <c r="V39" i="30" s="1"/>
  <c r="V227" i="6"/>
  <c r="U28" i="30" s="1"/>
  <c r="W227" i="6"/>
  <c r="V28" i="30" s="1"/>
  <c r="H83" i="10"/>
  <c r="I81"/>
  <c r="O21" i="33"/>
  <c r="O54"/>
  <c r="M16" i="40"/>
  <c r="S21"/>
  <c r="AW21" s="1"/>
  <c r="L14"/>
  <c r="G16"/>
  <c r="AC16" s="1"/>
  <c r="P14"/>
  <c r="S23"/>
  <c r="O40"/>
  <c r="K42"/>
  <c r="Q59" i="33"/>
  <c r="AB8" i="40" s="1"/>
  <c r="AC8" s="1"/>
  <c r="E15" i="41"/>
  <c r="J25"/>
  <c r="R91" i="33"/>
  <c r="R57" i="31"/>
  <c r="S59" i="33"/>
  <c r="T91"/>
  <c r="F125" i="4"/>
  <c r="E39" i="29" s="1"/>
  <c r="M64" i="4"/>
  <c r="L17" i="29" s="1"/>
  <c r="K96" i="4"/>
  <c r="J28" i="29" s="1"/>
  <c r="R128" i="4"/>
  <c r="H96"/>
  <c r="G28" i="29" s="1"/>
  <c r="Q129" i="4"/>
  <c r="S96"/>
  <c r="R28" i="29" s="1"/>
  <c r="J270" i="4"/>
  <c r="J272" s="1"/>
  <c r="Q269"/>
  <c r="P188" i="30" s="1"/>
  <c r="G64" i="4"/>
  <c r="F17" i="29" s="1"/>
  <c r="D224" i="4"/>
  <c r="C19" i="30" s="1"/>
  <c r="D248" i="4"/>
  <c r="C107" i="30" s="1"/>
  <c r="L266" i="4"/>
  <c r="K177" i="30" s="1"/>
  <c r="L254" i="4"/>
  <c r="K131" i="30" s="1"/>
  <c r="L242" i="4"/>
  <c r="K85" i="30" s="1"/>
  <c r="L230" i="4"/>
  <c r="K41" i="30" s="1"/>
  <c r="O216" i="4"/>
  <c r="N199" i="30" s="1"/>
  <c r="AM26" i="40"/>
  <c r="T176" i="4"/>
  <c r="S211" i="30" s="1"/>
  <c r="E64" i="4"/>
  <c r="D17" i="29" s="1"/>
  <c r="O96" i="4"/>
  <c r="N28" i="29" s="1"/>
  <c r="O129" i="4"/>
  <c r="P129"/>
  <c r="S270"/>
  <c r="P263"/>
  <c r="O166" i="30" s="1"/>
  <c r="X260" i="4"/>
  <c r="X248"/>
  <c r="X236"/>
  <c r="R64"/>
  <c r="Q17" i="29" s="1"/>
  <c r="S125" i="4"/>
  <c r="R39" i="29" s="1"/>
  <c r="G125" i="4"/>
  <c r="F39" i="29" s="1"/>
  <c r="D96" i="4"/>
  <c r="C28" i="29" s="1"/>
  <c r="D270" i="4"/>
  <c r="O114" i="39"/>
  <c r="H115"/>
  <c r="AP83" i="13"/>
  <c r="AL83"/>
  <c r="U114" i="33"/>
  <c r="U115"/>
  <c r="S59" i="31"/>
  <c r="S233" i="30" s="1"/>
  <c r="R114" i="33"/>
  <c r="P58"/>
  <c r="V114"/>
  <c r="V115"/>
  <c r="O22"/>
  <c r="O110"/>
  <c r="O36"/>
  <c r="O38" s="1"/>
  <c r="O73"/>
  <c r="O89"/>
  <c r="P56"/>
  <c r="R115"/>
  <c r="P115"/>
  <c r="S23"/>
  <c r="W74"/>
  <c r="N129"/>
  <c r="Q114"/>
  <c r="Q23"/>
  <c r="L115"/>
  <c r="L116" s="1"/>
  <c r="L231" i="30" s="1"/>
  <c r="D115" i="33"/>
  <c r="D116" s="1"/>
  <c r="D231" i="30" s="1"/>
  <c r="G81" i="13"/>
  <c r="F243" i="30" s="1"/>
  <c r="K81" i="13"/>
  <c r="J243" i="30" s="1"/>
  <c r="G68" i="13"/>
  <c r="F239" i="30" s="1"/>
  <c r="K112" i="39"/>
  <c r="D121"/>
  <c r="D101"/>
  <c r="D70" i="13"/>
  <c r="I101" i="39"/>
  <c r="G70" i="13"/>
  <c r="G110" i="39"/>
  <c r="M102"/>
  <c r="K102"/>
  <c r="M82" i="13"/>
  <c r="D94"/>
  <c r="C247" i="30" s="1"/>
  <c r="K111" i="39"/>
  <c r="D102"/>
  <c r="I69" i="13"/>
  <c r="G103" i="39"/>
  <c r="G111"/>
  <c r="D82" i="13"/>
  <c r="D83"/>
  <c r="D112" i="39"/>
  <c r="D111"/>
  <c r="D120"/>
  <c r="D119"/>
  <c r="K101"/>
  <c r="K103"/>
  <c r="M101"/>
  <c r="M69" i="13"/>
  <c r="M70"/>
  <c r="M103" i="39"/>
  <c r="M111"/>
  <c r="M83" i="13"/>
  <c r="I112" i="39"/>
  <c r="I82" i="13"/>
  <c r="E82"/>
  <c r="E83"/>
  <c r="K82"/>
  <c r="D103" i="39"/>
  <c r="D68" i="13"/>
  <c r="C239" i="30" s="1"/>
  <c r="I103" i="39"/>
  <c r="G102"/>
  <c r="I83" i="13"/>
  <c r="G83"/>
  <c r="K69"/>
  <c r="D110" i="39"/>
  <c r="F119"/>
  <c r="AP82" i="13"/>
  <c r="J121" i="39"/>
  <c r="I122"/>
  <c r="G119"/>
  <c r="L109"/>
  <c r="L114"/>
  <c r="AJ69" i="13"/>
  <c r="N116" i="39"/>
  <c r="M117"/>
  <c r="I107"/>
  <c r="K122"/>
  <c r="BX82" i="13"/>
  <c r="AK95"/>
  <c r="AS95"/>
  <c r="I121" i="39"/>
  <c r="H113"/>
  <c r="AJ82" i="13"/>
  <c r="AJ9" i="40" s="1"/>
  <c r="AR69" i="13"/>
  <c r="H96"/>
  <c r="M112" i="39"/>
  <c r="O118"/>
  <c r="O107"/>
  <c r="X273" i="11"/>
  <c r="I95" i="13"/>
  <c r="I119" i="39"/>
  <c r="AN82" i="13"/>
  <c r="L106" i="39"/>
  <c r="H95" i="13"/>
  <c r="O95"/>
  <c r="AU83"/>
  <c r="O113" i="39"/>
  <c r="O109"/>
  <c r="L104"/>
  <c r="O96" i="13"/>
  <c r="R29" i="41"/>
  <c r="AD29" i="40"/>
  <c r="R10" i="41"/>
  <c r="S65" i="6"/>
  <c r="R15" i="29" s="1"/>
  <c r="P18" i="41"/>
  <c r="AB18" i="40"/>
  <c r="R134" i="11"/>
  <c r="R135" s="1"/>
  <c r="I133"/>
  <c r="I135" s="1"/>
  <c r="Q27" i="41"/>
  <c r="H134" i="11"/>
  <c r="L135"/>
  <c r="V25" i="41"/>
  <c r="S133" i="11"/>
  <c r="S135" s="1"/>
  <c r="O133"/>
  <c r="O135" s="1"/>
  <c r="K66"/>
  <c r="J19" i="29" s="1"/>
  <c r="H99" i="11"/>
  <c r="G30" i="29" s="1"/>
  <c r="P112" i="39"/>
  <c r="L39" i="40"/>
  <c r="M39" s="1"/>
  <c r="X25"/>
  <c r="D39"/>
  <c r="E39" s="1"/>
  <c r="M21"/>
  <c r="O34"/>
  <c r="P39"/>
  <c r="Q39" s="1"/>
  <c r="L25"/>
  <c r="C6"/>
  <c r="D33"/>
  <c r="E33" s="1"/>
  <c r="V25"/>
  <c r="Y15"/>
  <c r="S15"/>
  <c r="AW15" s="1"/>
  <c r="S22"/>
  <c r="AA40"/>
  <c r="G15" i="41"/>
  <c r="K26"/>
  <c r="H25"/>
  <c r="P103" i="39"/>
  <c r="AB27" i="40"/>
  <c r="E23"/>
  <c r="M23"/>
  <c r="AE23" s="1"/>
  <c r="S17"/>
  <c r="K40"/>
  <c r="AK40" s="1"/>
  <c r="C14" i="41"/>
  <c r="Q16"/>
  <c r="J20"/>
  <c r="K21"/>
  <c r="I22"/>
  <c r="K22"/>
  <c r="F6"/>
  <c r="S234" i="30"/>
  <c r="G49" i="40"/>
  <c r="I7" i="41"/>
  <c r="K7"/>
  <c r="E28"/>
  <c r="G28"/>
  <c r="W20" i="40"/>
  <c r="K41"/>
  <c r="F25" i="41"/>
  <c r="J33"/>
  <c r="C6"/>
  <c r="D6"/>
  <c r="G10"/>
  <c r="F20"/>
  <c r="G22"/>
  <c r="I23"/>
  <c r="D25"/>
  <c r="G34"/>
  <c r="K34"/>
  <c r="I36"/>
  <c r="G46"/>
  <c r="G47"/>
  <c r="AM35" i="40"/>
  <c r="AJ33"/>
  <c r="V58" i="33"/>
  <c r="V60" s="1"/>
  <c r="U230" i="30" s="1"/>
  <c r="U74" i="33"/>
  <c r="U99" i="7"/>
  <c r="S25" i="29" s="1"/>
  <c r="T130" i="6"/>
  <c r="I16" i="41"/>
  <c r="E42"/>
  <c r="AK17" i="40"/>
  <c r="U58" i="33"/>
  <c r="U60" s="1"/>
  <c r="T230" i="30" s="1"/>
  <c r="T127" i="6"/>
  <c r="S37" i="29" s="1"/>
  <c r="T129" i="4"/>
  <c r="R48" i="41"/>
  <c r="W23" i="33"/>
  <c r="K8" i="41"/>
  <c r="G30"/>
  <c r="V74" i="33"/>
  <c r="S53" i="31"/>
  <c r="T114" i="33"/>
  <c r="T115"/>
  <c r="T111"/>
  <c r="T58"/>
  <c r="AP8" i="40" s="1"/>
  <c r="T59" i="33"/>
  <c r="AN8" i="40" s="1"/>
  <c r="AM21"/>
  <c r="AM40"/>
  <c r="E7"/>
  <c r="E8"/>
  <c r="AG15"/>
  <c r="I40"/>
  <c r="D39" i="41"/>
  <c r="H39"/>
  <c r="I39" s="1"/>
  <c r="D20"/>
  <c r="G35"/>
  <c r="J6"/>
  <c r="I21"/>
  <c r="K10"/>
  <c r="G8"/>
  <c r="E9"/>
  <c r="E40"/>
  <c r="AL33" i="40"/>
  <c r="E47" i="41"/>
  <c r="AA34" i="40"/>
  <c r="H6" i="41"/>
  <c r="K15"/>
  <c r="G23"/>
  <c r="D14"/>
  <c r="I26"/>
  <c r="C20"/>
  <c r="K27"/>
  <c r="AL20" i="40"/>
  <c r="AJ14"/>
  <c r="T95" i="12"/>
  <c r="S29" i="29" s="1"/>
  <c r="T125" i="4"/>
  <c r="S39" i="29" s="1"/>
  <c r="T128" i="4"/>
  <c r="U131" i="7"/>
  <c r="S36" i="29" s="1"/>
  <c r="T96" i="4"/>
  <c r="S28" i="29" s="1"/>
  <c r="AM28" i="40"/>
  <c r="T23" i="33"/>
  <c r="AM22" i="40"/>
  <c r="AM27"/>
  <c r="AJ25"/>
  <c r="AJ20"/>
  <c r="AL25"/>
  <c r="AL39"/>
  <c r="J59" i="31" l="1"/>
  <c r="J233" i="30" s="1"/>
  <c r="Q59" i="31"/>
  <c r="Q233" i="30" s="1"/>
  <c r="K59" i="31"/>
  <c r="K233" i="30" s="1"/>
  <c r="N59" i="31"/>
  <c r="N233" i="30" s="1"/>
  <c r="I59" i="31"/>
  <c r="I233" i="30" s="1"/>
  <c r="M105"/>
  <c r="P7" i="41"/>
  <c r="Q7" s="1"/>
  <c r="S137" i="7"/>
  <c r="H105" i="30"/>
  <c r="N163"/>
  <c r="S278" i="7"/>
  <c r="I137"/>
  <c r="K163" i="30"/>
  <c r="G163"/>
  <c r="L212" i="5"/>
  <c r="P130" i="12"/>
  <c r="S60" i="33"/>
  <c r="R230" i="30" s="1"/>
  <c r="U20" i="40"/>
  <c r="H137" i="7"/>
  <c r="E137"/>
  <c r="S84" i="10"/>
  <c r="Q84"/>
  <c r="O132" i="5"/>
  <c r="E169" i="33"/>
  <c r="E232" i="30" s="1"/>
  <c r="K137" i="7"/>
  <c r="H272" i="4"/>
  <c r="L132" i="6"/>
  <c r="I14" i="41"/>
  <c r="H84" i="10"/>
  <c r="K272" i="4"/>
  <c r="R60" i="33"/>
  <c r="Q230" i="30" s="1"/>
  <c r="O130" i="12"/>
  <c r="C59" i="31"/>
  <c r="C233" i="30" s="1"/>
  <c r="O164" i="33"/>
  <c r="O167"/>
  <c r="O169" s="1"/>
  <c r="C105" i="30"/>
  <c r="D104"/>
  <c r="N272" i="4"/>
  <c r="L84" i="10"/>
  <c r="N120" i="32"/>
  <c r="M215" i="30" s="1"/>
  <c r="K54" i="32"/>
  <c r="P36"/>
  <c r="K74"/>
  <c r="K36"/>
  <c r="P54"/>
  <c r="H130" i="4"/>
  <c r="L130"/>
  <c r="J130"/>
  <c r="I130"/>
  <c r="S272" i="6"/>
  <c r="G132"/>
  <c r="J272"/>
  <c r="M272"/>
  <c r="O132"/>
  <c r="H169" i="33"/>
  <c r="H232" i="30" s="1"/>
  <c r="AB22" i="40"/>
  <c r="K21" i="32"/>
  <c r="K57"/>
  <c r="H163" i="30"/>
  <c r="H60" i="33"/>
  <c r="H230" i="30" s="1"/>
  <c r="J278" i="7"/>
  <c r="E278"/>
  <c r="E132" i="6"/>
  <c r="P163" i="30"/>
  <c r="P120" i="32"/>
  <c r="P57"/>
  <c r="K56"/>
  <c r="E20" i="40"/>
  <c r="I84" i="10"/>
  <c r="L163" i="30"/>
  <c r="E116" i="33"/>
  <c r="E231" i="30" s="1"/>
  <c r="F272" i="4"/>
  <c r="M60" i="33"/>
  <c r="M230" i="30" s="1"/>
  <c r="M272" i="12"/>
  <c r="D212" i="5"/>
  <c r="K132"/>
  <c r="E272" i="6"/>
  <c r="P56" i="32"/>
  <c r="P21"/>
  <c r="D130" i="4"/>
  <c r="G272" i="12"/>
  <c r="M116" i="33"/>
  <c r="M231" i="30" s="1"/>
  <c r="N130" i="12"/>
  <c r="G212" i="5"/>
  <c r="P59" i="31"/>
  <c r="P233" i="30" s="1"/>
  <c r="D59" i="31"/>
  <c r="D233" i="30" s="1"/>
  <c r="K234"/>
  <c r="D234"/>
  <c r="I234"/>
  <c r="R234"/>
  <c r="M130" i="12"/>
  <c r="L130"/>
  <c r="K130"/>
  <c r="K272"/>
  <c r="S272"/>
  <c r="E130"/>
  <c r="P272"/>
  <c r="N272"/>
  <c r="L272"/>
  <c r="D130"/>
  <c r="E272"/>
  <c r="R272"/>
  <c r="J273" i="11"/>
  <c r="I273"/>
  <c r="H135"/>
  <c r="Q273"/>
  <c r="S273"/>
  <c r="R273"/>
  <c r="F273"/>
  <c r="F135"/>
  <c r="R272" i="6"/>
  <c r="AE49" i="40"/>
  <c r="K120" i="32"/>
  <c r="L234" i="30"/>
  <c r="P74" i="32"/>
  <c r="AB135" i="7"/>
  <c r="AB137" s="1"/>
  <c r="AB131"/>
  <c r="G105" i="30"/>
  <c r="Q137" i="7"/>
  <c r="D152" i="30"/>
  <c r="F137" i="7"/>
  <c r="P137"/>
  <c r="K272" i="6"/>
  <c r="Q272"/>
  <c r="D132"/>
  <c r="S132"/>
  <c r="R132"/>
  <c r="K132"/>
  <c r="M132"/>
  <c r="H132"/>
  <c r="F104" i="30"/>
  <c r="N278" i="7"/>
  <c r="H278"/>
  <c r="C152" i="30"/>
  <c r="L278" i="7"/>
  <c r="P105" i="30"/>
  <c r="Q152"/>
  <c r="R105"/>
  <c r="F278" i="7"/>
  <c r="R130" i="4"/>
  <c r="P272"/>
  <c r="J163" i="30"/>
  <c r="J152"/>
  <c r="V278" i="7"/>
  <c r="U278"/>
  <c r="O278"/>
  <c r="L105" i="30"/>
  <c r="I104"/>
  <c r="R163"/>
  <c r="R152"/>
  <c r="E104"/>
  <c r="AA278" i="7"/>
  <c r="G278"/>
  <c r="I278"/>
  <c r="M278"/>
  <c r="Q278"/>
  <c r="K278"/>
  <c r="R278"/>
  <c r="I163" i="30"/>
  <c r="I152"/>
  <c r="O137" i="7"/>
  <c r="G137"/>
  <c r="E152" i="30"/>
  <c r="T278" i="7"/>
  <c r="L137"/>
  <c r="H273" i="11"/>
  <c r="O273"/>
  <c r="S40" i="41"/>
  <c r="R132" i="5"/>
  <c r="K212"/>
  <c r="G132"/>
  <c r="D272" i="12"/>
  <c r="F272"/>
  <c r="J272"/>
  <c r="R130"/>
  <c r="F132" i="6"/>
  <c r="O272"/>
  <c r="J132"/>
  <c r="AB17" i="40"/>
  <c r="AE17" s="1"/>
  <c r="P132" i="6"/>
  <c r="M272" i="4"/>
  <c r="AD26" i="40"/>
  <c r="M130" i="4"/>
  <c r="F130"/>
  <c r="E272"/>
  <c r="K130"/>
  <c r="G272"/>
  <c r="O272"/>
  <c r="P130"/>
  <c r="AE29" i="40"/>
  <c r="D272" i="4"/>
  <c r="S29" i="41"/>
  <c r="D272" i="6"/>
  <c r="H272"/>
  <c r="G272"/>
  <c r="AE12" i="40"/>
  <c r="Q272" i="12"/>
  <c r="I272"/>
  <c r="X272"/>
  <c r="O272"/>
  <c r="S28" i="41"/>
  <c r="AE28" i="40"/>
  <c r="AE39"/>
  <c r="M212" i="5"/>
  <c r="N212"/>
  <c r="P60" i="33"/>
  <c r="O230" i="30" s="1"/>
  <c r="R34" i="41"/>
  <c r="S34" s="1"/>
  <c r="S20" i="40"/>
  <c r="AW20" s="1"/>
  <c r="N272" i="6"/>
  <c r="J116" i="33"/>
  <c r="J231" i="30" s="1"/>
  <c r="S10" i="41"/>
  <c r="P116" i="33"/>
  <c r="O231" i="30" s="1"/>
  <c r="W116" i="33"/>
  <c r="V231" i="30" s="1"/>
  <c r="X84" i="10"/>
  <c r="P132" i="5"/>
  <c r="G169" i="33"/>
  <c r="G232" i="30" s="1"/>
  <c r="I130" i="12"/>
  <c r="Q132" i="5"/>
  <c r="I132" i="6"/>
  <c r="J60" i="33"/>
  <c r="J230" i="30" s="1"/>
  <c r="P273" i="11"/>
  <c r="D273"/>
  <c r="F60" i="33"/>
  <c r="F230" i="30" s="1"/>
  <c r="F163"/>
  <c r="N105"/>
  <c r="N104"/>
  <c r="W29" i="41"/>
  <c r="Q234" i="30"/>
  <c r="P33" i="41"/>
  <c r="Q33" s="1"/>
  <c r="U29"/>
  <c r="S116" i="33"/>
  <c r="R231" i="30" s="1"/>
  <c r="O152"/>
  <c r="Q169" i="33"/>
  <c r="P232" i="30" s="1"/>
  <c r="S12" i="41"/>
  <c r="N132" i="6"/>
  <c r="K169" i="33"/>
  <c r="K232" i="30" s="1"/>
  <c r="F130" i="12"/>
  <c r="M132" i="5"/>
  <c r="Q40" i="41"/>
  <c r="AB15" i="40"/>
  <c r="AE15" s="1"/>
  <c r="N137" i="7"/>
  <c r="H272" i="12"/>
  <c r="AB34" i="40"/>
  <c r="AB33" s="1"/>
  <c r="AC33" s="1"/>
  <c r="F272" i="6"/>
  <c r="N116" i="33"/>
  <c r="N231" i="30" s="1"/>
  <c r="L272" i="4"/>
  <c r="W278" i="7"/>
  <c r="E59" i="31"/>
  <c r="E233" i="30" s="1"/>
  <c r="G273" i="11"/>
  <c r="K105" i="30"/>
  <c r="F59" i="31"/>
  <c r="F233" i="30" s="1"/>
  <c r="P14" i="41"/>
  <c r="Q14" s="1"/>
  <c r="M14" i="40"/>
  <c r="AQ7"/>
  <c r="G130" i="4"/>
  <c r="X278" i="7"/>
  <c r="X272" i="4"/>
  <c r="M137" i="7"/>
  <c r="G59" i="31"/>
  <c r="G233" i="30" s="1"/>
  <c r="O56" i="33"/>
  <c r="O59"/>
  <c r="D169"/>
  <c r="D232" i="30" s="1"/>
  <c r="M20" i="40"/>
  <c r="AD14"/>
  <c r="F132" i="5"/>
  <c r="R21" i="41"/>
  <c r="AD21" i="40"/>
  <c r="S30" i="41"/>
  <c r="R8"/>
  <c r="O130" i="4"/>
  <c r="Y20" i="40"/>
  <c r="AC15"/>
  <c r="N132" i="5"/>
  <c r="T137" i="7"/>
  <c r="O212" i="5"/>
  <c r="O111" i="33"/>
  <c r="Q130" i="4"/>
  <c r="Q14" i="40"/>
  <c r="Q130" i="12"/>
  <c r="E130" i="4"/>
  <c r="K14" i="41"/>
  <c r="S212" i="5"/>
  <c r="L59" i="31"/>
  <c r="L233" i="30" s="1"/>
  <c r="K60" i="33"/>
  <c r="K230" i="30" s="1"/>
  <c r="H130" i="12"/>
  <c r="S33" i="40"/>
  <c r="AW33" s="1"/>
  <c r="T132" i="6"/>
  <c r="P8" i="41"/>
  <c r="Q8" s="1"/>
  <c r="R22"/>
  <c r="K45"/>
  <c r="Q132" i="6"/>
  <c r="H132" i="5"/>
  <c r="P21" i="41"/>
  <c r="P20" s="1"/>
  <c r="AB21" i="40"/>
  <c r="O91" i="33"/>
  <c r="R7" i="41"/>
  <c r="R15"/>
  <c r="I132" i="5"/>
  <c r="R137" i="7"/>
  <c r="S272" i="4"/>
  <c r="S9" i="41"/>
  <c r="U137" i="7"/>
  <c r="AD22" i="40"/>
  <c r="S130" i="4"/>
  <c r="AE48" i="40"/>
  <c r="AE7"/>
  <c r="AE40"/>
  <c r="R17" i="41"/>
  <c r="S17" s="1"/>
  <c r="Q216" i="6"/>
  <c r="P220" i="30" s="1"/>
  <c r="AM39" i="40"/>
  <c r="R59" i="31"/>
  <c r="R233" i="30" s="1"/>
  <c r="X212" i="5"/>
  <c r="S11" i="41"/>
  <c r="X272" i="6"/>
  <c r="O234" i="30"/>
  <c r="O58" i="33"/>
  <c r="I20" i="40"/>
  <c r="AA33"/>
  <c r="G25" i="41"/>
  <c r="K20" i="40"/>
  <c r="AK20" s="1"/>
  <c r="Q60" i="33"/>
  <c r="P230" i="30" s="1"/>
  <c r="O115" i="33"/>
  <c r="U116"/>
  <c r="T231" i="30" s="1"/>
  <c r="AM45" i="40"/>
  <c r="G25"/>
  <c r="I14"/>
  <c r="AE8"/>
  <c r="AA14"/>
  <c r="U14"/>
  <c r="K39"/>
  <c r="AK39" s="1"/>
  <c r="Q20"/>
  <c r="S39" i="41"/>
  <c r="AK23" i="40"/>
  <c r="AW23"/>
  <c r="S25"/>
  <c r="AW25" s="1"/>
  <c r="G14"/>
  <c r="I25" i="41"/>
  <c r="G45"/>
  <c r="O45" i="40"/>
  <c r="E25" i="41"/>
  <c r="AA45" i="40"/>
  <c r="G20" i="41"/>
  <c r="K20"/>
  <c r="U25" i="40"/>
  <c r="I20" i="41"/>
  <c r="G39" i="40"/>
  <c r="K25" i="41"/>
  <c r="W14" i="40"/>
  <c r="I25"/>
  <c r="O20"/>
  <c r="W25"/>
  <c r="K45"/>
  <c r="AK45" s="1"/>
  <c r="AM33"/>
  <c r="K14"/>
  <c r="AK14" s="1"/>
  <c r="S14"/>
  <c r="AW14" s="1"/>
  <c r="I6" i="41"/>
  <c r="E14" i="40"/>
  <c r="S45"/>
  <c r="AW45" s="1"/>
  <c r="Q25"/>
  <c r="E45"/>
  <c r="G45"/>
  <c r="K33"/>
  <c r="AK33" s="1"/>
  <c r="E6" i="41"/>
  <c r="G20" i="40"/>
  <c r="K25"/>
  <c r="AK25" s="1"/>
  <c r="K33" i="41"/>
  <c r="E25" i="40"/>
  <c r="V116" i="33"/>
  <c r="U231" i="30" s="1"/>
  <c r="AA20" i="40"/>
  <c r="U45"/>
  <c r="W45"/>
  <c r="O14"/>
  <c r="R116" i="33"/>
  <c r="Q231" i="30" s="1"/>
  <c r="AE9" i="40"/>
  <c r="AD6"/>
  <c r="AG6"/>
  <c r="U6"/>
  <c r="M6"/>
  <c r="Y6"/>
  <c r="Q6"/>
  <c r="I6"/>
  <c r="AK9"/>
  <c r="AJ6"/>
  <c r="AK6" s="1"/>
  <c r="AB6"/>
  <c r="AC6" s="1"/>
  <c r="AC7"/>
  <c r="AA39"/>
  <c r="AM9"/>
  <c r="AL6"/>
  <c r="P26" i="41"/>
  <c r="AB26" i="40"/>
  <c r="AC26" s="1"/>
  <c r="W25" i="41"/>
  <c r="T130" i="4"/>
  <c r="Q22" i="41"/>
  <c r="O114" i="33"/>
  <c r="O74"/>
  <c r="R27" i="41"/>
  <c r="Q116" i="33"/>
  <c r="P231" i="30" s="1"/>
  <c r="AD27" i="40"/>
  <c r="AC22"/>
  <c r="O23" i="33"/>
  <c r="K6" i="41"/>
  <c r="AD33" i="40"/>
  <c r="AC27"/>
  <c r="E6"/>
  <c r="AA25"/>
  <c r="Y25"/>
  <c r="O39"/>
  <c r="Q18" i="41"/>
  <c r="S18"/>
  <c r="K39"/>
  <c r="R46"/>
  <c r="R45" s="1"/>
  <c r="P234" i="30"/>
  <c r="AD46" i="40"/>
  <c r="AD45" s="1"/>
  <c r="P46" i="41"/>
  <c r="AB46" i="40"/>
  <c r="M25"/>
  <c r="O25"/>
  <c r="S39"/>
  <c r="AW39" s="1"/>
  <c r="G33"/>
  <c r="G6" i="41"/>
  <c r="S48"/>
  <c r="AC18" i="40"/>
  <c r="AE18"/>
  <c r="T116" i="33"/>
  <c r="S231" i="30" s="1"/>
  <c r="T60" i="33"/>
  <c r="S230" i="30" s="1"/>
  <c r="G14" i="41"/>
  <c r="E14"/>
  <c r="E39"/>
  <c r="G39"/>
  <c r="AM14" i="40"/>
  <c r="E20" i="41"/>
  <c r="AM25" i="40"/>
  <c r="AM20"/>
  <c r="S7" i="41" l="1"/>
  <c r="P58" i="32"/>
  <c r="AE22" i="40"/>
  <c r="AB20"/>
  <c r="AC20" s="1"/>
  <c r="AD20"/>
  <c r="K58" i="32"/>
  <c r="R33" i="41"/>
  <c r="S33" s="1"/>
  <c r="AC17" i="40"/>
  <c r="S8" i="41"/>
  <c r="AB14" i="40"/>
  <c r="AE14" s="1"/>
  <c r="AE34"/>
  <c r="AC34"/>
  <c r="O60" i="33"/>
  <c r="R20" i="41"/>
  <c r="S20" s="1"/>
  <c r="P6"/>
  <c r="Q6" s="1"/>
  <c r="O116" i="33"/>
  <c r="R6" i="41"/>
  <c r="S22"/>
  <c r="S21"/>
  <c r="Q21"/>
  <c r="S15"/>
  <c r="R14"/>
  <c r="S14" s="1"/>
  <c r="AE21" i="40"/>
  <c r="AC21"/>
  <c r="AE6"/>
  <c r="AM6"/>
  <c r="Q26" i="41"/>
  <c r="S26"/>
  <c r="P25"/>
  <c r="Q25" s="1"/>
  <c r="AB25" i="40"/>
  <c r="AC25" s="1"/>
  <c r="AE26"/>
  <c r="Q20" i="41"/>
  <c r="AE27" i="40"/>
  <c r="AD25"/>
  <c r="R25" i="41"/>
  <c r="S27"/>
  <c r="Q46"/>
  <c r="P45"/>
  <c r="Q45" s="1"/>
  <c r="AE33" i="40"/>
  <c r="AE46"/>
  <c r="AB45"/>
  <c r="AC45" s="1"/>
  <c r="AC46"/>
  <c r="S46" i="41"/>
  <c r="AE20" i="40" l="1"/>
  <c r="AC14"/>
  <c r="S6" i="41"/>
  <c r="AE25" i="40"/>
  <c r="S25" i="41"/>
  <c r="S45"/>
  <c r="AE45" i="40"/>
</calcChain>
</file>

<file path=xl/comments1.xml><?xml version="1.0" encoding="utf-8"?>
<comments xmlns="http://schemas.openxmlformats.org/spreadsheetml/2006/main">
  <authors>
    <author>apnualda</author>
  </authors>
  <commentList>
    <comment ref="S65" authorId="0">
      <text>
        <r>
          <rPr>
            <b/>
            <sz val="9"/>
            <color indexed="81"/>
            <rFont val="Tahoma"/>
            <family val="2"/>
          </rPr>
          <t>apnualda: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apnualda</author>
  </authors>
  <commentList>
    <comment ref="O65" authorId="0">
      <text>
        <r>
          <rPr>
            <b/>
            <sz val="9"/>
            <color indexed="81"/>
            <rFont val="Tahoma"/>
            <family val="2"/>
          </rPr>
          <t>apnualda: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<sst xmlns="http://schemas.openxmlformats.org/spreadsheetml/2006/main" count="5697" uniqueCount="455">
  <si>
    <t>RIVER</t>
  </si>
  <si>
    <t>STATION</t>
  </si>
  <si>
    <t>Q1</t>
  </si>
  <si>
    <t>Q2</t>
  </si>
  <si>
    <t>Q3</t>
  </si>
  <si>
    <t>Q4</t>
  </si>
  <si>
    <t>Pampanga River</t>
  </si>
  <si>
    <t>Villa Lourdes</t>
  </si>
  <si>
    <t>Talisay River</t>
  </si>
  <si>
    <t>Camacho Bridge</t>
  </si>
  <si>
    <t>Calumpit Bridge</t>
  </si>
  <si>
    <t>Near Paulino Res./F.P.</t>
  </si>
  <si>
    <t xml:space="preserve">Marilao-Caloocan Bridge </t>
  </si>
  <si>
    <t>Talisay Bridge</t>
  </si>
  <si>
    <t>Sulipan Bridge</t>
  </si>
  <si>
    <t>San Pedro Foot Bridge (Near Brgy. Hall)</t>
  </si>
  <si>
    <t>Angat River</t>
  </si>
  <si>
    <t>Labangan Bridge</t>
  </si>
  <si>
    <t>Pulilan-Plaridel Bridge</t>
  </si>
  <si>
    <t>Plaza Burgos Bridge (Near GNC)</t>
  </si>
  <si>
    <t>Expressway Bridge</t>
  </si>
  <si>
    <t>Baliwag-Bustos Bridge</t>
  </si>
  <si>
    <t>Prenza Dam</t>
  </si>
  <si>
    <t>Obando River</t>
  </si>
  <si>
    <t>Polo Bridge</t>
  </si>
  <si>
    <t>Bridge near P. Market</t>
  </si>
  <si>
    <t>Mc Arthur Bridge</t>
  </si>
  <si>
    <t>Tawiran Bridge</t>
  </si>
  <si>
    <t>Sta. Maria River</t>
  </si>
  <si>
    <t>Poblacion Bridge</t>
  </si>
  <si>
    <t>Ibayo Bridge</t>
  </si>
  <si>
    <t>McArthur Bridge</t>
  </si>
  <si>
    <t>Municipal Fishport near P.M.</t>
  </si>
  <si>
    <t xml:space="preserve">Expressway Bridge </t>
  </si>
  <si>
    <t>Perez Taas Bridge</t>
  </si>
  <si>
    <t>Catmon Bridge</t>
  </si>
  <si>
    <t>Sta. Clara Bridge</t>
  </si>
  <si>
    <t>San Pablo Bridge  (Near Brgy. Hall)</t>
  </si>
  <si>
    <t>Veinte Reales Bridge</t>
  </si>
  <si>
    <t>Meymark Bridge</t>
  </si>
  <si>
    <t xml:space="preserve">Parañaque River </t>
  </si>
  <si>
    <t>Amvel</t>
  </si>
  <si>
    <t>Meycauayan-Valenzuela</t>
  </si>
  <si>
    <t>Polo River</t>
  </si>
  <si>
    <t>Narra Creek</t>
  </si>
  <si>
    <t>Ibayo</t>
  </si>
  <si>
    <t>Global City</t>
  </si>
  <si>
    <t>Tramo</t>
  </si>
  <si>
    <t>Dilain Creek</t>
  </si>
  <si>
    <t>NMTT River System</t>
  </si>
  <si>
    <t>Gulod</t>
  </si>
  <si>
    <t>Sto. Niño</t>
  </si>
  <si>
    <t>Fairview Station</t>
  </si>
  <si>
    <t>Coloong Creek</t>
  </si>
  <si>
    <t xml:space="preserve">MIA Rd </t>
  </si>
  <si>
    <t>La Huerta</t>
  </si>
  <si>
    <t>Multinational</t>
  </si>
  <si>
    <t>Longos</t>
  </si>
  <si>
    <t>McArthur</t>
  </si>
  <si>
    <t>Bangkulasi Creek</t>
  </si>
  <si>
    <t>Tañong</t>
  </si>
  <si>
    <t>Bangkulasi River</t>
  </si>
  <si>
    <t>Polo Creek</t>
  </si>
  <si>
    <t>Meycauayan River</t>
  </si>
  <si>
    <t>Maysilo River</t>
  </si>
  <si>
    <t>Pugad Baboy Creek</t>
  </si>
  <si>
    <t>No data</t>
  </si>
  <si>
    <t>Cañas River</t>
  </si>
  <si>
    <t>Rio Grande River</t>
  </si>
  <si>
    <t>Pasong Halang</t>
  </si>
  <si>
    <t>Ylang-ylang River</t>
  </si>
  <si>
    <t>Noveleta Bridge</t>
  </si>
  <si>
    <t>Island Cove Bridge</t>
  </si>
  <si>
    <t>San Francisco</t>
  </si>
  <si>
    <t>Bacao 1</t>
  </si>
  <si>
    <t>Pasong Kawayan</t>
  </si>
  <si>
    <t>Orchard</t>
  </si>
  <si>
    <t>Paradahan Bridge</t>
  </si>
  <si>
    <t>Dulong Bayan</t>
  </si>
  <si>
    <t>DLSU</t>
  </si>
  <si>
    <t>Tanzang Luma HB</t>
  </si>
  <si>
    <t>Ylang-Ylang Bridge</t>
  </si>
  <si>
    <t>No Data</t>
  </si>
  <si>
    <t>Pagsanjan River</t>
  </si>
  <si>
    <t>Pangil</t>
  </si>
  <si>
    <t>Bay River</t>
  </si>
  <si>
    <t>Sta. Maria</t>
  </si>
  <si>
    <t>Los Baños</t>
  </si>
  <si>
    <t>Sta. Cruz River</t>
  </si>
  <si>
    <t>Siniloan</t>
  </si>
  <si>
    <t>Pila</t>
  </si>
  <si>
    <t>Tanay</t>
  </si>
  <si>
    <t>Pililla</t>
  </si>
  <si>
    <t>San Juan River</t>
  </si>
  <si>
    <t>Baras</t>
  </si>
  <si>
    <t>Marikina</t>
  </si>
  <si>
    <t>Barkadahan (new)</t>
  </si>
  <si>
    <t>Cabuyao</t>
  </si>
  <si>
    <t>Cainta, Sapang Baho</t>
  </si>
  <si>
    <t>San Pedro River</t>
  </si>
  <si>
    <t>Sta. Rosa</t>
  </si>
  <si>
    <t>Biñan</t>
  </si>
  <si>
    <t>Morong</t>
  </si>
  <si>
    <t>Mangangate</t>
  </si>
  <si>
    <t>San Cristobal River</t>
  </si>
  <si>
    <t>Bagumbayan</t>
  </si>
  <si>
    <t>Tunasan</t>
  </si>
  <si>
    <t>Buli Creek</t>
  </si>
  <si>
    <t>Taytay (Manggahan Floodway)</t>
  </si>
  <si>
    <t>no data</t>
  </si>
  <si>
    <t>Jala-jala (new)</t>
  </si>
  <si>
    <t>Pasig River</t>
  </si>
  <si>
    <t>Manila Bay</t>
  </si>
  <si>
    <t>Guadalupe Ferry Station</t>
  </si>
  <si>
    <t>Jones Bridge</t>
  </si>
  <si>
    <t>Lambingan Bridge</t>
  </si>
  <si>
    <t>Bambang Bridge</t>
  </si>
  <si>
    <t>Nagtahan Bridge</t>
  </si>
  <si>
    <t>C6 Bridge</t>
  </si>
  <si>
    <t>Vargas Bridge</t>
  </si>
  <si>
    <t xml:space="preserve">Guadalupe Viejo </t>
  </si>
  <si>
    <t>Sevilla Bridge</t>
  </si>
  <si>
    <t>Havana Bridge</t>
  </si>
  <si>
    <t xml:space="preserve">Guadalupe Nuevo  </t>
  </si>
  <si>
    <t>Buayang bato</t>
  </si>
  <si>
    <t>REGION 3</t>
  </si>
  <si>
    <t>NCR</t>
  </si>
  <si>
    <t>REGION IVA</t>
  </si>
  <si>
    <t xml:space="preserve">San Pablo Bridge  </t>
  </si>
  <si>
    <t xml:space="preserve">San Pedro Foot Bridge </t>
  </si>
  <si>
    <t>Laguna Lake Tributaries</t>
  </si>
  <si>
    <t>Bocaue River</t>
  </si>
  <si>
    <t>Marilao River</t>
  </si>
  <si>
    <t>Rio Grande River (new)</t>
  </si>
  <si>
    <t>BODY OF WATER</t>
  </si>
  <si>
    <t xml:space="preserve">Luneta Park </t>
  </si>
  <si>
    <t>Mariveless, Bataan 2- Leonora</t>
  </si>
  <si>
    <t xml:space="preserve">Limay, Bataan 1- Villa Carmen </t>
  </si>
  <si>
    <t>Limay, Bataan 2 - Mattel</t>
  </si>
  <si>
    <t>Mariveless, Bataan 1 -Wawa</t>
  </si>
  <si>
    <t>Bacoor Cavite</t>
  </si>
  <si>
    <t xml:space="preserve">Naic, Cavite 2 –Villa Cresilda  </t>
  </si>
  <si>
    <t xml:space="preserve">Naic, Cavite 1 –Costa Eugenia  </t>
  </si>
  <si>
    <t>Tanza, Cavite 2 –Garden coast</t>
  </si>
  <si>
    <t>Tanza, Cavite 1 –Celebrity</t>
  </si>
  <si>
    <t>Rosario, Cavite – Sanisidro</t>
  </si>
  <si>
    <t>Noveleta, Cavite2 –Villamar</t>
  </si>
  <si>
    <t>Noveleta, Cavite1 –Lido</t>
  </si>
  <si>
    <t>Laguna Lake</t>
  </si>
  <si>
    <t>V-Northern West Bay</t>
  </si>
  <si>
    <t>IV-Central Bay</t>
  </si>
  <si>
    <t>VIII- South Bay</t>
  </si>
  <si>
    <t>I-West Bay</t>
  </si>
  <si>
    <t>II-East Bay</t>
  </si>
  <si>
    <t xml:space="preserve">LL Tributary Rivers </t>
  </si>
  <si>
    <t xml:space="preserve"> no data </t>
  </si>
  <si>
    <t xml:space="preserve">Guadalupe Nuevo </t>
  </si>
  <si>
    <t>Guadalupe Viejo</t>
  </si>
  <si>
    <t>Buli</t>
  </si>
  <si>
    <t>San Pedro</t>
  </si>
  <si>
    <t>San Cristobal</t>
  </si>
  <si>
    <t>San Juan</t>
  </si>
  <si>
    <t>Bay</t>
  </si>
  <si>
    <t>Sta. Cruz</t>
  </si>
  <si>
    <t>Pagsanjan</t>
  </si>
  <si>
    <t>Jala-jala</t>
  </si>
  <si>
    <t>Barkadahan</t>
  </si>
  <si>
    <t>Cainta</t>
  </si>
  <si>
    <t>Standard</t>
  </si>
  <si>
    <t>Phosphate</t>
  </si>
  <si>
    <t>Nitrate</t>
  </si>
  <si>
    <t>Bottom</t>
  </si>
  <si>
    <t>Mid</t>
  </si>
  <si>
    <t>Surface</t>
  </si>
  <si>
    <t>Offshore Stations pH</t>
  </si>
  <si>
    <t>Offshore Stations Phosphate</t>
  </si>
  <si>
    <t>Sand Valley Beach Resort</t>
  </si>
  <si>
    <t>Whitesand Beach Resort</t>
  </si>
  <si>
    <t>La Playa del Norte Beach Resort</t>
  </si>
  <si>
    <t>PEATC</t>
  </si>
  <si>
    <t>MOA</t>
  </si>
  <si>
    <t>CCP</t>
  </si>
  <si>
    <t xml:space="preserve">Dalaroy’s Resort **   </t>
  </si>
  <si>
    <t xml:space="preserve">Antonio’s Hideaway ** </t>
  </si>
  <si>
    <t xml:space="preserve">Navotas Fishport </t>
  </si>
  <si>
    <t>Guagua River</t>
  </si>
  <si>
    <t>Imus River</t>
  </si>
  <si>
    <t>Marikina Bridge</t>
  </si>
  <si>
    <t>IMUS Toll Bridge</t>
  </si>
  <si>
    <t>Palanas Bridge</t>
  </si>
  <si>
    <t>Hulugan Wawa Bridge</t>
  </si>
  <si>
    <t>Tejero Bridge</t>
  </si>
  <si>
    <t>Bacao-Alapan Bridge</t>
  </si>
  <si>
    <t>Gov. Pascual</t>
  </si>
  <si>
    <t>N. Expressway Station</t>
  </si>
  <si>
    <t>Dissolved Oxygen (DO)</t>
  </si>
  <si>
    <t>Biochemical Oxygen Demand (BOD)</t>
  </si>
  <si>
    <t>Total Suspended Solid (TSS)</t>
  </si>
  <si>
    <t>Oil &amp; Grease</t>
  </si>
  <si>
    <t>pH</t>
  </si>
  <si>
    <t>Percent Passing</t>
  </si>
  <si>
    <t>DO</t>
  </si>
  <si>
    <t>% passing</t>
  </si>
  <si>
    <t>BOD</t>
  </si>
  <si>
    <t>TSS</t>
  </si>
  <si>
    <t>Region 3</t>
  </si>
  <si>
    <t>Total Coliform</t>
  </si>
  <si>
    <t>Fecal Coliform</t>
  </si>
  <si>
    <t>Surface DO</t>
  </si>
  <si>
    <t>Middle DO</t>
  </si>
  <si>
    <t>Bottom DO</t>
  </si>
  <si>
    <t>Surface pH</t>
  </si>
  <si>
    <t>Middle pH</t>
  </si>
  <si>
    <t>Bottom pH</t>
  </si>
  <si>
    <t>Surface Phosphate</t>
  </si>
  <si>
    <t>Middle Phosphate</t>
  </si>
  <si>
    <t>Bottom Phosphate</t>
  </si>
  <si>
    <t>Standard (Lower Limit)</t>
  </si>
  <si>
    <t>Standard (Upper Limit)</t>
  </si>
  <si>
    <t>Steps in Making Line Graph</t>
  </si>
  <si>
    <t>Step 3: Go Charts Click "Line"</t>
  </si>
  <si>
    <t>Step 9: Go to "Horizontal (Category) Axis Label"</t>
  </si>
  <si>
    <r>
      <rPr>
        <b/>
        <sz val="12"/>
        <color theme="1"/>
        <rFont val="Calibri"/>
        <family val="2"/>
        <scheme val="minor"/>
      </rPr>
      <t xml:space="preserve">Step 2: </t>
    </r>
    <r>
      <rPr>
        <sz val="12"/>
        <color theme="1"/>
        <rFont val="Calibri"/>
        <family val="2"/>
        <scheme val="minor"/>
      </rPr>
      <t>Go to "Insert" Tab then click</t>
    </r>
  </si>
  <si>
    <r>
      <rPr>
        <b/>
        <sz val="12"/>
        <color theme="1"/>
        <rFont val="Calibri"/>
        <family val="2"/>
        <scheme val="minor"/>
      </rPr>
      <t>Step 8:</t>
    </r>
    <r>
      <rPr>
        <sz val="12"/>
        <color theme="1"/>
        <rFont val="Calibri"/>
        <family val="2"/>
        <scheme val="minor"/>
      </rPr>
      <t xml:space="preserve"> Right click Graph then Select Data</t>
    </r>
  </si>
  <si>
    <r>
      <rPr>
        <b/>
        <sz val="12"/>
        <color theme="1"/>
        <rFont val="Calibri"/>
        <family val="2"/>
        <scheme val="minor"/>
      </rPr>
      <t>Step 10:</t>
    </r>
    <r>
      <rPr>
        <sz val="12"/>
        <color theme="1"/>
        <rFont val="Calibri"/>
        <family val="2"/>
        <scheme val="minor"/>
      </rPr>
      <t xml:space="preserve"> Click number "1" then click "Edit" button</t>
    </r>
  </si>
  <si>
    <t>Step 15: Then Click "Line Color" then click "Solid Line" button</t>
  </si>
  <si>
    <t>Step 16: Then in "Color" choose Green</t>
  </si>
  <si>
    <t>PASIG RIVER</t>
  </si>
  <si>
    <t>LAGUNA LAKE TRIBUTARIES</t>
  </si>
  <si>
    <t>LAGUNA LAKE</t>
  </si>
  <si>
    <t>STANDARD CRITERION: &lt;=10mg/L</t>
  </si>
  <si>
    <t>STANDARD CRITERION: &lt;=50mg/L</t>
  </si>
  <si>
    <t>STANDARD CRITERION: &lt;=0.40 mg/L</t>
  </si>
  <si>
    <t>STANDARD CRITERION: &lt;=2 mg/L</t>
  </si>
  <si>
    <r>
      <t> </t>
    </r>
    <r>
      <rPr>
        <b/>
        <sz val="14"/>
        <rFont val="Calibri"/>
        <family val="2"/>
      </rPr>
      <t>Region 3</t>
    </r>
  </si>
  <si>
    <r>
      <t> </t>
    </r>
    <r>
      <rPr>
        <b/>
        <sz val="14"/>
        <rFont val="Calibri"/>
        <family val="2"/>
      </rPr>
      <t>Region 4A</t>
    </r>
  </si>
  <si>
    <t>STANDARD CRITERION: &gt;= 5mg/L</t>
  </si>
  <si>
    <t>Heavy Metals (Sediment Samples)</t>
  </si>
  <si>
    <t xml:space="preserve">Lead (Pb) </t>
  </si>
  <si>
    <t>PARAMETER</t>
  </si>
  <si>
    <t xml:space="preserve">Chromium (Cr) </t>
  </si>
  <si>
    <t xml:space="preserve">Cadmium (Cd) </t>
  </si>
  <si>
    <t>DENR Criteria: &lt;0.05mg/kg</t>
  </si>
  <si>
    <t>DENR Criteria: &lt;0.1mg/kg</t>
  </si>
  <si>
    <t>DENR Criteria: &lt;0.01mg/kg</t>
  </si>
  <si>
    <t>Step 1: Select Standard &amp; Stations Data (Select B9 to J13)</t>
  </si>
  <si>
    <t>Offshore Stations Salinity</t>
  </si>
  <si>
    <t>Offshore Stations Conductivity</t>
  </si>
  <si>
    <t>Surface Salinity</t>
  </si>
  <si>
    <t>Middle Salinity</t>
  </si>
  <si>
    <t>Bottom Salinity</t>
  </si>
  <si>
    <t>Surface Conductivity</t>
  </si>
  <si>
    <t>Middle Conductivity</t>
  </si>
  <si>
    <t>Bottom Conductivity</t>
  </si>
  <si>
    <t>Region 4A</t>
  </si>
  <si>
    <t>Overall Per River Percentage Passing</t>
  </si>
  <si>
    <t>Overall Per Region Percentage Passing</t>
  </si>
  <si>
    <t>Bathing Beaches Monitoring</t>
  </si>
  <si>
    <r>
      <t>STANDARD CRITERION :</t>
    </r>
    <r>
      <rPr>
        <b/>
        <u/>
        <sz val="11"/>
        <rFont val="Calibri"/>
        <family val="2"/>
      </rPr>
      <t xml:space="preserve"> &lt;=200MPN/100mL</t>
    </r>
  </si>
  <si>
    <t>Water Column</t>
  </si>
  <si>
    <t xml:space="preserve">Offshore Stations DO </t>
  </si>
  <si>
    <t>MB Bathing Beaches Total Coliform</t>
  </si>
  <si>
    <t>MB Bathing Beaches Fecal Coliform</t>
  </si>
  <si>
    <t>STANDARD CRITERION : 6 - 8.5 mg/L</t>
  </si>
  <si>
    <t>Manila Bay Coordinating Office Water Quality Excel Database</t>
  </si>
  <si>
    <t>Aguinaldo Bridge (New)</t>
  </si>
  <si>
    <t>Pansipit Bridge (New)</t>
  </si>
  <si>
    <t>Panaysayan Bridge (New)</t>
  </si>
  <si>
    <t>Patda Bridge (New)</t>
  </si>
  <si>
    <t>Mag-asawang Layon (New)</t>
  </si>
  <si>
    <t>Lucsuhin Bridge</t>
  </si>
  <si>
    <t>Near Banzon Residence</t>
  </si>
  <si>
    <t>Mag-asawang layon (New)</t>
  </si>
  <si>
    <t>XVIII-Pagsanjan (new)</t>
  </si>
  <si>
    <t>XVII-Sanctuary (new)</t>
  </si>
  <si>
    <t>XV-San Pedro (new)</t>
  </si>
  <si>
    <t>XVI-Sta. Rosa (new)</t>
  </si>
  <si>
    <r>
      <t>STANDARD CRITERION :</t>
    </r>
    <r>
      <rPr>
        <b/>
        <u/>
        <sz val="11"/>
        <rFont val="Calibri"/>
        <family val="2"/>
      </rPr>
      <t xml:space="preserve"> &lt;= 1,000 MPN/100mL</t>
    </r>
  </si>
  <si>
    <t xml:space="preserve"> </t>
  </si>
  <si>
    <t>Lingunan (Canuma Creek)</t>
  </si>
  <si>
    <t>Dasmariñas Bridge</t>
  </si>
  <si>
    <t>Dasmariñas Brige</t>
  </si>
  <si>
    <t>TOTAL STATIONS</t>
  </si>
  <si>
    <t>No. Of Stations</t>
  </si>
  <si>
    <t>No. of Stations</t>
  </si>
  <si>
    <t>No. of Stations Passed</t>
  </si>
  <si>
    <t>% Passed</t>
  </si>
  <si>
    <t>No. of Stations Monitored</t>
  </si>
  <si>
    <t>Total no. of Stations Monitored</t>
  </si>
  <si>
    <t>Total no. of Stations Passed</t>
  </si>
  <si>
    <t>% Passed - Overall</t>
  </si>
  <si>
    <t>SUMMARY</t>
  </si>
  <si>
    <t>2nd 2012</t>
  </si>
  <si>
    <t>1st 2013</t>
  </si>
  <si>
    <t>2nd 2013</t>
  </si>
  <si>
    <t>Total Monitoring Stations</t>
  </si>
  <si>
    <t>No. of Monitoring Stations</t>
  </si>
  <si>
    <t>No. of Montioring Stations</t>
  </si>
  <si>
    <t>No. of Sampling Stations</t>
  </si>
  <si>
    <t>Monitoring Stations</t>
  </si>
  <si>
    <t>REGION 4A</t>
  </si>
  <si>
    <t>River</t>
  </si>
  <si>
    <t xml:space="preserve">% Passing </t>
  </si>
  <si>
    <t>new</t>
  </si>
  <si>
    <t>Percentage of Stations Passed over Monitored</t>
  </si>
  <si>
    <t>Total Stations Monitored</t>
  </si>
  <si>
    <t>Manila Bay Bathing Beaches</t>
  </si>
  <si>
    <t>Manila Bay Offshore</t>
  </si>
  <si>
    <t>Middle</t>
  </si>
  <si>
    <t>Water Body</t>
  </si>
  <si>
    <t>I. 16 Priority Rivers</t>
  </si>
  <si>
    <t>Parameter</t>
  </si>
  <si>
    <t>MAX</t>
  </si>
  <si>
    <t>MIN</t>
  </si>
  <si>
    <t>Range</t>
  </si>
  <si>
    <t>Average</t>
  </si>
  <si>
    <t>II. Pasig River</t>
  </si>
  <si>
    <t>III. Laguna Lake</t>
  </si>
  <si>
    <t>IV. LL Tributaries</t>
  </si>
  <si>
    <t>V. MB Bathing Beaches</t>
  </si>
  <si>
    <t>VI. MB Offshore</t>
  </si>
  <si>
    <t>% ACCOMPLISHMENT</t>
  </si>
  <si>
    <t>PASSED</t>
  </si>
  <si>
    <t>% PASSED</t>
  </si>
  <si>
    <t>Dissolved Oxygen</t>
  </si>
  <si>
    <t># Passed</t>
  </si>
  <si>
    <t># Monitored</t>
  </si>
  <si>
    <t># established</t>
  </si>
  <si>
    <t>Total</t>
  </si>
  <si>
    <t>WATER BODY</t>
  </si>
  <si>
    <t>16 Priority Rivers</t>
  </si>
  <si>
    <t>MB Bathing Beaches</t>
  </si>
  <si>
    <t>Laguna Lake Area</t>
  </si>
  <si>
    <t>MB Offshore (Middle)</t>
  </si>
  <si>
    <t># of SAMPLES TAKEN</t>
  </si>
  <si>
    <t>Biochemical Oxygen Demand</t>
  </si>
  <si>
    <t>-</t>
  </si>
  <si>
    <t>Total Suspended Solids</t>
  </si>
  <si>
    <t>Total Stations</t>
  </si>
  <si>
    <t>1st Quarter 2013</t>
  </si>
  <si>
    <t>2nd Quarter 2013</t>
  </si>
  <si>
    <t>42.594.71</t>
  </si>
  <si>
    <t>5.71.</t>
  </si>
  <si>
    <t>FV</t>
  </si>
  <si>
    <t>*LL Tributaries</t>
  </si>
  <si>
    <t>NA</t>
  </si>
  <si>
    <t>TARGET / ESTABLISHED STATIONS</t>
  </si>
  <si>
    <t>3rd Quarter 2013</t>
  </si>
  <si>
    <t>Expressway Tibag Bridge</t>
  </si>
  <si>
    <t>AVERAGE</t>
  </si>
  <si>
    <t>GEOMEN</t>
  </si>
  <si>
    <t>Bacao II</t>
  </si>
  <si>
    <t>Bacao 11</t>
  </si>
  <si>
    <t>Manila Bay Coordinating Office Water Quality E*cel Database</t>
  </si>
  <si>
    <t>*VIII-Pagsanjan (new)</t>
  </si>
  <si>
    <t>*VII-Sanctuary (new)</t>
  </si>
  <si>
    <t>*V-San Pedro (new)</t>
  </si>
  <si>
    <t>*VI-Sta. Rosa (new)</t>
  </si>
  <si>
    <t>4rth Quarter 2012</t>
  </si>
  <si>
    <t>4rth Quarter 2013</t>
  </si>
  <si>
    <t>1st Quarter 2014</t>
  </si>
  <si>
    <t>2nd Quarter 2014</t>
  </si>
  <si>
    <t>3rd Quarter 2014</t>
  </si>
  <si>
    <t>4th Quarter 2014</t>
  </si>
  <si>
    <t>Meycauyan River</t>
  </si>
  <si>
    <t>1st Quarter 2015</t>
  </si>
  <si>
    <t>2nd Quarter 2015</t>
  </si>
  <si>
    <t>Table 3: Comparison of Water Quality</t>
  </si>
  <si>
    <t>For 1st Quarter 2015 to 4th Quarter 2014 and 1st Quarter 2014</t>
  </si>
  <si>
    <r>
      <t>1</t>
    </r>
    <r>
      <rPr>
        <b/>
        <vertAlign val="superscript"/>
        <sz val="8"/>
        <color rgb="FF000000"/>
        <rFont val="Times New Roman"/>
        <family val="1"/>
      </rPr>
      <t>st</t>
    </r>
    <r>
      <rPr>
        <b/>
        <sz val="8"/>
        <color rgb="FF000000"/>
        <rFont val="Times New Roman"/>
        <family val="1"/>
      </rPr>
      <t xml:space="preserve"> Quarter 2015</t>
    </r>
  </si>
  <si>
    <r>
      <t>4</t>
    </r>
    <r>
      <rPr>
        <b/>
        <vertAlign val="superscript"/>
        <sz val="8"/>
        <color rgb="FF000000"/>
        <rFont val="Times New Roman"/>
        <family val="1"/>
      </rPr>
      <t>th</t>
    </r>
    <r>
      <rPr>
        <b/>
        <sz val="8"/>
        <color rgb="FF000000"/>
        <rFont val="Times New Roman"/>
        <family val="1"/>
      </rPr>
      <t xml:space="preserve"> Quarter 2014</t>
    </r>
  </si>
  <si>
    <r>
      <t>1</t>
    </r>
    <r>
      <rPr>
        <b/>
        <vertAlign val="superscript"/>
        <sz val="8"/>
        <color rgb="FF000000"/>
        <rFont val="Times New Roman"/>
        <family val="1"/>
      </rPr>
      <t>st</t>
    </r>
    <r>
      <rPr>
        <b/>
        <sz val="8"/>
        <color rgb="FF000000"/>
        <rFont val="Times New Roman"/>
        <family val="1"/>
      </rPr>
      <t xml:space="preserve"> Quarter 2014</t>
    </r>
  </si>
  <si>
    <t>LL Tributaries</t>
  </si>
  <si>
    <t>7.10.</t>
  </si>
  <si>
    <t>Paranaque River</t>
  </si>
  <si>
    <t>NMTT River</t>
  </si>
  <si>
    <t>Meycauyan - Valenzuela River</t>
  </si>
  <si>
    <t>Lingunan (canumay)</t>
  </si>
  <si>
    <t>Lingunan(canumay)</t>
  </si>
  <si>
    <t>3rd Quarter 2015</t>
  </si>
  <si>
    <t>x</t>
  </si>
  <si>
    <t>`</t>
  </si>
  <si>
    <t xml:space="preserve">            </t>
  </si>
  <si>
    <t>&lt;0.044</t>
  </si>
  <si>
    <t>Ammonia</t>
  </si>
  <si>
    <t>STANDARD CRITERION : 0.07 mg/L (ASEAN)</t>
  </si>
  <si>
    <t>Hagonoy River</t>
  </si>
  <si>
    <t>Maasim River</t>
  </si>
  <si>
    <t>Atlag River</t>
  </si>
  <si>
    <t>Labangan River</t>
  </si>
  <si>
    <t>San Miguel River</t>
  </si>
  <si>
    <t>Kalsadang Putol Bridge</t>
  </si>
  <si>
    <t>San Juan Bridge</t>
  </si>
  <si>
    <t>San Miguel Bridge</t>
  </si>
  <si>
    <t>Bridge near San Agustin Market</t>
  </si>
  <si>
    <t>Upig Steel Bridge</t>
  </si>
  <si>
    <t>Sapang Putik Hanging Bridge</t>
  </si>
  <si>
    <t>Maasim Bridge</t>
  </si>
  <si>
    <t>Bridge near Villa-Santiago Compound</t>
  </si>
  <si>
    <t>Libo Bridge</t>
  </si>
  <si>
    <t>Atlag Bridge</t>
  </si>
  <si>
    <t>Iba Hanging Bridge</t>
  </si>
  <si>
    <t>Iba Bridge</t>
  </si>
  <si>
    <t>Old Sta. Rita Steel Bridge</t>
  </si>
  <si>
    <t>Oriente Bridge</t>
  </si>
  <si>
    <t>Tanay River - Brgy Wawa</t>
  </si>
  <si>
    <t>Tanay River - Daranak Falls</t>
  </si>
  <si>
    <t>Tanay River - Cuyambay</t>
  </si>
  <si>
    <t>Angono River</t>
  </si>
  <si>
    <t>Tanay- Brgy Wawa</t>
  </si>
  <si>
    <t>Tanay-Daranak Falls</t>
  </si>
  <si>
    <t>Tanay-Cuyambay</t>
  </si>
  <si>
    <t>Stn. I (Central West Bay)</t>
  </si>
  <si>
    <t>Stn . II (East Bay)</t>
  </si>
  <si>
    <t>Stn. IV (Central Bay)</t>
  </si>
  <si>
    <t>Stn. V (Northern West Bay)</t>
  </si>
  <si>
    <t>Stn. VIII (South Bay)</t>
  </si>
  <si>
    <t>Stn. XV (San Pedro)</t>
  </si>
  <si>
    <t>Stn. XVI (Sta. Rosa)</t>
  </si>
  <si>
    <t>Stn. XVII (Sanctuary)</t>
  </si>
  <si>
    <t>Stn. XVIII (Pagsanjan)</t>
  </si>
  <si>
    <t>&lt;0.092*</t>
  </si>
  <si>
    <t>*MDL-Method Detection Limit</t>
  </si>
  <si>
    <t>&lt;1.21*</t>
  </si>
  <si>
    <t>STANDARD CRITERION: &lt;=7mg/L</t>
  </si>
  <si>
    <t>STANDARD CRITERION: &lt;=7mg/L (DAO 2016-08)</t>
  </si>
  <si>
    <t>STANDARD CRITERION : 6.5 - 9.0 mg/L (DAO 2016-08)</t>
  </si>
  <si>
    <t>Lingunan (Canumay Creek )</t>
  </si>
  <si>
    <t>STANDARD CRITERION:&lt;= 5000 MPN/100mL</t>
  </si>
  <si>
    <t>&gt;1600000</t>
  </si>
  <si>
    <t>Station</t>
  </si>
  <si>
    <t>Station1, Salambao</t>
  </si>
  <si>
    <t>Station2, 300m away from 1</t>
  </si>
  <si>
    <t>Station 3, 300m away from 2</t>
  </si>
  <si>
    <t>Angono</t>
  </si>
  <si>
    <t>Mangangate (Muntinlupa) (DS)</t>
  </si>
  <si>
    <t>Mangangate (Muntinlupa) (US)</t>
  </si>
  <si>
    <t>Morong (DS)</t>
  </si>
  <si>
    <t>Morong (US)</t>
  </si>
  <si>
    <t>Pangil DS</t>
  </si>
  <si>
    <t>Pangil US</t>
  </si>
  <si>
    <t>Sta. Maria DS</t>
  </si>
  <si>
    <t>Sta. Maria US</t>
  </si>
  <si>
    <t>Sta. Rosa DS</t>
  </si>
  <si>
    <t>Sta. Rosa MS</t>
  </si>
  <si>
    <t>Sta. Rosa US</t>
  </si>
  <si>
    <t>Tunasan (Muntinlupa) (DS)</t>
  </si>
  <si>
    <t>Tunasan (Muntinlupa) (US)</t>
  </si>
  <si>
    <t>2..00</t>
  </si>
  <si>
    <t>&lt;0.013</t>
  </si>
  <si>
    <t>&lt;2.00</t>
  </si>
  <si>
    <t>&lt;0.048</t>
  </si>
  <si>
    <t>&lt;.048</t>
  </si>
  <si>
    <t xml:space="preserve">                                                          </t>
  </si>
  <si>
    <t>.</t>
  </si>
</sst>
</file>

<file path=xl/styles.xml><?xml version="1.0" encoding="utf-8"?>
<styleSheet xmlns="http://schemas.openxmlformats.org/spreadsheetml/2006/main">
  <numFmts count="11">
    <numFmt numFmtId="43" formatCode="_(* #,##0.00_);_(* \(#,##0.00\);_(* &quot;-&quot;??_);_(@_)"/>
    <numFmt numFmtId="164" formatCode="_(&quot;Php&quot;* #,##0.00_);_(&quot;Php&quot;* \(#,##0.00\);_(&quot;Php&quot;* &quot;-&quot;??_);_(@_)"/>
    <numFmt numFmtId="165" formatCode="0.0"/>
    <numFmt numFmtId="166" formatCode="0.000"/>
    <numFmt numFmtId="167" formatCode="0.0000"/>
    <numFmt numFmtId="168" formatCode="0.00000"/>
    <numFmt numFmtId="169" formatCode="_(* #,##0_);_(* \(#,##0\);_(* &quot;-&quot;??_);_(@_)"/>
    <numFmt numFmtId="170" formatCode="_(* #,##0.000_);_(* \(#,##0.000\);_(* &quot;-&quot;??_);_(@_)"/>
    <numFmt numFmtId="171" formatCode="_(* #,##0.0_);_(* \(#,##0.0\);_(* &quot;-&quot;??_);_(@_)"/>
    <numFmt numFmtId="172" formatCode="0.0%"/>
    <numFmt numFmtId="173" formatCode="&quot;$&quot;#,##0"/>
  </numFmts>
  <fonts count="68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sz val="8"/>
      <name val="Calibri"/>
      <family val="2"/>
      <scheme val="minor"/>
    </font>
    <font>
      <sz val="9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</font>
    <font>
      <sz val="10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</font>
    <font>
      <sz val="11"/>
      <color rgb="FF7030A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u/>
      <sz val="11"/>
      <name val="Calibri"/>
      <family val="2"/>
    </font>
    <font>
      <sz val="12"/>
      <name val="Calibri"/>
      <family val="2"/>
    </font>
    <font>
      <sz val="9"/>
      <name val="Calibri"/>
      <family val="2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4"/>
      <name val="Calibri"/>
      <family val="2"/>
      <scheme val="minor"/>
    </font>
    <font>
      <b/>
      <sz val="14"/>
      <name val="Calibri"/>
      <family val="2"/>
    </font>
    <font>
      <b/>
      <sz val="14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mbria"/>
      <family val="1"/>
    </font>
    <font>
      <sz val="11"/>
      <color theme="1"/>
      <name val="Cambria"/>
      <family val="1"/>
    </font>
    <font>
      <sz val="8"/>
      <color rgb="FF000000"/>
      <name val="Arial"/>
      <family val="2"/>
    </font>
    <font>
      <sz val="9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theme="8" tint="-0.499984740745262"/>
      <name val="Arial Narrow"/>
      <family val="2"/>
    </font>
    <font>
      <sz val="11"/>
      <color theme="8" tint="-0.499984740745262"/>
      <name val="Arial Narrow"/>
      <family val="2"/>
    </font>
    <font>
      <b/>
      <sz val="10"/>
      <name val="Arial"/>
      <family val="2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8"/>
      <color rgb="FF000000"/>
      <name val="Times New Roman"/>
      <family val="1"/>
    </font>
    <font>
      <b/>
      <vertAlign val="superscript"/>
      <sz val="8"/>
      <color rgb="FF000000"/>
      <name val="Times New Roman"/>
      <family val="1"/>
    </font>
    <font>
      <sz val="8"/>
      <color rgb="FF000000"/>
      <name val="Times New Roman"/>
      <family val="1"/>
    </font>
    <font>
      <sz val="8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</patternFill>
    </fill>
    <fill>
      <patternFill patternType="solid">
        <fgColor rgb="FFCCFF6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medium">
        <color theme="6" tint="-0.499984740745262"/>
      </left>
      <right/>
      <top/>
      <bottom/>
      <diagonal/>
    </border>
    <border>
      <left style="thin">
        <color theme="6" tint="-0.49998474074526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6" tint="-0.499984740745262"/>
      </left>
      <right style="medium">
        <color indexed="64"/>
      </right>
      <top style="medium">
        <color indexed="64"/>
      </top>
      <bottom/>
      <diagonal/>
    </border>
    <border>
      <left style="medium">
        <color theme="6" tint="-0.499984740745262"/>
      </left>
      <right style="medium">
        <color indexed="64"/>
      </right>
      <top/>
      <bottom style="thin">
        <color indexed="64"/>
      </bottom>
      <diagonal/>
    </border>
    <border>
      <left style="medium">
        <color theme="6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6" tint="-0.249977111117893"/>
      </top>
      <bottom/>
      <diagonal/>
    </border>
    <border>
      <left style="medium">
        <color theme="6" tint="-0.249977111117893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theme="6" tint="-0.249977111117893"/>
      </right>
      <top style="medium">
        <color indexed="64"/>
      </top>
      <bottom style="medium">
        <color indexed="64"/>
      </bottom>
      <diagonal/>
    </border>
    <border>
      <left style="medium">
        <color theme="6" tint="-0.499984740745262"/>
      </left>
      <right/>
      <top style="medium">
        <color theme="6" tint="-0.499984740745262"/>
      </top>
      <bottom/>
      <diagonal/>
    </border>
    <border>
      <left/>
      <right/>
      <top style="medium">
        <color theme="6" tint="-0.499984740745262"/>
      </top>
      <bottom/>
      <diagonal/>
    </border>
    <border>
      <left/>
      <right style="medium">
        <color theme="6" tint="-0.499984740745262"/>
      </right>
      <top style="medium">
        <color theme="6" tint="-0.499984740745262"/>
      </top>
      <bottom/>
      <diagonal/>
    </border>
    <border>
      <left style="medium">
        <color theme="6" tint="-0.49998474074526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theme="6" tint="-0.499984740745262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theme="6" tint="-0.499984740745262"/>
      </right>
      <top style="medium">
        <color indexed="64"/>
      </top>
      <bottom style="thin">
        <color indexed="64"/>
      </bottom>
      <diagonal/>
    </border>
    <border>
      <left/>
      <right style="medium">
        <color theme="6" tint="-0.499984740745262"/>
      </right>
      <top/>
      <bottom/>
      <diagonal/>
    </border>
    <border>
      <left style="medium">
        <color theme="6" tint="-0.499984740745262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theme="6" tint="-0.499984740745262"/>
      </right>
      <top style="medium">
        <color indexed="64"/>
      </top>
      <bottom style="medium">
        <color indexed="64"/>
      </bottom>
      <diagonal/>
    </border>
    <border>
      <left style="medium">
        <color theme="6" tint="-0.499984740745262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6" tint="-0.499984740745262"/>
      </right>
      <top style="medium">
        <color indexed="64"/>
      </top>
      <bottom style="medium">
        <color indexed="64"/>
      </bottom>
      <diagonal/>
    </border>
    <border>
      <left style="thin">
        <color theme="6" tint="-0.499984740745262"/>
      </left>
      <right/>
      <top/>
      <bottom/>
      <diagonal/>
    </border>
    <border>
      <left style="thin">
        <color indexed="64"/>
      </left>
      <right style="thin">
        <color theme="6" tint="-0.499984740745262"/>
      </right>
      <top/>
      <bottom/>
      <diagonal/>
    </border>
    <border>
      <left/>
      <right style="medium">
        <color theme="6" tint="-0.499984740745262"/>
      </right>
      <top style="medium">
        <color indexed="64"/>
      </top>
      <bottom style="medium">
        <color indexed="64"/>
      </bottom>
      <diagonal/>
    </border>
    <border>
      <left/>
      <right style="thin">
        <color theme="6" tint="-0.499984740745262"/>
      </right>
      <top/>
      <bottom/>
      <diagonal/>
    </border>
    <border>
      <left/>
      <right style="thin">
        <color theme="6" tint="-0.499984740745262"/>
      </right>
      <top style="medium">
        <color indexed="64"/>
      </top>
      <bottom style="medium">
        <color indexed="64"/>
      </bottom>
      <diagonal/>
    </border>
    <border>
      <left style="medium">
        <color theme="6" tint="-0.499984740745262"/>
      </left>
      <right style="thin">
        <color indexed="64"/>
      </right>
      <top/>
      <bottom style="medium">
        <color indexed="64"/>
      </bottom>
      <diagonal/>
    </border>
    <border>
      <left style="medium">
        <color theme="6" tint="-0.499984740745262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9" fillId="0" borderId="0" applyFont="0" applyFill="0" applyBorder="0" applyAlignment="0" applyProtection="0"/>
    <xf numFmtId="0" fontId="8" fillId="0" borderId="0"/>
    <xf numFmtId="0" fontId="6" fillId="0" borderId="0"/>
    <xf numFmtId="9" fontId="9" fillId="0" borderId="0" applyFont="0" applyFill="0" applyBorder="0" applyAlignment="0" applyProtection="0"/>
    <xf numFmtId="0" fontId="46" fillId="20" borderId="0" applyNumberFormat="0" applyBorder="0" applyAlignment="0" applyProtection="0"/>
    <xf numFmtId="164" fontId="9" fillId="0" borderId="0" applyFont="0" applyFill="0" applyBorder="0" applyAlignment="0" applyProtection="0"/>
    <xf numFmtId="0" fontId="66" fillId="30" borderId="0" applyNumberFormat="0" applyBorder="0" applyAlignment="0" applyProtection="0"/>
    <xf numFmtId="0" fontId="67" fillId="31" borderId="0" applyNumberFormat="0" applyBorder="0" applyAlignment="0" applyProtection="0"/>
  </cellStyleXfs>
  <cellXfs count="3898">
    <xf numFmtId="0" fontId="0" fillId="0" borderId="0" xfId="0"/>
    <xf numFmtId="0" fontId="12" fillId="0" borderId="0" xfId="0" applyFont="1"/>
    <xf numFmtId="0" fontId="10" fillId="0" borderId="0" xfId="0" applyFont="1" applyAlignment="1">
      <alignment horizontal="center"/>
    </xf>
    <xf numFmtId="0" fontId="0" fillId="0" borderId="0" xfId="0" applyFont="1"/>
    <xf numFmtId="0" fontId="10" fillId="0" borderId="0" xfId="0" applyFont="1"/>
    <xf numFmtId="0" fontId="0" fillId="0" borderId="0" xfId="0" applyAlignment="1">
      <alignment horizontal="center"/>
    </xf>
    <xf numFmtId="2" fontId="12" fillId="0" borderId="1" xfId="0" applyNumberFormat="1" applyFont="1" applyBorder="1" applyAlignment="1">
      <alignment horizontal="right" vertical="top" wrapText="1"/>
    </xf>
    <xf numFmtId="2" fontId="12" fillId="0" borderId="1" xfId="0" applyNumberFormat="1" applyFont="1" applyFill="1" applyBorder="1" applyAlignment="1">
      <alignment horizontal="right" wrapText="1"/>
    </xf>
    <xf numFmtId="2" fontId="12" fillId="0" borderId="1" xfId="0" applyNumberFormat="1" applyFont="1" applyBorder="1" applyAlignment="1">
      <alignment horizontal="right" vertical="center" wrapText="1"/>
    </xf>
    <xf numFmtId="2" fontId="12" fillId="0" borderId="1" xfId="0" applyNumberFormat="1" applyFont="1" applyFill="1" applyBorder="1" applyAlignment="1">
      <alignment horizontal="right" vertical="center" wrapText="1"/>
    </xf>
    <xf numFmtId="2" fontId="12" fillId="0" borderId="1" xfId="0" applyNumberFormat="1" applyFont="1" applyBorder="1" applyAlignment="1">
      <alignment horizontal="right"/>
    </xf>
    <xf numFmtId="0" fontId="0" fillId="0" borderId="0" xfId="0" applyAlignment="1">
      <alignment horizontal="center" vertical="center"/>
    </xf>
    <xf numFmtId="0" fontId="25" fillId="0" borderId="0" xfId="0" applyFont="1"/>
    <xf numFmtId="0" fontId="12" fillId="0" borderId="0" xfId="0" applyFont="1" applyFill="1" applyBorder="1" applyAlignment="1">
      <alignment vertical="top" wrapText="1"/>
    </xf>
    <xf numFmtId="2" fontId="11" fillId="0" borderId="0" xfId="0" applyNumberFormat="1" applyFont="1" applyFill="1" applyBorder="1" applyAlignment="1">
      <alignment horizontal="right" vertical="top" wrapText="1"/>
    </xf>
    <xf numFmtId="0" fontId="12" fillId="0" borderId="0" xfId="0" applyFont="1" applyBorder="1" applyAlignment="1">
      <alignment vertical="top" wrapText="1"/>
    </xf>
    <xf numFmtId="2" fontId="12" fillId="0" borderId="0" xfId="0" applyNumberFormat="1" applyFont="1" applyBorder="1" applyAlignment="1">
      <alignment horizontal="right" wrapText="1"/>
    </xf>
    <xf numFmtId="2" fontId="12" fillId="0" borderId="0" xfId="0" applyNumberFormat="1" applyFont="1" applyBorder="1" applyAlignment="1">
      <alignment horizontal="right" vertical="top" wrapText="1"/>
    </xf>
    <xf numFmtId="2" fontId="0" fillId="0" borderId="0" xfId="0" applyNumberFormat="1" applyFont="1" applyBorder="1" applyAlignment="1">
      <alignment horizontal="right" vertical="top" wrapText="1"/>
    </xf>
    <xf numFmtId="0" fontId="0" fillId="2" borderId="0" xfId="0" applyFont="1" applyFill="1" applyBorder="1" applyAlignment="1">
      <alignment horizontal="left"/>
    </xf>
    <xf numFmtId="2" fontId="13" fillId="0" borderId="0" xfId="0" applyNumberFormat="1" applyFont="1" applyBorder="1" applyAlignment="1">
      <alignment horizontal="right"/>
    </xf>
    <xf numFmtId="2" fontId="13" fillId="0" borderId="0" xfId="0" applyNumberFormat="1" applyFont="1" applyFill="1" applyBorder="1" applyAlignment="1">
      <alignment horizontal="right"/>
    </xf>
    <xf numFmtId="2" fontId="0" fillId="0" borderId="0" xfId="0" applyNumberFormat="1" applyFont="1" applyBorder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3" applyFont="1" applyFill="1" applyBorder="1" applyAlignment="1">
      <alignment horizontal="left" wrapText="1"/>
    </xf>
    <xf numFmtId="2" fontId="2" fillId="0" borderId="0" xfId="0" applyNumberFormat="1" applyFont="1" applyFill="1" applyBorder="1" applyAlignment="1">
      <alignment horizontal="right" vertical="center"/>
    </xf>
    <xf numFmtId="0" fontId="0" fillId="0" borderId="0" xfId="0" applyBorder="1"/>
    <xf numFmtId="0" fontId="19" fillId="0" borderId="0" xfId="0" applyFont="1" applyBorder="1" applyAlignment="1">
      <alignment wrapText="1"/>
    </xf>
    <xf numFmtId="0" fontId="16" fillId="0" borderId="0" xfId="0" applyFont="1" applyFill="1" applyBorder="1" applyAlignment="1">
      <alignment horizontal="center" wrapText="1"/>
    </xf>
    <xf numFmtId="2" fontId="12" fillId="0" borderId="0" xfId="0" applyNumberFormat="1" applyFont="1" applyBorder="1" applyAlignment="1">
      <alignment horizontal="right" vertical="center" wrapText="1"/>
    </xf>
    <xf numFmtId="2" fontId="11" fillId="0" borderId="0" xfId="0" applyNumberFormat="1" applyFont="1" applyFill="1" applyBorder="1" applyAlignment="1">
      <alignment horizontal="right" wrapText="1"/>
    </xf>
    <xf numFmtId="0" fontId="12" fillId="0" borderId="0" xfId="0" applyFont="1" applyBorder="1" applyAlignment="1">
      <alignment wrapText="1"/>
    </xf>
    <xf numFmtId="0" fontId="18" fillId="0" borderId="0" xfId="0" applyFont="1" applyBorder="1" applyAlignment="1">
      <alignment wrapText="1"/>
    </xf>
    <xf numFmtId="2" fontId="0" fillId="0" borderId="0" xfId="0" applyNumberFormat="1" applyFont="1" applyBorder="1" applyAlignment="1">
      <alignment horizontal="right" wrapText="1"/>
    </xf>
    <xf numFmtId="2" fontId="0" fillId="0" borderId="0" xfId="0" applyNumberFormat="1" applyFill="1" applyBorder="1" applyAlignment="1">
      <alignment horizontal="right" vertical="center"/>
    </xf>
    <xf numFmtId="0" fontId="13" fillId="0" borderId="0" xfId="0" applyFont="1" applyBorder="1" applyAlignment="1">
      <alignment wrapText="1"/>
    </xf>
    <xf numFmtId="2" fontId="13" fillId="0" borderId="0" xfId="0" applyNumberFormat="1" applyFont="1" applyBorder="1" applyAlignment="1">
      <alignment horizontal="right" vertical="center" wrapText="1"/>
    </xf>
    <xf numFmtId="165" fontId="24" fillId="0" borderId="0" xfId="0" applyNumberFormat="1" applyFont="1" applyFill="1" applyBorder="1" applyAlignment="1">
      <alignment horizontal="right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21" fillId="0" borderId="0" xfId="0" applyFont="1"/>
    <xf numFmtId="0" fontId="12" fillId="0" borderId="0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2" fontId="12" fillId="0" borderId="1" xfId="0" applyNumberFormat="1" applyFont="1" applyBorder="1" applyAlignment="1">
      <alignment horizontal="right" vertical="center"/>
    </xf>
    <xf numFmtId="2" fontId="13" fillId="0" borderId="0" xfId="0" applyNumberFormat="1" applyFont="1" applyFill="1" applyBorder="1" applyAlignment="1">
      <alignment horizontal="center"/>
    </xf>
    <xf numFmtId="2" fontId="26" fillId="0" borderId="0" xfId="0" applyNumberFormat="1" applyFont="1" applyFill="1" applyBorder="1" applyAlignment="1">
      <alignment horizontal="center" wrapText="1"/>
    </xf>
    <xf numFmtId="0" fontId="10" fillId="0" borderId="0" xfId="0" applyFont="1" applyBorder="1" applyAlignment="1">
      <alignment horizontal="center"/>
    </xf>
    <xf numFmtId="2" fontId="12" fillId="0" borderId="7" xfId="0" applyNumberFormat="1" applyFont="1" applyBorder="1" applyAlignment="1">
      <alignment horizontal="right" vertical="top" wrapText="1"/>
    </xf>
    <xf numFmtId="2" fontId="12" fillId="0" borderId="7" xfId="0" applyNumberFormat="1" applyFont="1" applyFill="1" applyBorder="1" applyAlignment="1">
      <alignment horizontal="right" wrapText="1"/>
    </xf>
    <xf numFmtId="0" fontId="12" fillId="0" borderId="0" xfId="0" applyFont="1" applyFill="1" applyBorder="1" applyAlignment="1">
      <alignment horizontal="center" wrapText="1"/>
    </xf>
    <xf numFmtId="2" fontId="12" fillId="0" borderId="0" xfId="0" applyNumberFormat="1" applyFont="1" applyFill="1" applyBorder="1" applyAlignment="1">
      <alignment horizontal="right" wrapText="1"/>
    </xf>
    <xf numFmtId="0" fontId="10" fillId="0" borderId="0" xfId="0" applyFont="1" applyBorder="1"/>
    <xf numFmtId="2" fontId="12" fillId="0" borderId="1" xfId="0" applyNumberFormat="1" applyFont="1" applyBorder="1"/>
    <xf numFmtId="2" fontId="12" fillId="0" borderId="4" xfId="0" applyNumberFormat="1" applyFont="1" applyBorder="1" applyAlignment="1">
      <alignment horizontal="right" wrapText="1"/>
    </xf>
    <xf numFmtId="2" fontId="12" fillId="0" borderId="7" xfId="0" applyNumberFormat="1" applyFont="1" applyBorder="1" applyAlignment="1">
      <alignment horizontal="right" wrapText="1"/>
    </xf>
    <xf numFmtId="2" fontId="12" fillId="0" borderId="7" xfId="0" applyNumberFormat="1" applyFont="1" applyBorder="1" applyAlignment="1">
      <alignment horizontal="right" vertical="center" wrapText="1"/>
    </xf>
    <xf numFmtId="2" fontId="12" fillId="0" borderId="7" xfId="0" applyNumberFormat="1" applyFont="1" applyFill="1" applyBorder="1" applyAlignment="1">
      <alignment horizontal="right" vertical="center" wrapText="1"/>
    </xf>
    <xf numFmtId="0" fontId="13" fillId="0" borderId="0" xfId="0" applyFont="1" applyBorder="1" applyAlignment="1">
      <alignment vertical="top" wrapText="1"/>
    </xf>
    <xf numFmtId="0" fontId="13" fillId="0" borderId="0" xfId="0" applyFont="1" applyFill="1" applyBorder="1" applyAlignment="1">
      <alignment horizontal="center" vertical="center" wrapText="1"/>
    </xf>
    <xf numFmtId="2" fontId="12" fillId="0" borderId="27" xfId="0" applyNumberFormat="1" applyFont="1" applyBorder="1"/>
    <xf numFmtId="0" fontId="0" fillId="0" borderId="0" xfId="0" applyAlignment="1"/>
    <xf numFmtId="2" fontId="2" fillId="0" borderId="1" xfId="0" applyNumberFormat="1" applyFont="1" applyBorder="1" applyAlignment="1">
      <alignment horizontal="right" wrapText="1"/>
    </xf>
    <xf numFmtId="0" fontId="0" fillId="0" borderId="0" xfId="0" applyFill="1" applyBorder="1"/>
    <xf numFmtId="0" fontId="12" fillId="0" borderId="27" xfId="0" applyFont="1" applyBorder="1" applyAlignment="1">
      <alignment horizontal="center" vertical="center" wrapText="1"/>
    </xf>
    <xf numFmtId="2" fontId="11" fillId="0" borderId="0" xfId="0" applyNumberFormat="1" applyFont="1" applyFill="1" applyBorder="1" applyAlignment="1">
      <alignment horizontal="right" vertical="center" wrapText="1"/>
    </xf>
    <xf numFmtId="0" fontId="12" fillId="0" borderId="0" xfId="0" applyFont="1" applyBorder="1" applyAlignment="1">
      <alignment horizontal="left" vertical="top" wrapText="1"/>
    </xf>
    <xf numFmtId="0" fontId="0" fillId="0" borderId="0" xfId="0" applyBorder="1" applyAlignment="1">
      <alignment horizontal="left" wrapText="1"/>
    </xf>
    <xf numFmtId="2" fontId="12" fillId="0" borderId="0" xfId="0" applyNumberFormat="1" applyFont="1" applyBorder="1" applyAlignment="1">
      <alignment horizontal="right"/>
    </xf>
    <xf numFmtId="0" fontId="0" fillId="0" borderId="0" xfId="0" applyFill="1" applyBorder="1" applyAlignment="1"/>
    <xf numFmtId="0" fontId="12" fillId="0" borderId="0" xfId="0" applyFont="1" applyFill="1" applyBorder="1" applyAlignment="1">
      <alignment horizontal="justify" vertical="top" wrapText="1"/>
    </xf>
    <xf numFmtId="2" fontId="12" fillId="0" borderId="0" xfId="0" applyNumberFormat="1" applyFont="1" applyFill="1" applyBorder="1" applyAlignment="1">
      <alignment horizontal="right" vertical="top" wrapText="1"/>
    </xf>
    <xf numFmtId="0" fontId="0" fillId="0" borderId="0" xfId="0" applyFont="1" applyFill="1" applyBorder="1"/>
    <xf numFmtId="2" fontId="12" fillId="0" borderId="36" xfId="0" applyNumberFormat="1" applyFont="1" applyFill="1" applyBorder="1" applyAlignment="1">
      <alignment horizontal="center" vertical="center" wrapText="1"/>
    </xf>
    <xf numFmtId="0" fontId="12" fillId="0" borderId="0" xfId="0" applyFont="1" applyFill="1" applyBorder="1"/>
    <xf numFmtId="0" fontId="12" fillId="0" borderId="0" xfId="0" applyFont="1" applyFill="1" applyBorder="1" applyAlignment="1">
      <alignment wrapText="1"/>
    </xf>
    <xf numFmtId="2" fontId="12" fillId="0" borderId="0" xfId="0" applyNumberFormat="1" applyFont="1" applyFill="1" applyBorder="1" applyAlignment="1">
      <alignment horizontal="right" vertical="center" wrapText="1"/>
    </xf>
    <xf numFmtId="0" fontId="12" fillId="0" borderId="30" xfId="0" applyFont="1" applyBorder="1" applyAlignment="1">
      <alignment wrapText="1"/>
    </xf>
    <xf numFmtId="0" fontId="12" fillId="0" borderId="31" xfId="0" applyFont="1" applyBorder="1" applyAlignment="1">
      <alignment wrapText="1"/>
    </xf>
    <xf numFmtId="2" fontId="29" fillId="0" borderId="0" xfId="0" applyNumberFormat="1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center"/>
    </xf>
    <xf numFmtId="0" fontId="0" fillId="0" borderId="0" xfId="0" applyFill="1"/>
    <xf numFmtId="2" fontId="16" fillId="0" borderId="0" xfId="0" applyNumberFormat="1" applyFont="1" applyFill="1" applyBorder="1" applyAlignment="1">
      <alignment horizontal="right" wrapText="1"/>
    </xf>
    <xf numFmtId="0" fontId="19" fillId="0" borderId="0" xfId="0" applyFont="1" applyFill="1" applyBorder="1" applyAlignment="1">
      <alignment wrapText="1"/>
    </xf>
    <xf numFmtId="2" fontId="0" fillId="0" borderId="0" xfId="0" applyNumberFormat="1" applyFont="1" applyFill="1" applyBorder="1" applyAlignment="1">
      <alignment horizontal="right" vertical="top" wrapText="1"/>
    </xf>
    <xf numFmtId="0" fontId="10" fillId="0" borderId="0" xfId="0" applyFont="1" applyFill="1" applyBorder="1"/>
    <xf numFmtId="2" fontId="0" fillId="0" borderId="0" xfId="0" applyNumberFormat="1" applyFont="1" applyFill="1" applyBorder="1" applyAlignment="1">
      <alignment horizontal="right" wrapText="1"/>
    </xf>
    <xf numFmtId="0" fontId="12" fillId="0" borderId="0" xfId="0" applyFont="1" applyFill="1" applyBorder="1" applyAlignment="1">
      <alignment horizontal="left" vertical="top" wrapText="1"/>
    </xf>
    <xf numFmtId="0" fontId="0" fillId="0" borderId="0" xfId="0" applyFont="1" applyFill="1" applyBorder="1" applyAlignment="1">
      <alignment horizontal="left"/>
    </xf>
    <xf numFmtId="2" fontId="12" fillId="0" borderId="0" xfId="0" applyNumberFormat="1" applyFont="1" applyFill="1" applyBorder="1" applyAlignment="1">
      <alignment horizontal="right"/>
    </xf>
    <xf numFmtId="0" fontId="12" fillId="0" borderId="0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 wrapText="1"/>
    </xf>
    <xf numFmtId="2" fontId="0" fillId="0" borderId="0" xfId="0" applyNumberFormat="1" applyFont="1" applyFill="1" applyBorder="1" applyAlignment="1">
      <alignment horizontal="right" vertical="center"/>
    </xf>
    <xf numFmtId="0" fontId="2" fillId="0" borderId="0" xfId="3" applyFont="1" applyFill="1" applyBorder="1" applyAlignment="1">
      <alignment horizontal="left" wrapText="1"/>
    </xf>
    <xf numFmtId="0" fontId="0" fillId="0" borderId="0" xfId="0" applyFill="1" applyBorder="1" applyAlignment="1">
      <alignment horizontal="right"/>
    </xf>
    <xf numFmtId="2" fontId="12" fillId="0" borderId="0" xfId="0" applyNumberFormat="1" applyFont="1" applyFill="1" applyBorder="1" applyAlignment="1">
      <alignment horizontal="right" vertical="center"/>
    </xf>
    <xf numFmtId="2" fontId="11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wrapText="1"/>
    </xf>
    <xf numFmtId="0" fontId="22" fillId="0" borderId="0" xfId="0" applyFont="1" applyFill="1" applyBorder="1" applyAlignment="1">
      <alignment wrapText="1"/>
    </xf>
    <xf numFmtId="2" fontId="0" fillId="0" borderId="0" xfId="0" applyNumberFormat="1" applyFont="1" applyFill="1" applyBorder="1" applyAlignment="1">
      <alignment horizontal="right"/>
    </xf>
    <xf numFmtId="2" fontId="0" fillId="0" borderId="0" xfId="0" applyNumberFormat="1" applyFont="1" applyFill="1" applyBorder="1" applyAlignment="1">
      <alignment horizontal="center" vertical="center"/>
    </xf>
    <xf numFmtId="0" fontId="12" fillId="0" borderId="37" xfId="0" applyFont="1" applyBorder="1" applyAlignment="1">
      <alignment wrapText="1"/>
    </xf>
    <xf numFmtId="0" fontId="12" fillId="0" borderId="35" xfId="0" applyFont="1" applyBorder="1" applyAlignment="1">
      <alignment wrapText="1"/>
    </xf>
    <xf numFmtId="0" fontId="12" fillId="2" borderId="30" xfId="0" applyFont="1" applyFill="1" applyBorder="1"/>
    <xf numFmtId="0" fontId="12" fillId="2" borderId="30" xfId="0" applyFont="1" applyFill="1" applyBorder="1" applyAlignment="1">
      <alignment horizontal="left"/>
    </xf>
    <xf numFmtId="0" fontId="12" fillId="0" borderId="30" xfId="0" applyFont="1" applyFill="1" applyBorder="1"/>
    <xf numFmtId="0" fontId="12" fillId="2" borderId="31" xfId="0" applyFont="1" applyFill="1" applyBorder="1" applyAlignment="1">
      <alignment horizontal="left"/>
    </xf>
    <xf numFmtId="0" fontId="12" fillId="0" borderId="29" xfId="0" applyFont="1" applyBorder="1"/>
    <xf numFmtId="0" fontId="12" fillId="0" borderId="30" xfId="0" applyFont="1" applyBorder="1"/>
    <xf numFmtId="0" fontId="0" fillId="11" borderId="0" xfId="0" applyFill="1"/>
    <xf numFmtId="0" fontId="12" fillId="11" borderId="0" xfId="0" applyFont="1" applyFill="1" applyBorder="1" applyAlignment="1">
      <alignment horizontal="center" vertical="center" wrapText="1"/>
    </xf>
    <xf numFmtId="0" fontId="12" fillId="11" borderId="0" xfId="0" applyFont="1" applyFill="1" applyBorder="1" applyAlignment="1">
      <alignment wrapText="1"/>
    </xf>
    <xf numFmtId="2" fontId="12" fillId="11" borderId="0" xfId="0" applyNumberFormat="1" applyFont="1" applyFill="1" applyBorder="1" applyAlignment="1">
      <alignment horizontal="right" wrapText="1"/>
    </xf>
    <xf numFmtId="2" fontId="12" fillId="11" borderId="0" xfId="0" applyNumberFormat="1" applyFont="1" applyFill="1" applyBorder="1" applyAlignment="1">
      <alignment horizontal="right" vertical="top" wrapText="1"/>
    </xf>
    <xf numFmtId="2" fontId="12" fillId="11" borderId="0" xfId="0" applyNumberFormat="1" applyFont="1" applyFill="1" applyBorder="1" applyAlignment="1">
      <alignment horizontal="center" vertical="center" wrapText="1"/>
    </xf>
    <xf numFmtId="0" fontId="16" fillId="11" borderId="0" xfId="0" applyFont="1" applyFill="1" applyBorder="1" applyAlignment="1">
      <alignment horizontal="center" vertical="center"/>
    </xf>
    <xf numFmtId="0" fontId="16" fillId="11" borderId="0" xfId="0" applyFont="1" applyFill="1" applyBorder="1" applyAlignment="1">
      <alignment horizontal="center" vertical="center" wrapText="1"/>
    </xf>
    <xf numFmtId="0" fontId="16" fillId="11" borderId="0" xfId="0" applyFont="1" applyFill="1" applyBorder="1" applyAlignment="1">
      <alignment horizontal="center" wrapText="1"/>
    </xf>
    <xf numFmtId="0" fontId="0" fillId="11" borderId="0" xfId="0" applyFont="1" applyFill="1"/>
    <xf numFmtId="0" fontId="12" fillId="11" borderId="0" xfId="0" applyFont="1" applyFill="1" applyBorder="1" applyAlignment="1">
      <alignment horizontal="center" wrapText="1"/>
    </xf>
    <xf numFmtId="10" fontId="12" fillId="11" borderId="0" xfId="0" applyNumberFormat="1" applyFont="1" applyFill="1" applyBorder="1" applyAlignment="1">
      <alignment horizontal="right" wrapText="1"/>
    </xf>
    <xf numFmtId="2" fontId="12" fillId="11" borderId="0" xfId="0" applyNumberFormat="1" applyFont="1" applyFill="1" applyBorder="1" applyAlignment="1">
      <alignment horizontal="right" vertical="center" wrapText="1"/>
    </xf>
    <xf numFmtId="0" fontId="0" fillId="11" borderId="0" xfId="0" applyFill="1" applyBorder="1"/>
    <xf numFmtId="0" fontId="0" fillId="11" borderId="0" xfId="0" applyFont="1" applyFill="1" applyBorder="1"/>
    <xf numFmtId="0" fontId="12" fillId="11" borderId="0" xfId="0" applyFont="1" applyFill="1" applyBorder="1" applyAlignment="1">
      <alignment horizontal="center" vertical="center"/>
    </xf>
    <xf numFmtId="0" fontId="12" fillId="11" borderId="0" xfId="0" applyFont="1" applyFill="1" applyBorder="1"/>
    <xf numFmtId="0" fontId="12" fillId="11" borderId="0" xfId="0" applyFont="1" applyFill="1" applyBorder="1" applyAlignment="1">
      <alignment horizontal="justify" vertical="top" wrapText="1"/>
    </xf>
    <xf numFmtId="0" fontId="12" fillId="11" borderId="0" xfId="0" applyFont="1" applyFill="1" applyBorder="1" applyAlignment="1">
      <alignment vertical="top" wrapText="1"/>
    </xf>
    <xf numFmtId="0" fontId="10" fillId="11" borderId="0" xfId="0" applyFont="1" applyFill="1" applyBorder="1" applyAlignment="1">
      <alignment horizontal="center" vertical="top" wrapText="1"/>
    </xf>
    <xf numFmtId="0" fontId="10" fillId="11" borderId="0" xfId="0" applyFont="1" applyFill="1" applyBorder="1" applyAlignment="1">
      <alignment horizontal="center" vertical="center"/>
    </xf>
    <xf numFmtId="0" fontId="12" fillId="11" borderId="0" xfId="0" applyFont="1" applyFill="1" applyBorder="1" applyAlignment="1">
      <alignment horizontal="center" vertical="top" wrapText="1"/>
    </xf>
    <xf numFmtId="0" fontId="15" fillId="0" borderId="0" xfId="0" applyFont="1" applyFill="1" applyBorder="1"/>
    <xf numFmtId="0" fontId="7" fillId="0" borderId="0" xfId="3" applyFont="1" applyFill="1" applyBorder="1" applyAlignment="1">
      <alignment horizontal="left" wrapText="1"/>
    </xf>
    <xf numFmtId="43" fontId="5" fillId="0" borderId="0" xfId="1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vertical="top" wrapText="1"/>
    </xf>
    <xf numFmtId="2" fontId="13" fillId="0" borderId="0" xfId="0" applyNumberFormat="1" applyFont="1" applyFill="1" applyBorder="1" applyAlignment="1">
      <alignment horizontal="right" vertical="center" wrapText="1"/>
    </xf>
    <xf numFmtId="165" fontId="13" fillId="0" borderId="0" xfId="0" applyNumberFormat="1" applyFont="1" applyFill="1" applyBorder="1" applyAlignment="1">
      <alignment horizontal="right" vertical="center" wrapText="1"/>
    </xf>
    <xf numFmtId="165" fontId="14" fillId="0" borderId="0" xfId="0" applyNumberFormat="1" applyFont="1" applyFill="1" applyBorder="1" applyAlignment="1">
      <alignment horizontal="right" vertical="center" wrapText="1"/>
    </xf>
    <xf numFmtId="0" fontId="15" fillId="0" borderId="0" xfId="0" applyFont="1" applyFill="1" applyBorder="1" applyAlignment="1">
      <alignment horizontal="left"/>
    </xf>
    <xf numFmtId="2" fontId="21" fillId="0" borderId="0" xfId="0" applyNumberFormat="1" applyFont="1" applyFill="1" applyBorder="1" applyAlignment="1">
      <alignment horizontal="right" vertical="center"/>
    </xf>
    <xf numFmtId="0" fontId="11" fillId="0" borderId="0" xfId="0" applyFont="1" applyFill="1" applyBorder="1" applyAlignment="1">
      <alignment horizontal="right"/>
    </xf>
    <xf numFmtId="43" fontId="9" fillId="0" borderId="0" xfId="1" applyNumberFormat="1" applyFont="1" applyFill="1" applyBorder="1" applyAlignment="1">
      <alignment horizontal="center" vertical="center"/>
    </xf>
    <xf numFmtId="2" fontId="11" fillId="0" borderId="0" xfId="0" applyNumberFormat="1" applyFont="1" applyFill="1" applyBorder="1"/>
    <xf numFmtId="2" fontId="0" fillId="0" borderId="0" xfId="0" applyNumberFormat="1" applyFont="1" applyFill="1" applyBorder="1"/>
    <xf numFmtId="2" fontId="0" fillId="0" borderId="0" xfId="0" applyNumberFormat="1" applyFill="1" applyBorder="1"/>
    <xf numFmtId="0" fontId="13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justify" vertical="top" wrapText="1"/>
    </xf>
    <xf numFmtId="0" fontId="14" fillId="0" borderId="0" xfId="0" applyFont="1" applyFill="1" applyBorder="1" applyAlignment="1">
      <alignment vertical="top" wrapText="1"/>
    </xf>
    <xf numFmtId="165" fontId="13" fillId="0" borderId="0" xfId="0" applyNumberFormat="1" applyFont="1" applyFill="1" applyBorder="1" applyAlignment="1">
      <alignment horizontal="right" vertical="center"/>
    </xf>
    <xf numFmtId="2" fontId="11" fillId="0" borderId="0" xfId="0" applyNumberFormat="1" applyFont="1" applyFill="1" applyBorder="1" applyAlignment="1">
      <alignment horizontal="right"/>
    </xf>
    <xf numFmtId="0" fontId="4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vertical="top" wrapText="1"/>
    </xf>
    <xf numFmtId="0" fontId="4" fillId="0" borderId="0" xfId="0" applyFont="1" applyFill="1" applyBorder="1" applyAlignment="1">
      <alignment horizontal="center" wrapText="1"/>
    </xf>
    <xf numFmtId="0" fontId="23" fillId="0" borderId="0" xfId="0" applyFont="1" applyFill="1" applyBorder="1" applyAlignment="1">
      <alignment horizontal="center" vertical="top" wrapText="1"/>
    </xf>
    <xf numFmtId="0" fontId="4" fillId="0" borderId="0" xfId="0" applyFont="1" applyFill="1" applyBorder="1" applyAlignment="1">
      <alignment horizontal="center" vertical="top" wrapText="1"/>
    </xf>
    <xf numFmtId="0" fontId="15" fillId="0" borderId="0" xfId="0" applyFont="1" applyFill="1" applyBorder="1" applyAlignment="1">
      <alignment horizontal="center" vertical="top" wrapText="1"/>
    </xf>
    <xf numFmtId="0" fontId="11" fillId="0" borderId="0" xfId="0" applyFont="1" applyFill="1" applyBorder="1"/>
    <xf numFmtId="0" fontId="4" fillId="0" borderId="0" xfId="0" applyFont="1" applyFill="1" applyBorder="1" applyAlignment="1">
      <alignment horizontal="justify" vertical="top" wrapText="1"/>
    </xf>
    <xf numFmtId="0" fontId="4" fillId="0" borderId="0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 wrapText="1"/>
    </xf>
    <xf numFmtId="0" fontId="15" fillId="0" borderId="0" xfId="0" applyFont="1" applyFill="1" applyBorder="1" applyAlignment="1">
      <alignment wrapText="1"/>
    </xf>
    <xf numFmtId="2" fontId="0" fillId="0" borderId="0" xfId="0" applyNumberFormat="1" applyFill="1" applyBorder="1" applyAlignment="1">
      <alignment horizontal="center"/>
    </xf>
    <xf numFmtId="2" fontId="11" fillId="0" borderId="0" xfId="0" applyNumberFormat="1" applyFont="1" applyFill="1" applyBorder="1" applyAlignment="1">
      <alignment horizontal="right" vertical="center"/>
    </xf>
    <xf numFmtId="0" fontId="23" fillId="0" borderId="0" xfId="0" applyFont="1" applyFill="1" applyBorder="1"/>
    <xf numFmtId="2" fontId="11" fillId="0" borderId="0" xfId="0" applyNumberFormat="1" applyFont="1" applyFill="1" applyBorder="1" applyAlignment="1">
      <alignment horizontal="center"/>
    </xf>
    <xf numFmtId="165" fontId="11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6" fillId="0" borderId="0" xfId="3" applyFill="1" applyBorder="1"/>
    <xf numFmtId="0" fontId="25" fillId="0" borderId="0" xfId="0" applyFont="1" applyFill="1" applyBorder="1"/>
    <xf numFmtId="0" fontId="0" fillId="0" borderId="0" xfId="0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center"/>
    </xf>
    <xf numFmtId="166" fontId="12" fillId="0" borderId="0" xfId="0" applyNumberFormat="1" applyFont="1" applyFill="1" applyBorder="1" applyAlignment="1">
      <alignment horizontal="center" vertical="center"/>
    </xf>
    <xf numFmtId="167" fontId="12" fillId="0" borderId="0" xfId="0" applyNumberFormat="1" applyFont="1" applyFill="1" applyBorder="1" applyAlignment="1">
      <alignment horizontal="center" vertical="center"/>
    </xf>
    <xf numFmtId="2" fontId="26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wrapText="1"/>
    </xf>
    <xf numFmtId="0" fontId="17" fillId="0" borderId="0" xfId="0" applyFont="1" applyFill="1" applyBorder="1" applyAlignment="1">
      <alignment horizontal="center" wrapText="1"/>
    </xf>
    <xf numFmtId="0" fontId="17" fillId="0" borderId="0" xfId="0" applyFont="1" applyFill="1" applyBorder="1" applyAlignment="1">
      <alignment horizontal="center" vertical="top" wrapText="1"/>
    </xf>
    <xf numFmtId="0" fontId="13" fillId="0" borderId="0" xfId="0" applyFont="1" applyFill="1" applyBorder="1" applyAlignment="1">
      <alignment horizontal="center"/>
    </xf>
    <xf numFmtId="0" fontId="24" fillId="0" borderId="0" xfId="0" applyFont="1" applyFill="1" applyBorder="1"/>
    <xf numFmtId="0" fontId="0" fillId="0" borderId="0" xfId="0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top"/>
    </xf>
    <xf numFmtId="0" fontId="14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wrapText="1"/>
    </xf>
    <xf numFmtId="0" fontId="11" fillId="0" borderId="0" xfId="0" applyFont="1" applyFill="1" applyBorder="1" applyAlignment="1">
      <alignment horizontal="center" vertical="center"/>
    </xf>
    <xf numFmtId="2" fontId="12" fillId="0" borderId="0" xfId="0" applyNumberFormat="1" applyFont="1" applyFill="1" applyBorder="1" applyAlignment="1">
      <alignment horizontal="center" vertical="center"/>
    </xf>
    <xf numFmtId="2" fontId="2" fillId="0" borderId="0" xfId="0" applyNumberFormat="1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0" fontId="0" fillId="11" borderId="0" xfId="0" applyFill="1" applyBorder="1" applyAlignment="1">
      <alignment horizontal="center"/>
    </xf>
    <xf numFmtId="0" fontId="10" fillId="11" borderId="0" xfId="0" applyFont="1" applyFill="1" applyAlignment="1">
      <alignment horizontal="center"/>
    </xf>
    <xf numFmtId="0" fontId="3" fillId="11" borderId="0" xfId="0" applyFont="1" applyFill="1" applyBorder="1" applyAlignment="1">
      <alignment horizontal="center" vertical="center" wrapText="1"/>
    </xf>
    <xf numFmtId="0" fontId="28" fillId="11" borderId="0" xfId="0" applyFont="1" applyFill="1" applyBorder="1"/>
    <xf numFmtId="0" fontId="14" fillId="11" borderId="0" xfId="0" applyFont="1" applyFill="1" applyBorder="1" applyAlignment="1">
      <alignment horizontal="center" vertical="center" wrapText="1"/>
    </xf>
    <xf numFmtId="2" fontId="12" fillId="11" borderId="0" xfId="0" applyNumberFormat="1" applyFont="1" applyFill="1" applyBorder="1"/>
    <xf numFmtId="0" fontId="2" fillId="2" borderId="30" xfId="0" applyFont="1" applyFill="1" applyBorder="1" applyAlignment="1">
      <alignment horizontal="left"/>
    </xf>
    <xf numFmtId="0" fontId="2" fillId="2" borderId="30" xfId="0" applyFont="1" applyFill="1" applyBorder="1"/>
    <xf numFmtId="0" fontId="2" fillId="0" borderId="30" xfId="0" applyFont="1" applyFill="1" applyBorder="1"/>
    <xf numFmtId="0" fontId="2" fillId="2" borderId="37" xfId="0" applyFont="1" applyFill="1" applyBorder="1" applyAlignment="1">
      <alignment horizontal="left"/>
    </xf>
    <xf numFmtId="0" fontId="2" fillId="0" borderId="30" xfId="0" applyFont="1" applyBorder="1" applyAlignment="1">
      <alignment wrapText="1"/>
    </xf>
    <xf numFmtId="0" fontId="4" fillId="11" borderId="0" xfId="0" applyFont="1" applyFill="1" applyBorder="1" applyAlignment="1">
      <alignment horizontal="center" wrapText="1"/>
    </xf>
    <xf numFmtId="0" fontId="2" fillId="11" borderId="0" xfId="0" applyFont="1" applyFill="1" applyBorder="1" applyAlignment="1">
      <alignment vertical="top" wrapText="1"/>
    </xf>
    <xf numFmtId="0" fontId="2" fillId="11" borderId="0" xfId="0" applyFont="1" applyFill="1" applyBorder="1" applyAlignment="1">
      <alignment horizontal="right" vertical="top" wrapText="1"/>
    </xf>
    <xf numFmtId="0" fontId="12" fillId="11" borderId="0" xfId="0" applyFont="1" applyFill="1" applyBorder="1" applyAlignment="1">
      <alignment horizontal="right"/>
    </xf>
    <xf numFmtId="0" fontId="0" fillId="11" borderId="0" xfId="0" applyFill="1" applyBorder="1" applyAlignment="1">
      <alignment wrapText="1"/>
    </xf>
    <xf numFmtId="0" fontId="2" fillId="11" borderId="0" xfId="0" applyFont="1" applyFill="1" applyBorder="1" applyAlignment="1">
      <alignment wrapText="1"/>
    </xf>
    <xf numFmtId="0" fontId="2" fillId="11" borderId="0" xfId="0" applyFont="1" applyFill="1" applyBorder="1" applyAlignment="1">
      <alignment horizontal="right" wrapText="1"/>
    </xf>
    <xf numFmtId="0" fontId="2" fillId="11" borderId="0" xfId="0" applyFont="1" applyFill="1" applyBorder="1" applyAlignment="1">
      <alignment horizontal="center" vertical="center"/>
    </xf>
    <xf numFmtId="0" fontId="2" fillId="11" borderId="0" xfId="0" applyFont="1" applyFill="1" applyBorder="1" applyAlignment="1">
      <alignment horizontal="center" vertical="center" wrapText="1"/>
    </xf>
    <xf numFmtId="0" fontId="2" fillId="11" borderId="0" xfId="0" applyFont="1" applyFill="1" applyBorder="1" applyAlignment="1">
      <alignment horizontal="justify" vertical="top" wrapText="1"/>
    </xf>
    <xf numFmtId="0" fontId="2" fillId="11" borderId="0" xfId="0" applyFont="1" applyFill="1" applyBorder="1" applyAlignment="1">
      <alignment horizontal="right"/>
    </xf>
    <xf numFmtId="0" fontId="12" fillId="2" borderId="37" xfId="0" applyFont="1" applyFill="1" applyBorder="1" applyAlignment="1">
      <alignment horizontal="left"/>
    </xf>
    <xf numFmtId="0" fontId="2" fillId="0" borderId="37" xfId="0" applyFont="1" applyBorder="1" applyAlignment="1">
      <alignment wrapText="1"/>
    </xf>
    <xf numFmtId="2" fontId="12" fillId="11" borderId="0" xfId="0" applyNumberFormat="1" applyFont="1" applyFill="1" applyBorder="1" applyAlignment="1">
      <alignment horizontal="right"/>
    </xf>
    <xf numFmtId="0" fontId="0" fillId="11" borderId="0" xfId="0" applyFont="1" applyFill="1" applyBorder="1" applyAlignment="1">
      <alignment wrapText="1"/>
    </xf>
    <xf numFmtId="0" fontId="0" fillId="11" borderId="0" xfId="0" applyFont="1" applyFill="1" applyBorder="1" applyAlignment="1">
      <alignment horizontal="center" vertical="center"/>
    </xf>
    <xf numFmtId="0" fontId="25" fillId="11" borderId="0" xfId="0" applyFont="1" applyFill="1"/>
    <xf numFmtId="0" fontId="25" fillId="11" borderId="0" xfId="0" applyFont="1" applyFill="1" applyBorder="1"/>
    <xf numFmtId="0" fontId="0" fillId="11" borderId="0" xfId="0" applyFill="1" applyBorder="1" applyAlignment="1">
      <alignment horizontal="center" wrapText="1"/>
    </xf>
    <xf numFmtId="166" fontId="12" fillId="11" borderId="0" xfId="0" applyNumberFormat="1" applyFont="1" applyFill="1" applyBorder="1" applyAlignment="1">
      <alignment horizontal="center" vertical="center"/>
    </xf>
    <xf numFmtId="0" fontId="12" fillId="11" borderId="0" xfId="0" applyFont="1" applyFill="1" applyBorder="1" applyAlignment="1">
      <alignment horizontal="right" vertical="top" wrapText="1"/>
    </xf>
    <xf numFmtId="0" fontId="12" fillId="11" borderId="0" xfId="0" applyFont="1" applyFill="1" applyBorder="1" applyAlignment="1">
      <alignment horizontal="right" wrapText="1"/>
    </xf>
    <xf numFmtId="0" fontId="28" fillId="11" borderId="0" xfId="0" applyFont="1" applyFill="1" applyBorder="1" applyAlignment="1">
      <alignment wrapText="1"/>
    </xf>
    <xf numFmtId="0" fontId="28" fillId="11" borderId="0" xfId="0" applyFont="1" applyFill="1" applyBorder="1" applyAlignment="1">
      <alignment horizontal="center" wrapText="1"/>
    </xf>
    <xf numFmtId="0" fontId="28" fillId="11" borderId="0" xfId="0" applyFont="1" applyFill="1" applyBorder="1" applyAlignment="1">
      <alignment horizontal="center" vertical="top" wrapText="1"/>
    </xf>
    <xf numFmtId="0" fontId="0" fillId="11" borderId="0" xfId="0" applyFont="1" applyFill="1" applyBorder="1" applyAlignment="1">
      <alignment horizontal="right"/>
    </xf>
    <xf numFmtId="166" fontId="12" fillId="11" borderId="0" xfId="0" applyNumberFormat="1" applyFont="1" applyFill="1" applyBorder="1" applyAlignment="1">
      <alignment horizontal="right"/>
    </xf>
    <xf numFmtId="167" fontId="12" fillId="11" borderId="0" xfId="0" applyNumberFormat="1" applyFont="1" applyFill="1" applyBorder="1" applyAlignment="1">
      <alignment horizontal="right"/>
    </xf>
    <xf numFmtId="0" fontId="12" fillId="0" borderId="31" xfId="0" applyFont="1" applyBorder="1"/>
    <xf numFmtId="0" fontId="16" fillId="11" borderId="0" xfId="0" applyFont="1" applyFill="1" applyBorder="1" applyAlignment="1">
      <alignment horizontal="center" vertical="top" wrapText="1"/>
    </xf>
    <xf numFmtId="0" fontId="12" fillId="11" borderId="0" xfId="0" applyFont="1" applyFill="1" applyBorder="1" applyAlignment="1">
      <alignment horizontal="right" vertical="center"/>
    </xf>
    <xf numFmtId="166" fontId="12" fillId="11" borderId="0" xfId="0" applyNumberFormat="1" applyFont="1" applyFill="1" applyBorder="1" applyAlignment="1">
      <alignment horizontal="right" vertical="center"/>
    </xf>
    <xf numFmtId="166" fontId="12" fillId="11" borderId="0" xfId="0" applyNumberFormat="1" applyFont="1" applyFill="1" applyBorder="1"/>
    <xf numFmtId="2" fontId="0" fillId="11" borderId="0" xfId="0" applyNumberFormat="1" applyFont="1" applyFill="1" applyBorder="1" applyAlignment="1">
      <alignment horizontal="right" vertical="top" wrapText="1"/>
    </xf>
    <xf numFmtId="0" fontId="12" fillId="11" borderId="0" xfId="0" applyFont="1" applyFill="1"/>
    <xf numFmtId="0" fontId="12" fillId="11" borderId="0" xfId="0" applyFont="1" applyFill="1" applyBorder="1" applyAlignment="1"/>
    <xf numFmtId="0" fontId="20" fillId="11" borderId="0" xfId="0" applyFont="1" applyFill="1" applyBorder="1" applyAlignment="1">
      <alignment horizontal="center" vertical="center" wrapText="1"/>
    </xf>
    <xf numFmtId="2" fontId="12" fillId="11" borderId="0" xfId="0" applyNumberFormat="1" applyFont="1" applyFill="1" applyBorder="1" applyAlignment="1">
      <alignment horizontal="center" vertical="top" wrapText="1"/>
    </xf>
    <xf numFmtId="2" fontId="0" fillId="11" borderId="0" xfId="0" applyNumberFormat="1" applyFont="1" applyFill="1" applyBorder="1" applyAlignment="1">
      <alignment horizontal="right" wrapText="1"/>
    </xf>
    <xf numFmtId="2" fontId="12" fillId="0" borderId="9" xfId="0" applyNumberFormat="1" applyFont="1" applyBorder="1" applyAlignment="1">
      <alignment horizontal="right" vertical="top" wrapText="1"/>
    </xf>
    <xf numFmtId="2" fontId="2" fillId="0" borderId="4" xfId="0" applyNumberFormat="1" applyFont="1" applyBorder="1" applyAlignment="1">
      <alignment horizontal="right" wrapText="1"/>
    </xf>
    <xf numFmtId="4" fontId="12" fillId="11" borderId="0" xfId="0" applyNumberFormat="1" applyFont="1" applyFill="1" applyBorder="1" applyAlignment="1">
      <alignment horizontal="right"/>
    </xf>
    <xf numFmtId="3" fontId="0" fillId="11" borderId="0" xfId="0" applyNumberFormat="1" applyFont="1" applyFill="1" applyBorder="1"/>
    <xf numFmtId="3" fontId="0" fillId="11" borderId="0" xfId="0" applyNumberFormat="1" applyFont="1" applyFill="1" applyBorder="1" applyAlignment="1">
      <alignment horizontal="right"/>
    </xf>
    <xf numFmtId="0" fontId="0" fillId="11" borderId="0" xfId="0" applyFont="1" applyFill="1" applyBorder="1" applyAlignment="1">
      <alignment horizontal="right" wrapText="1"/>
    </xf>
    <xf numFmtId="3" fontId="12" fillId="11" borderId="0" xfId="0" applyNumberFormat="1" applyFont="1" applyFill="1" applyBorder="1"/>
    <xf numFmtId="0" fontId="2" fillId="0" borderId="30" xfId="0" applyFont="1" applyFill="1" applyBorder="1" applyAlignment="1">
      <alignment wrapText="1"/>
    </xf>
    <xf numFmtId="0" fontId="12" fillId="0" borderId="30" xfId="0" applyFont="1" applyBorder="1" applyAlignment="1">
      <alignment horizontal="left" readingOrder="1"/>
    </xf>
    <xf numFmtId="0" fontId="12" fillId="0" borderId="3" xfId="0" applyFont="1" applyBorder="1" applyAlignment="1">
      <alignment horizontal="center" vertical="center" wrapText="1"/>
    </xf>
    <xf numFmtId="0" fontId="12" fillId="0" borderId="30" xfId="0" applyFont="1" applyBorder="1" applyAlignment="1">
      <alignment horizontal="center" wrapText="1"/>
    </xf>
    <xf numFmtId="0" fontId="12" fillId="0" borderId="35" xfId="0" applyFont="1" applyBorder="1" applyAlignment="1">
      <alignment horizontal="center" wrapText="1"/>
    </xf>
    <xf numFmtId="0" fontId="12" fillId="0" borderId="4" xfId="0" applyFont="1" applyBorder="1" applyAlignment="1">
      <alignment horizontal="center" vertical="center" wrapText="1"/>
    </xf>
    <xf numFmtId="0" fontId="0" fillId="11" borderId="58" xfId="0" applyFont="1" applyFill="1" applyBorder="1"/>
    <xf numFmtId="0" fontId="12" fillId="0" borderId="37" xfId="0" applyFont="1" applyBorder="1" applyAlignment="1">
      <alignment horizontal="center" wrapText="1"/>
    </xf>
    <xf numFmtId="0" fontId="0" fillId="9" borderId="12" xfId="0" applyFill="1" applyBorder="1"/>
    <xf numFmtId="0" fontId="0" fillId="9" borderId="16" xfId="0" applyFill="1" applyBorder="1"/>
    <xf numFmtId="0" fontId="0" fillId="9" borderId="17" xfId="0" applyFill="1" applyBorder="1"/>
    <xf numFmtId="0" fontId="0" fillId="0" borderId="30" xfId="0" applyBorder="1" applyAlignment="1">
      <alignment wrapText="1"/>
    </xf>
    <xf numFmtId="0" fontId="0" fillId="0" borderId="37" xfId="0" applyBorder="1" applyAlignment="1">
      <alignment wrapText="1"/>
    </xf>
    <xf numFmtId="0" fontId="2" fillId="0" borderId="37" xfId="0" applyFont="1" applyFill="1" applyBorder="1" applyAlignment="1">
      <alignment wrapText="1"/>
    </xf>
    <xf numFmtId="0" fontId="12" fillId="0" borderId="35" xfId="0" applyFont="1" applyBorder="1"/>
    <xf numFmtId="0" fontId="12" fillId="0" borderId="35" xfId="0" applyFont="1" applyBorder="1" applyAlignment="1">
      <alignment horizontal="left" readingOrder="1"/>
    </xf>
    <xf numFmtId="0" fontId="12" fillId="13" borderId="46" xfId="0" applyFont="1" applyFill="1" applyBorder="1" applyAlignment="1">
      <alignment horizontal="center" wrapText="1"/>
    </xf>
    <xf numFmtId="0" fontId="12" fillId="12" borderId="46" xfId="0" applyFont="1" applyFill="1" applyBorder="1" applyAlignment="1">
      <alignment horizontal="center" vertical="center" wrapText="1"/>
    </xf>
    <xf numFmtId="0" fontId="12" fillId="12" borderId="29" xfId="0" applyFont="1" applyFill="1" applyBorder="1" applyAlignment="1">
      <alignment horizontal="center" vertical="center" wrapText="1"/>
    </xf>
    <xf numFmtId="0" fontId="12" fillId="12" borderId="18" xfId="0" applyFont="1" applyFill="1" applyBorder="1" applyAlignment="1">
      <alignment horizontal="right" wrapText="1"/>
    </xf>
    <xf numFmtId="0" fontId="0" fillId="12" borderId="19" xfId="0" applyFont="1" applyFill="1" applyBorder="1" applyAlignment="1">
      <alignment horizontal="right" vertical="center"/>
    </xf>
    <xf numFmtId="0" fontId="12" fillId="12" borderId="3" xfId="0" applyFont="1" applyFill="1" applyBorder="1" applyAlignment="1">
      <alignment horizontal="right" wrapText="1"/>
    </xf>
    <xf numFmtId="0" fontId="0" fillId="12" borderId="24" xfId="0" applyFont="1" applyFill="1" applyBorder="1" applyAlignment="1">
      <alignment horizontal="right" vertical="center"/>
    </xf>
    <xf numFmtId="0" fontId="12" fillId="12" borderId="27" xfId="0" applyFont="1" applyFill="1" applyBorder="1" applyAlignment="1">
      <alignment horizontal="right" wrapText="1"/>
    </xf>
    <xf numFmtId="0" fontId="12" fillId="12" borderId="31" xfId="0" applyFont="1" applyFill="1" applyBorder="1" applyAlignment="1">
      <alignment horizontal="center" vertical="center" wrapText="1"/>
    </xf>
    <xf numFmtId="0" fontId="12" fillId="12" borderId="19" xfId="0" applyFont="1" applyFill="1" applyBorder="1" applyAlignment="1">
      <alignment horizontal="right" wrapText="1"/>
    </xf>
    <xf numFmtId="10" fontId="11" fillId="0" borderId="18" xfId="0" applyNumberFormat="1" applyFont="1" applyFill="1" applyBorder="1" applyAlignment="1">
      <alignment horizontal="right" wrapText="1"/>
    </xf>
    <xf numFmtId="2" fontId="2" fillId="0" borderId="7" xfId="0" applyNumberFormat="1" applyFont="1" applyBorder="1" applyAlignment="1">
      <alignment horizontal="right" wrapText="1"/>
    </xf>
    <xf numFmtId="11" fontId="2" fillId="0" borderId="4" xfId="0" applyNumberFormat="1" applyFont="1" applyBorder="1" applyAlignment="1">
      <alignment horizontal="right" wrapText="1"/>
    </xf>
    <xf numFmtId="11" fontId="12" fillId="0" borderId="4" xfId="1" applyNumberFormat="1" applyFont="1" applyBorder="1"/>
    <xf numFmtId="11" fontId="33" fillId="0" borderId="1" xfId="0" applyNumberFormat="1" applyFont="1" applyBorder="1" applyAlignment="1">
      <alignment horizontal="right" wrapText="1"/>
    </xf>
    <xf numFmtId="11" fontId="2" fillId="0" borderId="1" xfId="0" applyNumberFormat="1" applyFont="1" applyBorder="1" applyAlignment="1">
      <alignment horizontal="right" wrapText="1"/>
    </xf>
    <xf numFmtId="11" fontId="12" fillId="0" borderId="1" xfId="1" applyNumberFormat="1" applyFont="1" applyBorder="1"/>
    <xf numFmtId="11" fontId="9" fillId="0" borderId="26" xfId="1" applyNumberFormat="1" applyFont="1" applyBorder="1"/>
    <xf numFmtId="11" fontId="12" fillId="0" borderId="1" xfId="0" applyNumberFormat="1" applyFont="1" applyBorder="1"/>
    <xf numFmtId="11" fontId="12" fillId="0" borderId="1" xfId="1" applyNumberFormat="1" applyFont="1" applyBorder="1" applyAlignment="1">
      <alignment horizontal="right"/>
    </xf>
    <xf numFmtId="11" fontId="12" fillId="0" borderId="1" xfId="0" applyNumberFormat="1" applyFont="1" applyBorder="1" applyAlignment="1">
      <alignment horizontal="right"/>
    </xf>
    <xf numFmtId="11" fontId="2" fillId="0" borderId="1" xfId="0" applyNumberFormat="1" applyFont="1" applyBorder="1" applyAlignment="1">
      <alignment wrapText="1"/>
    </xf>
    <xf numFmtId="11" fontId="0" fillId="0" borderId="26" xfId="0" applyNumberFormat="1" applyBorder="1"/>
    <xf numFmtId="11" fontId="12" fillId="0" borderId="27" xfId="0" applyNumberFormat="1" applyFont="1" applyBorder="1"/>
    <xf numFmtId="11" fontId="12" fillId="0" borderId="27" xfId="1" applyNumberFormat="1" applyFont="1" applyBorder="1"/>
    <xf numFmtId="11" fontId="0" fillId="0" borderId="1" xfId="0" applyNumberFormat="1" applyFont="1" applyBorder="1"/>
    <xf numFmtId="11" fontId="0" fillId="0" borderId="1" xfId="0" applyNumberFormat="1" applyFont="1" applyBorder="1" applyAlignment="1">
      <alignment horizontal="right"/>
    </xf>
    <xf numFmtId="11" fontId="9" fillId="0" borderId="1" xfId="1" applyNumberFormat="1" applyFont="1" applyBorder="1"/>
    <xf numFmtId="11" fontId="0" fillId="0" borderId="7" xfId="0" applyNumberFormat="1" applyFont="1" applyBorder="1"/>
    <xf numFmtId="11" fontId="0" fillId="0" borderId="7" xfId="0" applyNumberFormat="1" applyFont="1" applyBorder="1" applyAlignment="1">
      <alignment horizontal="right"/>
    </xf>
    <xf numFmtId="11" fontId="9" fillId="0" borderId="7" xfId="1" applyNumberFormat="1" applyFont="1" applyBorder="1"/>
    <xf numFmtId="11" fontId="12" fillId="0" borderId="7" xfId="0" applyNumberFormat="1" applyFont="1" applyBorder="1"/>
    <xf numFmtId="11" fontId="12" fillId="0" borderId="7" xfId="1" applyNumberFormat="1" applyFont="1" applyBorder="1"/>
    <xf numFmtId="11" fontId="12" fillId="0" borderId="1" xfId="1" applyNumberFormat="1" applyFont="1" applyFill="1" applyBorder="1"/>
    <xf numFmtId="11" fontId="12" fillId="0" borderId="26" xfId="0" applyNumberFormat="1" applyFont="1" applyBorder="1"/>
    <xf numFmtId="2" fontId="2" fillId="11" borderId="0" xfId="0" applyNumberFormat="1" applyFont="1" applyFill="1" applyBorder="1" applyAlignment="1">
      <alignment horizontal="center" wrapText="1"/>
    </xf>
    <xf numFmtId="2" fontId="26" fillId="11" borderId="0" xfId="0" applyNumberFormat="1" applyFont="1" applyFill="1" applyBorder="1" applyAlignment="1">
      <alignment horizontal="center" wrapText="1"/>
    </xf>
    <xf numFmtId="2" fontId="11" fillId="11" borderId="0" xfId="0" applyNumberFormat="1" applyFont="1" applyFill="1" applyBorder="1" applyAlignment="1">
      <alignment horizontal="right" vertical="top" wrapText="1"/>
    </xf>
    <xf numFmtId="165" fontId="11" fillId="11" borderId="0" xfId="0" applyNumberFormat="1" applyFont="1" applyFill="1" applyBorder="1" applyAlignment="1">
      <alignment horizontal="center" vertical="center"/>
    </xf>
    <xf numFmtId="0" fontId="0" fillId="0" borderId="1" xfId="0" applyFill="1" applyBorder="1"/>
    <xf numFmtId="2" fontId="12" fillId="0" borderId="35" xfId="0" applyNumberFormat="1" applyFont="1" applyBorder="1" applyAlignment="1">
      <alignment horizontal="right" wrapText="1"/>
    </xf>
    <xf numFmtId="2" fontId="12" fillId="0" borderId="35" xfId="0" applyNumberFormat="1" applyFont="1" applyBorder="1" applyAlignment="1">
      <alignment horizontal="right" vertical="top" wrapText="1"/>
    </xf>
    <xf numFmtId="0" fontId="0" fillId="11" borderId="31" xfId="0" applyFill="1" applyBorder="1"/>
    <xf numFmtId="2" fontId="12" fillId="0" borderId="40" xfId="0" applyNumberFormat="1" applyFont="1" applyBorder="1" applyAlignment="1">
      <alignment horizontal="right" wrapText="1"/>
    </xf>
    <xf numFmtId="2" fontId="12" fillId="0" borderId="22" xfId="0" applyNumberFormat="1" applyFont="1" applyBorder="1" applyAlignment="1">
      <alignment horizontal="right" wrapText="1"/>
    </xf>
    <xf numFmtId="2" fontId="12" fillId="0" borderId="2" xfId="0" applyNumberFormat="1" applyFont="1" applyBorder="1" applyAlignment="1">
      <alignment horizontal="right" vertical="center" wrapText="1"/>
    </xf>
    <xf numFmtId="2" fontId="12" fillId="0" borderId="30" xfId="0" applyNumberFormat="1" applyFont="1" applyBorder="1" applyAlignment="1">
      <alignment horizontal="right" vertical="center" wrapText="1"/>
    </xf>
    <xf numFmtId="2" fontId="12" fillId="0" borderId="22" xfId="0" applyNumberFormat="1" applyFont="1" applyBorder="1" applyAlignment="1">
      <alignment horizontal="right" vertical="center" wrapText="1"/>
    </xf>
    <xf numFmtId="2" fontId="12" fillId="0" borderId="37" xfId="0" applyNumberFormat="1" applyFont="1" applyBorder="1" applyAlignment="1">
      <alignment horizontal="right" vertical="center" wrapText="1"/>
    </xf>
    <xf numFmtId="2" fontId="12" fillId="0" borderId="35" xfId="0" applyNumberFormat="1" applyFont="1" applyBorder="1" applyAlignment="1">
      <alignment horizontal="right"/>
    </xf>
    <xf numFmtId="2" fontId="12" fillId="0" borderId="30" xfId="0" applyNumberFormat="1" applyFont="1" applyBorder="1" applyAlignment="1">
      <alignment horizontal="right"/>
    </xf>
    <xf numFmtId="2" fontId="12" fillId="0" borderId="2" xfId="0" applyNumberFormat="1" applyFont="1" applyBorder="1"/>
    <xf numFmtId="2" fontId="12" fillId="0" borderId="30" xfId="0" applyNumberFormat="1" applyFont="1" applyBorder="1" applyAlignment="1">
      <alignment horizontal="right" vertical="center"/>
    </xf>
    <xf numFmtId="0" fontId="0" fillId="0" borderId="30" xfId="0" applyFill="1" applyBorder="1"/>
    <xf numFmtId="0" fontId="0" fillId="0" borderId="26" xfId="0" applyFill="1" applyBorder="1"/>
    <xf numFmtId="0" fontId="0" fillId="0" borderId="31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65" xfId="0" applyBorder="1"/>
    <xf numFmtId="2" fontId="12" fillId="0" borderId="66" xfId="0" applyNumberFormat="1" applyFont="1" applyBorder="1" applyAlignment="1">
      <alignment horizontal="right" vertical="top" wrapText="1"/>
    </xf>
    <xf numFmtId="0" fontId="0" fillId="0" borderId="40" xfId="0" applyBorder="1"/>
    <xf numFmtId="0" fontId="0" fillId="0" borderId="58" xfId="0" applyBorder="1"/>
    <xf numFmtId="0" fontId="10" fillId="11" borderId="0" xfId="0" applyFont="1" applyFill="1" applyBorder="1" applyAlignment="1"/>
    <xf numFmtId="0" fontId="16" fillId="11" borderId="0" xfId="0" applyFont="1" applyFill="1" applyBorder="1" applyAlignment="1">
      <alignment vertical="center"/>
    </xf>
    <xf numFmtId="0" fontId="38" fillId="11" borderId="0" xfId="0" applyFont="1" applyFill="1" applyBorder="1" applyAlignment="1">
      <alignment vertical="center" wrapText="1"/>
    </xf>
    <xf numFmtId="0" fontId="10" fillId="11" borderId="0" xfId="0" applyFont="1" applyFill="1" applyBorder="1" applyAlignment="1">
      <alignment vertical="center"/>
    </xf>
    <xf numFmtId="0" fontId="12" fillId="2" borderId="29" xfId="0" applyFont="1" applyFill="1" applyBorder="1" applyAlignment="1">
      <alignment horizontal="left"/>
    </xf>
    <xf numFmtId="0" fontId="0" fillId="11" borderId="29" xfId="0" applyFill="1" applyBorder="1"/>
    <xf numFmtId="0" fontId="0" fillId="11" borderId="35" xfId="0" applyFill="1" applyBorder="1"/>
    <xf numFmtId="0" fontId="0" fillId="11" borderId="9" xfId="0" applyFill="1" applyBorder="1"/>
    <xf numFmtId="11" fontId="12" fillId="0" borderId="2" xfId="0" applyNumberFormat="1" applyFont="1" applyBorder="1"/>
    <xf numFmtId="0" fontId="12" fillId="12" borderId="10" xfId="0" applyFont="1" applyFill="1" applyBorder="1" applyAlignment="1">
      <alignment horizontal="right" wrapText="1"/>
    </xf>
    <xf numFmtId="11" fontId="2" fillId="0" borderId="2" xfId="0" applyNumberFormat="1" applyFont="1" applyBorder="1" applyAlignment="1">
      <alignment horizontal="right" wrapText="1"/>
    </xf>
    <xf numFmtId="11" fontId="12" fillId="0" borderId="22" xfId="0" applyNumberFormat="1" applyFont="1" applyBorder="1"/>
    <xf numFmtId="0" fontId="12" fillId="12" borderId="29" xfId="0" applyFont="1" applyFill="1" applyBorder="1" applyAlignment="1">
      <alignment horizontal="right" wrapText="1"/>
    </xf>
    <xf numFmtId="11" fontId="12" fillId="0" borderId="35" xfId="0" applyNumberFormat="1" applyFont="1" applyBorder="1" applyAlignment="1">
      <alignment horizontal="right"/>
    </xf>
    <xf numFmtId="11" fontId="2" fillId="0" borderId="30" xfId="0" applyNumberFormat="1" applyFont="1" applyBorder="1" applyAlignment="1">
      <alignment horizontal="right" wrapText="1"/>
    </xf>
    <xf numFmtId="11" fontId="12" fillId="0" borderId="30" xfId="0" applyNumberFormat="1" applyFont="1" applyBorder="1"/>
    <xf numFmtId="11" fontId="12" fillId="0" borderId="30" xfId="0" applyNumberFormat="1" applyFont="1" applyBorder="1" applyAlignment="1">
      <alignment horizontal="right"/>
    </xf>
    <xf numFmtId="11" fontId="12" fillId="0" borderId="37" xfId="0" applyNumberFormat="1" applyFont="1" applyBorder="1"/>
    <xf numFmtId="0" fontId="12" fillId="12" borderId="51" xfId="0" applyFont="1" applyFill="1" applyBorder="1" applyAlignment="1">
      <alignment horizontal="right" wrapText="1"/>
    </xf>
    <xf numFmtId="0" fontId="12" fillId="12" borderId="46" xfId="0" applyFont="1" applyFill="1" applyBorder="1" applyAlignment="1">
      <alignment horizontal="right" wrapText="1"/>
    </xf>
    <xf numFmtId="0" fontId="12" fillId="12" borderId="32" xfId="0" applyFont="1" applyFill="1" applyBorder="1" applyAlignment="1">
      <alignment horizontal="right" wrapText="1"/>
    </xf>
    <xf numFmtId="11" fontId="2" fillId="0" borderId="40" xfId="0" applyNumberFormat="1" applyFont="1" applyBorder="1" applyAlignment="1">
      <alignment horizontal="right" wrapText="1"/>
    </xf>
    <xf numFmtId="11" fontId="34" fillId="0" borderId="2" xfId="0" applyNumberFormat="1" applyFont="1" applyBorder="1" applyAlignment="1">
      <alignment horizontal="right" wrapText="1"/>
    </xf>
    <xf numFmtId="11" fontId="12" fillId="0" borderId="31" xfId="0" applyNumberFormat="1" applyFont="1" applyBorder="1"/>
    <xf numFmtId="11" fontId="12" fillId="0" borderId="2" xfId="0" applyNumberFormat="1" applyFont="1" applyBorder="1" applyAlignment="1">
      <alignment horizontal="right" vertical="center"/>
    </xf>
    <xf numFmtId="11" fontId="12" fillId="0" borderId="22" xfId="0" applyNumberFormat="1" applyFont="1" applyBorder="1" applyAlignment="1">
      <alignment horizontal="right" vertical="center"/>
    </xf>
    <xf numFmtId="11" fontId="12" fillId="0" borderId="2" xfId="1" applyNumberFormat="1" applyFont="1" applyBorder="1" applyAlignment="1">
      <alignment horizontal="center" vertical="center"/>
    </xf>
    <xf numFmtId="0" fontId="0" fillId="0" borderId="24" xfId="0" applyFill="1" applyBorder="1"/>
    <xf numFmtId="0" fontId="12" fillId="12" borderId="39" xfId="0" applyFont="1" applyFill="1" applyBorder="1" applyAlignment="1">
      <alignment horizontal="right" wrapText="1"/>
    </xf>
    <xf numFmtId="0" fontId="0" fillId="12" borderId="8" xfId="0" applyFont="1" applyFill="1" applyBorder="1" applyAlignment="1">
      <alignment horizontal="right" vertical="center"/>
    </xf>
    <xf numFmtId="0" fontId="0" fillId="0" borderId="29" xfId="0" applyFill="1" applyBorder="1"/>
    <xf numFmtId="0" fontId="0" fillId="0" borderId="3" xfId="0" applyFill="1" applyBorder="1"/>
    <xf numFmtId="2" fontId="11" fillId="0" borderId="26" xfId="0" applyNumberFormat="1" applyFont="1" applyFill="1" applyBorder="1"/>
    <xf numFmtId="0" fontId="12" fillId="12" borderId="23" xfId="0" applyFont="1" applyFill="1" applyBorder="1" applyAlignment="1">
      <alignment horizontal="right" wrapText="1"/>
    </xf>
    <xf numFmtId="2" fontId="0" fillId="0" borderId="26" xfId="0" applyNumberFormat="1" applyFill="1" applyBorder="1"/>
    <xf numFmtId="0" fontId="12" fillId="12" borderId="24" xfId="0" applyFont="1" applyFill="1" applyBorder="1" applyAlignment="1">
      <alignment horizontal="right" wrapText="1"/>
    </xf>
    <xf numFmtId="0" fontId="0" fillId="0" borderId="35" xfId="0" applyBorder="1" applyAlignment="1">
      <alignment wrapText="1"/>
    </xf>
    <xf numFmtId="0" fontId="0" fillId="11" borderId="42" xfId="0" applyFont="1" applyFill="1" applyBorder="1"/>
    <xf numFmtId="0" fontId="3" fillId="11" borderId="0" xfId="0" applyFont="1" applyFill="1" applyBorder="1" applyAlignment="1">
      <alignment vertical="center"/>
    </xf>
    <xf numFmtId="0" fontId="2" fillId="2" borderId="35" xfId="0" applyFont="1" applyFill="1" applyBorder="1" applyAlignment="1">
      <alignment horizontal="left"/>
    </xf>
    <xf numFmtId="0" fontId="12" fillId="12" borderId="61" xfId="0" applyFont="1" applyFill="1" applyBorder="1" applyAlignment="1">
      <alignment horizontal="right" wrapText="1"/>
    </xf>
    <xf numFmtId="0" fontId="12" fillId="2" borderId="35" xfId="0" applyFont="1" applyFill="1" applyBorder="1" applyAlignment="1">
      <alignment horizontal="left"/>
    </xf>
    <xf numFmtId="0" fontId="0" fillId="0" borderId="32" xfId="0" applyFill="1" applyBorder="1"/>
    <xf numFmtId="0" fontId="0" fillId="0" borderId="6" xfId="0" applyFill="1" applyBorder="1"/>
    <xf numFmtId="0" fontId="0" fillId="0" borderId="33" xfId="0" applyFill="1" applyBorder="1"/>
    <xf numFmtId="2" fontId="2" fillId="0" borderId="40" xfId="0" applyNumberFormat="1" applyFont="1" applyBorder="1" applyAlignment="1">
      <alignment horizontal="right" wrapText="1"/>
    </xf>
    <xf numFmtId="2" fontId="2" fillId="0" borderId="2" xfId="0" applyNumberFormat="1" applyFont="1" applyBorder="1" applyAlignment="1">
      <alignment horizontal="right" wrapText="1"/>
    </xf>
    <xf numFmtId="2" fontId="2" fillId="0" borderId="22" xfId="0" applyNumberFormat="1" applyFont="1" applyBorder="1" applyAlignment="1">
      <alignment horizontal="right" wrapText="1"/>
    </xf>
    <xf numFmtId="2" fontId="2" fillId="0" borderId="30" xfId="0" applyNumberFormat="1" applyFont="1" applyBorder="1" applyAlignment="1">
      <alignment horizontal="right" wrapText="1"/>
    </xf>
    <xf numFmtId="2" fontId="2" fillId="0" borderId="37" xfId="0" applyNumberFormat="1" applyFont="1" applyBorder="1" applyAlignment="1">
      <alignment horizontal="right" wrapText="1"/>
    </xf>
    <xf numFmtId="0" fontId="12" fillId="12" borderId="41" xfId="0" applyFont="1" applyFill="1" applyBorder="1" applyAlignment="1">
      <alignment horizontal="right" wrapText="1"/>
    </xf>
    <xf numFmtId="0" fontId="12" fillId="12" borderId="31" xfId="0" applyFont="1" applyFill="1" applyBorder="1" applyAlignment="1">
      <alignment horizontal="right" wrapText="1"/>
    </xf>
    <xf numFmtId="0" fontId="0" fillId="12" borderId="28" xfId="0" applyFont="1" applyFill="1" applyBorder="1" applyAlignment="1">
      <alignment horizontal="right" vertical="center"/>
    </xf>
    <xf numFmtId="0" fontId="0" fillId="0" borderId="35" xfId="0" applyFill="1" applyBorder="1"/>
    <xf numFmtId="0" fontId="0" fillId="0" borderId="2" xfId="0" applyFill="1" applyBorder="1"/>
    <xf numFmtId="0" fontId="0" fillId="0" borderId="41" xfId="0" applyFill="1" applyBorder="1"/>
    <xf numFmtId="2" fontId="12" fillId="0" borderId="1" xfId="0" applyNumberFormat="1" applyFont="1" applyFill="1" applyBorder="1" applyAlignment="1">
      <alignment horizontal="center" vertical="center"/>
    </xf>
    <xf numFmtId="2" fontId="12" fillId="0" borderId="30" xfId="0" applyNumberFormat="1" applyFont="1" applyBorder="1"/>
    <xf numFmtId="2" fontId="0" fillId="0" borderId="26" xfId="0" applyNumberFormat="1" applyBorder="1"/>
    <xf numFmtId="2" fontId="0" fillId="0" borderId="34" xfId="0" applyNumberFormat="1" applyBorder="1"/>
    <xf numFmtId="0" fontId="0" fillId="0" borderId="4" xfId="0" applyFill="1" applyBorder="1"/>
    <xf numFmtId="0" fontId="0" fillId="0" borderId="36" xfId="0" applyFill="1" applyBorder="1"/>
    <xf numFmtId="0" fontId="0" fillId="0" borderId="40" xfId="0" applyFill="1" applyBorder="1"/>
    <xf numFmtId="0" fontId="0" fillId="11" borderId="30" xfId="0" applyFill="1" applyBorder="1" applyAlignment="1">
      <alignment horizontal="center"/>
    </xf>
    <xf numFmtId="0" fontId="12" fillId="12" borderId="28" xfId="0" applyFont="1" applyFill="1" applyBorder="1" applyAlignment="1">
      <alignment horizontal="right" wrapText="1"/>
    </xf>
    <xf numFmtId="0" fontId="12" fillId="12" borderId="33" xfId="0" applyFont="1" applyFill="1" applyBorder="1" applyAlignment="1">
      <alignment horizontal="right" wrapText="1"/>
    </xf>
    <xf numFmtId="2" fontId="0" fillId="0" borderId="30" xfId="0" applyNumberFormat="1" applyFill="1" applyBorder="1"/>
    <xf numFmtId="2" fontId="0" fillId="0" borderId="1" xfId="0" applyNumberFormat="1" applyFill="1" applyBorder="1"/>
    <xf numFmtId="2" fontId="0" fillId="0" borderId="37" xfId="0" applyNumberFormat="1" applyFill="1" applyBorder="1"/>
    <xf numFmtId="2" fontId="0" fillId="0" borderId="7" xfId="0" applyNumberFormat="1" applyFill="1" applyBorder="1"/>
    <xf numFmtId="2" fontId="0" fillId="0" borderId="34" xfId="0" applyNumberFormat="1" applyFill="1" applyBorder="1"/>
    <xf numFmtId="2" fontId="0" fillId="0" borderId="3" xfId="0" applyNumberFormat="1" applyFill="1" applyBorder="1"/>
    <xf numFmtId="2" fontId="11" fillId="0" borderId="1" xfId="0" applyNumberFormat="1" applyFont="1" applyFill="1" applyBorder="1"/>
    <xf numFmtId="2" fontId="0" fillId="0" borderId="1" xfId="0" applyNumberFormat="1" applyFont="1" applyFill="1" applyBorder="1"/>
    <xf numFmtId="11" fontId="0" fillId="0" borderId="30" xfId="0" applyNumberFormat="1" applyFill="1" applyBorder="1"/>
    <xf numFmtId="11" fontId="0" fillId="0" borderId="1" xfId="0" applyNumberFormat="1" applyFill="1" applyBorder="1"/>
    <xf numFmtId="11" fontId="0" fillId="0" borderId="26" xfId="0" applyNumberFormat="1" applyFill="1" applyBorder="1"/>
    <xf numFmtId="166" fontId="12" fillId="0" borderId="35" xfId="0" applyNumberFormat="1" applyFont="1" applyBorder="1" applyAlignment="1">
      <alignment horizontal="right" wrapText="1"/>
    </xf>
    <xf numFmtId="166" fontId="12" fillId="0" borderId="1" xfId="0" applyNumberFormat="1" applyFont="1" applyBorder="1" applyAlignment="1">
      <alignment horizontal="right" vertical="top" wrapText="1"/>
    </xf>
    <xf numFmtId="166" fontId="12" fillId="0" borderId="4" xfId="0" applyNumberFormat="1" applyFont="1" applyBorder="1" applyAlignment="1">
      <alignment horizontal="right" vertical="top" wrapText="1"/>
    </xf>
    <xf numFmtId="166" fontId="12" fillId="0" borderId="4" xfId="0" applyNumberFormat="1" applyFont="1" applyBorder="1" applyAlignment="1">
      <alignment horizontal="right" wrapText="1"/>
    </xf>
    <xf numFmtId="166" fontId="12" fillId="0" borderId="4" xfId="0" applyNumberFormat="1" applyFont="1" applyFill="1" applyBorder="1" applyAlignment="1">
      <alignment horizontal="right" wrapText="1"/>
    </xf>
    <xf numFmtId="166" fontId="0" fillId="0" borderId="30" xfId="0" applyNumberFormat="1" applyFill="1" applyBorder="1"/>
    <xf numFmtId="166" fontId="0" fillId="0" borderId="1" xfId="0" applyNumberFormat="1" applyFill="1" applyBorder="1"/>
    <xf numFmtId="166" fontId="0" fillId="0" borderId="26" xfId="0" applyNumberFormat="1" applyFill="1" applyBorder="1"/>
    <xf numFmtId="166" fontId="12" fillId="0" borderId="1" xfId="0" applyNumberFormat="1" applyFont="1" applyBorder="1" applyAlignment="1">
      <alignment horizontal="right" wrapText="1"/>
    </xf>
    <xf numFmtId="166" fontId="12" fillId="0" borderId="1" xfId="0" applyNumberFormat="1" applyFont="1" applyFill="1" applyBorder="1" applyAlignment="1">
      <alignment horizontal="right" wrapText="1"/>
    </xf>
    <xf numFmtId="166" fontId="12" fillId="0" borderId="7" xfId="0" applyNumberFormat="1" applyFont="1" applyBorder="1" applyAlignment="1">
      <alignment horizontal="right" wrapText="1"/>
    </xf>
    <xf numFmtId="166" fontId="12" fillId="0" borderId="7" xfId="0" applyNumberFormat="1" applyFont="1" applyBorder="1" applyAlignment="1">
      <alignment horizontal="right" vertical="top" wrapText="1"/>
    </xf>
    <xf numFmtId="166" fontId="12" fillId="0" borderId="7" xfId="0" applyNumberFormat="1" applyFont="1" applyFill="1" applyBorder="1" applyAlignment="1">
      <alignment horizontal="right" wrapText="1"/>
    </xf>
    <xf numFmtId="166" fontId="0" fillId="0" borderId="37" xfId="0" applyNumberFormat="1" applyFill="1" applyBorder="1"/>
    <xf numFmtId="166" fontId="0" fillId="0" borderId="7" xfId="0" applyNumberFormat="1" applyFill="1" applyBorder="1"/>
    <xf numFmtId="166" fontId="0" fillId="0" borderId="34" xfId="0" applyNumberFormat="1" applyFill="1" applyBorder="1"/>
    <xf numFmtId="165" fontId="12" fillId="0" borderId="37" xfId="0" applyNumberFormat="1" applyFont="1" applyBorder="1" applyAlignment="1">
      <alignment horizontal="right" wrapText="1"/>
    </xf>
    <xf numFmtId="166" fontId="12" fillId="0" borderId="1" xfId="0" applyNumberFormat="1" applyFont="1" applyBorder="1" applyAlignment="1">
      <alignment horizontal="right" vertical="center" wrapText="1"/>
    </xf>
    <xf numFmtId="166" fontId="12" fillId="0" borderId="7" xfId="0" applyNumberFormat="1" applyFont="1" applyBorder="1" applyAlignment="1">
      <alignment horizontal="right" vertical="center" wrapText="1"/>
    </xf>
    <xf numFmtId="166" fontId="12" fillId="0" borderId="1" xfId="0" applyNumberFormat="1" applyFont="1" applyFill="1" applyBorder="1" applyAlignment="1">
      <alignment horizontal="right" vertical="center" wrapText="1"/>
    </xf>
    <xf numFmtId="166" fontId="12" fillId="0" borderId="7" xfId="0" applyNumberFormat="1" applyFont="1" applyFill="1" applyBorder="1" applyAlignment="1">
      <alignment horizontal="right" vertical="center" wrapText="1"/>
    </xf>
    <xf numFmtId="10" fontId="11" fillId="0" borderId="51" xfId="0" applyNumberFormat="1" applyFont="1" applyFill="1" applyBorder="1" applyAlignment="1">
      <alignment horizontal="right" wrapText="1"/>
    </xf>
    <xf numFmtId="10" fontId="11" fillId="0" borderId="46" xfId="0" applyNumberFormat="1" applyFont="1" applyFill="1" applyBorder="1" applyAlignment="1">
      <alignment horizontal="right" wrapText="1"/>
    </xf>
    <xf numFmtId="10" fontId="11" fillId="0" borderId="19" xfId="0" applyNumberFormat="1" applyFont="1" applyFill="1" applyBorder="1" applyAlignment="1">
      <alignment horizontal="right" wrapText="1"/>
    </xf>
    <xf numFmtId="0" fontId="12" fillId="12" borderId="8" xfId="0" applyFont="1" applyFill="1" applyBorder="1" applyAlignment="1">
      <alignment horizontal="right" wrapText="1"/>
    </xf>
    <xf numFmtId="166" fontId="12" fillId="0" borderId="40" xfId="0" applyNumberFormat="1" applyFont="1" applyBorder="1" applyAlignment="1">
      <alignment horizontal="right" wrapText="1"/>
    </xf>
    <xf numFmtId="166" fontId="12" fillId="0" borderId="2" xfId="0" applyNumberFormat="1" applyFont="1" applyBorder="1" applyAlignment="1">
      <alignment horizontal="right" wrapText="1"/>
    </xf>
    <xf numFmtId="166" fontId="12" fillId="0" borderId="22" xfId="0" applyNumberFormat="1" applyFont="1" applyBorder="1" applyAlignment="1">
      <alignment horizontal="right" wrapText="1"/>
    </xf>
    <xf numFmtId="166" fontId="12" fillId="0" borderId="36" xfId="0" applyNumberFormat="1" applyFont="1" applyFill="1" applyBorder="1" applyAlignment="1">
      <alignment horizontal="center" vertical="center" wrapText="1"/>
    </xf>
    <xf numFmtId="0" fontId="0" fillId="12" borderId="19" xfId="0" applyFont="1" applyFill="1" applyBorder="1" applyAlignment="1">
      <alignment horizontal="right"/>
    </xf>
    <xf numFmtId="0" fontId="12" fillId="0" borderId="29" xfId="0" applyFont="1" applyBorder="1" applyAlignment="1">
      <alignment horizontal="center" vertical="center" wrapText="1"/>
    </xf>
    <xf numFmtId="0" fontId="12" fillId="0" borderId="30" xfId="0" applyFont="1" applyBorder="1" applyAlignment="1">
      <alignment horizontal="center" vertical="center" wrapText="1"/>
    </xf>
    <xf numFmtId="0" fontId="12" fillId="0" borderId="31" xfId="0" applyFont="1" applyBorder="1" applyAlignment="1">
      <alignment horizontal="center" vertical="center" wrapText="1"/>
    </xf>
    <xf numFmtId="0" fontId="12" fillId="0" borderId="35" xfId="0" applyFont="1" applyBorder="1" applyAlignment="1">
      <alignment horizontal="center" vertical="center" wrapText="1"/>
    </xf>
    <xf numFmtId="0" fontId="0" fillId="10" borderId="16" xfId="0" applyFill="1" applyBorder="1"/>
    <xf numFmtId="0" fontId="0" fillId="10" borderId="17" xfId="0" applyFill="1" applyBorder="1"/>
    <xf numFmtId="0" fontId="12" fillId="10" borderId="16" xfId="0" applyFont="1" applyFill="1" applyBorder="1" applyAlignment="1">
      <alignment horizontal="center" vertical="center" wrapText="1"/>
    </xf>
    <xf numFmtId="0" fontId="12" fillId="10" borderId="16" xfId="0" applyFont="1" applyFill="1" applyBorder="1" applyAlignment="1">
      <alignment horizontal="center" vertical="center"/>
    </xf>
    <xf numFmtId="2" fontId="12" fillId="0" borderId="4" xfId="1" applyNumberFormat="1" applyFont="1" applyBorder="1"/>
    <xf numFmtId="2" fontId="33" fillId="0" borderId="1" xfId="0" applyNumberFormat="1" applyFont="1" applyBorder="1" applyAlignment="1">
      <alignment horizontal="right" wrapText="1"/>
    </xf>
    <xf numFmtId="2" fontId="12" fillId="0" borderId="1" xfId="1" applyNumberFormat="1" applyFont="1" applyBorder="1"/>
    <xf numFmtId="2" fontId="9" fillId="0" borderId="26" xfId="1" applyNumberFormat="1" applyFont="1" applyBorder="1"/>
    <xf numFmtId="2" fontId="12" fillId="0" borderId="1" xfId="1" applyNumberFormat="1" applyFont="1" applyBorder="1" applyAlignment="1">
      <alignment horizontal="right"/>
    </xf>
    <xf numFmtId="2" fontId="2" fillId="0" borderId="1" xfId="0" applyNumberFormat="1" applyFont="1" applyBorder="1" applyAlignment="1">
      <alignment wrapText="1"/>
    </xf>
    <xf numFmtId="2" fontId="34" fillId="0" borderId="2" xfId="0" applyNumberFormat="1" applyFont="1" applyBorder="1" applyAlignment="1">
      <alignment horizontal="right" wrapText="1"/>
    </xf>
    <xf numFmtId="2" fontId="12" fillId="0" borderId="31" xfId="0" applyNumberFormat="1" applyFont="1" applyBorder="1"/>
    <xf numFmtId="2" fontId="12" fillId="0" borderId="27" xfId="1" applyNumberFormat="1" applyFont="1" applyBorder="1"/>
    <xf numFmtId="166" fontId="2" fillId="0" borderId="3" xfId="0" applyNumberFormat="1" applyFont="1" applyBorder="1" applyAlignment="1">
      <alignment horizontal="right" vertical="center"/>
    </xf>
    <xf numFmtId="166" fontId="2" fillId="0" borderId="10" xfId="0" applyNumberFormat="1" applyFont="1" applyBorder="1" applyAlignment="1">
      <alignment horizontal="right" vertical="center"/>
    </xf>
    <xf numFmtId="166" fontId="2" fillId="0" borderId="29" xfId="0" applyNumberFormat="1" applyFont="1" applyFill="1" applyBorder="1" applyAlignment="1">
      <alignment horizontal="right" vertical="center"/>
    </xf>
    <xf numFmtId="166" fontId="12" fillId="0" borderId="3" xfId="0" applyNumberFormat="1" applyFont="1" applyBorder="1" applyAlignment="1">
      <alignment horizontal="right" vertical="center"/>
    </xf>
    <xf numFmtId="166" fontId="12" fillId="0" borderId="24" xfId="0" applyNumberFormat="1" applyFont="1" applyBorder="1" applyAlignment="1">
      <alignment horizontal="right" vertical="center"/>
    </xf>
    <xf numFmtId="166" fontId="2" fillId="0" borderId="1" xfId="0" applyNumberFormat="1" applyFont="1" applyBorder="1" applyAlignment="1">
      <alignment horizontal="right" vertical="center"/>
    </xf>
    <xf numFmtId="166" fontId="2" fillId="0" borderId="2" xfId="0" applyNumberFormat="1" applyFont="1" applyBorder="1" applyAlignment="1">
      <alignment horizontal="right" vertical="center"/>
    </xf>
    <xf numFmtId="166" fontId="2" fillId="0" borderId="30" xfId="0" applyNumberFormat="1" applyFont="1" applyFill="1" applyBorder="1" applyAlignment="1">
      <alignment horizontal="right" vertical="center"/>
    </xf>
    <xf numFmtId="166" fontId="12" fillId="0" borderId="1" xfId="0" applyNumberFormat="1" applyFont="1" applyBorder="1" applyAlignment="1">
      <alignment horizontal="right" vertical="center"/>
    </xf>
    <xf numFmtId="166" fontId="12" fillId="0" borderId="26" xfId="0" applyNumberFormat="1" applyFont="1" applyBorder="1" applyAlignment="1">
      <alignment horizontal="right" vertical="center"/>
    </xf>
    <xf numFmtId="166" fontId="12" fillId="0" borderId="27" xfId="0" applyNumberFormat="1" applyFont="1" applyBorder="1" applyAlignment="1">
      <alignment horizontal="right" vertical="center"/>
    </xf>
    <xf numFmtId="166" fontId="12" fillId="0" borderId="30" xfId="0" applyNumberFormat="1" applyFont="1" applyBorder="1" applyAlignment="1">
      <alignment horizontal="right" vertical="center"/>
    </xf>
    <xf numFmtId="166" fontId="2" fillId="0" borderId="4" xfId="1" applyNumberFormat="1" applyFont="1" applyBorder="1" applyAlignment="1">
      <alignment horizontal="right" vertical="center"/>
    </xf>
    <xf numFmtId="166" fontId="2" fillId="0" borderId="40" xfId="1" applyNumberFormat="1" applyFont="1" applyBorder="1" applyAlignment="1">
      <alignment horizontal="right" vertical="center"/>
    </xf>
    <xf numFmtId="166" fontId="2" fillId="0" borderId="35" xfId="1" applyNumberFormat="1" applyFont="1" applyFill="1" applyBorder="1" applyAlignment="1">
      <alignment horizontal="right" vertical="center"/>
    </xf>
    <xf numFmtId="166" fontId="12" fillId="0" borderId="4" xfId="1" applyNumberFormat="1" applyFont="1" applyBorder="1" applyAlignment="1">
      <alignment horizontal="right" vertical="center"/>
    </xf>
    <xf numFmtId="166" fontId="12" fillId="0" borderId="36" xfId="0" applyNumberFormat="1" applyFont="1" applyBorder="1" applyAlignment="1">
      <alignment horizontal="right"/>
    </xf>
    <xf numFmtId="166" fontId="2" fillId="0" borderId="1" xfId="1" applyNumberFormat="1" applyFont="1" applyBorder="1" applyAlignment="1">
      <alignment horizontal="right" vertical="center"/>
    </xf>
    <xf numFmtId="166" fontId="2" fillId="0" borderId="2" xfId="1" applyNumberFormat="1" applyFont="1" applyBorder="1" applyAlignment="1">
      <alignment horizontal="right" vertical="center"/>
    </xf>
    <xf numFmtId="166" fontId="2" fillId="0" borderId="30" xfId="1" applyNumberFormat="1" applyFont="1" applyFill="1" applyBorder="1" applyAlignment="1">
      <alignment horizontal="right" vertical="center"/>
    </xf>
    <xf numFmtId="166" fontId="12" fillId="0" borderId="1" xfId="1" applyNumberFormat="1" applyFont="1" applyBorder="1" applyAlignment="1">
      <alignment horizontal="right" vertical="center"/>
    </xf>
    <xf numFmtId="166" fontId="12" fillId="0" borderId="26" xfId="0" applyNumberFormat="1" applyFont="1" applyBorder="1" applyAlignment="1">
      <alignment horizontal="right"/>
    </xf>
    <xf numFmtId="166" fontId="16" fillId="0" borderId="1" xfId="0" applyNumberFormat="1" applyFont="1" applyFill="1" applyBorder="1" applyAlignment="1">
      <alignment horizontal="center" wrapText="1"/>
    </xf>
    <xf numFmtId="166" fontId="0" fillId="0" borderId="26" xfId="0" applyNumberFormat="1" applyFont="1" applyFill="1" applyBorder="1"/>
    <xf numFmtId="166" fontId="12" fillId="0" borderId="35" xfId="0" applyNumberFormat="1" applyFont="1" applyBorder="1" applyAlignment="1">
      <alignment horizontal="right" vertical="center"/>
    </xf>
    <xf numFmtId="166" fontId="12" fillId="0" borderId="4" xfId="0" applyNumberFormat="1" applyFont="1" applyBorder="1" applyAlignment="1">
      <alignment horizontal="right" vertical="center"/>
    </xf>
    <xf numFmtId="166" fontId="12" fillId="0" borderId="36" xfId="0" applyNumberFormat="1" applyFont="1" applyBorder="1" applyAlignment="1">
      <alignment horizontal="right" vertical="center"/>
    </xf>
    <xf numFmtId="166" fontId="11" fillId="0" borderId="26" xfId="0" applyNumberFormat="1" applyFont="1" applyFill="1" applyBorder="1" applyAlignment="1">
      <alignment horizontal="center" vertical="center"/>
    </xf>
    <xf numFmtId="166" fontId="12" fillId="0" borderId="35" xfId="0" applyNumberFormat="1" applyFont="1" applyBorder="1" applyAlignment="1">
      <alignment horizontal="right"/>
    </xf>
    <xf numFmtId="166" fontId="12" fillId="0" borderId="4" xfId="0" applyNumberFormat="1" applyFont="1" applyBorder="1" applyAlignment="1">
      <alignment horizontal="right"/>
    </xf>
    <xf numFmtId="166" fontId="0" fillId="0" borderId="4" xfId="0" applyNumberFormat="1" applyFill="1" applyBorder="1"/>
    <xf numFmtId="166" fontId="0" fillId="0" borderId="36" xfId="0" applyNumberFormat="1" applyFill="1" applyBorder="1"/>
    <xf numFmtId="166" fontId="12" fillId="0" borderId="30" xfId="0" applyNumberFormat="1" applyFont="1" applyBorder="1" applyAlignment="1">
      <alignment horizontal="right"/>
    </xf>
    <xf numFmtId="166" fontId="12" fillId="0" borderId="1" xfId="0" applyNumberFormat="1" applyFont="1" applyBorder="1" applyAlignment="1">
      <alignment horizontal="right"/>
    </xf>
    <xf numFmtId="166" fontId="16" fillId="0" borderId="26" xfId="0" applyNumberFormat="1" applyFont="1" applyFill="1" applyBorder="1" applyAlignment="1">
      <alignment horizontal="center" wrapText="1"/>
    </xf>
    <xf numFmtId="166" fontId="12" fillId="0" borderId="7" xfId="0" applyNumberFormat="1" applyFont="1" applyBorder="1" applyAlignment="1">
      <alignment horizontal="right"/>
    </xf>
    <xf numFmtId="166" fontId="0" fillId="0" borderId="35" xfId="0" applyNumberFormat="1" applyFill="1" applyBorder="1"/>
    <xf numFmtId="166" fontId="12" fillId="0" borderId="40" xfId="0" applyNumberFormat="1" applyFont="1" applyBorder="1" applyAlignment="1">
      <alignment horizontal="right"/>
    </xf>
    <xf numFmtId="166" fontId="12" fillId="0" borderId="2" xfId="0" applyNumberFormat="1" applyFont="1" applyBorder="1" applyAlignment="1">
      <alignment horizontal="right"/>
    </xf>
    <xf numFmtId="166" fontId="12" fillId="0" borderId="27" xfId="0" applyNumberFormat="1" applyFont="1" applyBorder="1" applyAlignment="1">
      <alignment horizontal="right"/>
    </xf>
    <xf numFmtId="166" fontId="12" fillId="0" borderId="41" xfId="0" applyNumberFormat="1" applyFont="1" applyBorder="1" applyAlignment="1">
      <alignment horizontal="right"/>
    </xf>
    <xf numFmtId="166" fontId="12" fillId="0" borderId="31" xfId="0" applyNumberFormat="1" applyFont="1" applyBorder="1" applyAlignment="1">
      <alignment horizontal="right"/>
    </xf>
    <xf numFmtId="166" fontId="12" fillId="0" borderId="3" xfId="0" applyNumberFormat="1" applyFont="1" applyFill="1" applyBorder="1" applyAlignment="1">
      <alignment horizontal="right"/>
    </xf>
    <xf numFmtId="166" fontId="12" fillId="0" borderId="3" xfId="0" applyNumberFormat="1" applyFont="1" applyBorder="1" applyAlignment="1">
      <alignment horizontal="right"/>
    </xf>
    <xf numFmtId="166" fontId="12" fillId="0" borderId="10" xfId="0" applyNumberFormat="1" applyFont="1" applyBorder="1" applyAlignment="1">
      <alignment horizontal="right"/>
    </xf>
    <xf numFmtId="166" fontId="12" fillId="0" borderId="29" xfId="0" applyNumberFormat="1" applyFont="1" applyBorder="1" applyAlignment="1">
      <alignment horizontal="right"/>
    </xf>
    <xf numFmtId="166" fontId="12" fillId="0" borderId="24" xfId="0" applyNumberFormat="1" applyFont="1" applyBorder="1" applyAlignment="1">
      <alignment horizontal="right"/>
    </xf>
    <xf numFmtId="166" fontId="12" fillId="0" borderId="1" xfId="0" applyNumberFormat="1" applyFont="1" applyFill="1" applyBorder="1" applyAlignment="1">
      <alignment horizontal="right"/>
    </xf>
    <xf numFmtId="166" fontId="0" fillId="0" borderId="1" xfId="0" applyNumberFormat="1" applyFont="1" applyFill="1" applyBorder="1"/>
    <xf numFmtId="166" fontId="12" fillId="0" borderId="26" xfId="0" applyNumberFormat="1" applyFont="1" applyFill="1" applyBorder="1" applyAlignment="1">
      <alignment horizontal="center" vertical="center"/>
    </xf>
    <xf numFmtId="166" fontId="0" fillId="0" borderId="1" xfId="0" applyNumberFormat="1" applyFont="1" applyFill="1" applyBorder="1" applyAlignment="1">
      <alignment wrapText="1"/>
    </xf>
    <xf numFmtId="166" fontId="12" fillId="0" borderId="27" xfId="0" applyNumberFormat="1" applyFont="1" applyFill="1" applyBorder="1" applyAlignment="1">
      <alignment horizontal="right"/>
    </xf>
    <xf numFmtId="166" fontId="12" fillId="0" borderId="28" xfId="0" applyNumberFormat="1" applyFont="1" applyBorder="1" applyAlignment="1">
      <alignment horizontal="right"/>
    </xf>
    <xf numFmtId="166" fontId="2" fillId="0" borderId="4" xfId="0" applyNumberFormat="1" applyFont="1" applyBorder="1" applyAlignment="1">
      <alignment horizontal="right" vertical="center"/>
    </xf>
    <xf numFmtId="166" fontId="2" fillId="2" borderId="4" xfId="0" applyNumberFormat="1" applyFont="1" applyFill="1" applyBorder="1" applyAlignment="1">
      <alignment horizontal="right" vertical="center"/>
    </xf>
    <xf numFmtId="166" fontId="2" fillId="0" borderId="40" xfId="0" applyNumberFormat="1" applyFont="1" applyBorder="1" applyAlignment="1">
      <alignment horizontal="right" vertical="center"/>
    </xf>
    <xf numFmtId="166" fontId="2" fillId="3" borderId="35" xfId="0" applyNumberFormat="1" applyFont="1" applyFill="1" applyBorder="1" applyAlignment="1">
      <alignment horizontal="right" vertical="center"/>
    </xf>
    <xf numFmtId="166" fontId="2" fillId="2" borderId="1" xfId="0" applyNumberFormat="1" applyFont="1" applyFill="1" applyBorder="1" applyAlignment="1">
      <alignment horizontal="right" vertical="center"/>
    </xf>
    <xf numFmtId="166" fontId="2" fillId="3" borderId="30" xfId="0" applyNumberFormat="1" applyFont="1" applyFill="1" applyBorder="1" applyAlignment="1">
      <alignment horizontal="right" vertical="center"/>
    </xf>
    <xf numFmtId="166" fontId="2" fillId="0" borderId="7" xfId="0" applyNumberFormat="1" applyFont="1" applyBorder="1" applyAlignment="1">
      <alignment horizontal="right" vertical="center"/>
    </xf>
    <xf numFmtId="166" fontId="2" fillId="2" borderId="7" xfId="0" applyNumberFormat="1" applyFont="1" applyFill="1" applyBorder="1" applyAlignment="1">
      <alignment horizontal="right" vertical="center"/>
    </xf>
    <xf numFmtId="166" fontId="2" fillId="0" borderId="22" xfId="0" applyNumberFormat="1" applyFont="1" applyBorder="1" applyAlignment="1">
      <alignment horizontal="right" vertical="center"/>
    </xf>
    <xf numFmtId="166" fontId="2" fillId="3" borderId="37" xfId="0" applyNumberFormat="1" applyFont="1" applyFill="1" applyBorder="1" applyAlignment="1">
      <alignment horizontal="right" vertical="center"/>
    </xf>
    <xf numFmtId="166" fontId="12" fillId="0" borderId="4" xfId="0" applyNumberFormat="1" applyFont="1" applyFill="1" applyBorder="1" applyAlignment="1">
      <alignment horizontal="right"/>
    </xf>
    <xf numFmtId="166" fontId="12" fillId="0" borderId="7" xfId="0" applyNumberFormat="1" applyFont="1" applyFill="1" applyBorder="1" applyAlignment="1">
      <alignment horizontal="right"/>
    </xf>
    <xf numFmtId="166" fontId="12" fillId="0" borderId="22" xfId="0" applyNumberFormat="1" applyFont="1" applyBorder="1" applyAlignment="1">
      <alignment horizontal="right"/>
    </xf>
    <xf numFmtId="166" fontId="10" fillId="0" borderId="26" xfId="0" applyNumberFormat="1" applyFont="1" applyFill="1" applyBorder="1"/>
    <xf numFmtId="166" fontId="30" fillId="0" borderId="35" xfId="0" applyNumberFormat="1" applyFont="1" applyFill="1" applyBorder="1"/>
    <xf numFmtId="166" fontId="0" fillId="0" borderId="4" xfId="0" applyNumberFormat="1" applyFont="1" applyFill="1" applyBorder="1" applyAlignment="1">
      <alignment horizontal="center" wrapText="1"/>
    </xf>
    <xf numFmtId="166" fontId="12" fillId="0" borderId="4" xfId="0" applyNumberFormat="1" applyFont="1" applyFill="1" applyBorder="1" applyAlignment="1">
      <alignment horizontal="center" vertical="center"/>
    </xf>
    <xf numFmtId="166" fontId="12" fillId="0" borderId="1" xfId="0" applyNumberFormat="1" applyFont="1" applyFill="1" applyBorder="1" applyAlignment="1">
      <alignment horizontal="center" vertical="center"/>
    </xf>
    <xf numFmtId="166" fontId="4" fillId="0" borderId="4" xfId="0" applyNumberFormat="1" applyFont="1" applyBorder="1" applyAlignment="1">
      <alignment horizontal="right" wrapText="1"/>
    </xf>
    <xf numFmtId="166" fontId="4" fillId="0" borderId="40" xfId="0" applyNumberFormat="1" applyFont="1" applyBorder="1" applyAlignment="1">
      <alignment horizontal="right" wrapText="1"/>
    </xf>
    <xf numFmtId="166" fontId="12" fillId="0" borderId="4" xfId="0" applyNumberFormat="1" applyFont="1" applyFill="1" applyBorder="1"/>
    <xf numFmtId="166" fontId="4" fillId="0" borderId="1" xfId="0" applyNumberFormat="1" applyFont="1" applyBorder="1" applyAlignment="1">
      <alignment horizontal="right" wrapText="1"/>
    </xf>
    <xf numFmtId="166" fontId="4" fillId="0" borderId="2" xfId="0" applyNumberFormat="1" applyFont="1" applyBorder="1" applyAlignment="1">
      <alignment horizontal="right" wrapText="1"/>
    </xf>
    <xf numFmtId="166" fontId="2" fillId="0" borderId="30" xfId="0" applyNumberFormat="1" applyFont="1" applyBorder="1" applyAlignment="1">
      <alignment horizontal="right" wrapText="1"/>
    </xf>
    <xf numFmtId="166" fontId="12" fillId="0" borderId="1" xfId="0" applyNumberFormat="1" applyFont="1" applyFill="1" applyBorder="1"/>
    <xf numFmtId="166" fontId="4" fillId="0" borderId="7" xfId="0" applyNumberFormat="1" applyFont="1" applyBorder="1" applyAlignment="1">
      <alignment horizontal="right" wrapText="1"/>
    </xf>
    <xf numFmtId="166" fontId="4" fillId="0" borderId="22" xfId="0" applyNumberFormat="1" applyFont="1" applyBorder="1" applyAlignment="1">
      <alignment horizontal="right" wrapText="1"/>
    </xf>
    <xf numFmtId="11" fontId="21" fillId="0" borderId="36" xfId="0" applyNumberFormat="1" applyFont="1" applyFill="1" applyBorder="1" applyAlignment="1">
      <alignment horizontal="right" wrapText="1"/>
    </xf>
    <xf numFmtId="2" fontId="21" fillId="0" borderId="36" xfId="0" applyNumberFormat="1" applyFont="1" applyFill="1" applyBorder="1" applyAlignment="1">
      <alignment horizontal="right" wrapText="1"/>
    </xf>
    <xf numFmtId="10" fontId="11" fillId="0" borderId="21" xfId="0" applyNumberFormat="1" applyFont="1" applyFill="1" applyBorder="1" applyAlignment="1">
      <alignment horizontal="right" wrapText="1"/>
    </xf>
    <xf numFmtId="0" fontId="0" fillId="12" borderId="19" xfId="0" applyFont="1" applyFill="1" applyBorder="1" applyAlignment="1"/>
    <xf numFmtId="0" fontId="0" fillId="11" borderId="0" xfId="0" applyFont="1" applyFill="1" applyBorder="1" applyAlignment="1"/>
    <xf numFmtId="166" fontId="12" fillId="0" borderId="57" xfId="0" applyNumberFormat="1" applyFont="1" applyBorder="1" applyAlignment="1">
      <alignment horizontal="center" wrapText="1"/>
    </xf>
    <xf numFmtId="10" fontId="0" fillId="0" borderId="1" xfId="0" applyNumberFormat="1" applyBorder="1"/>
    <xf numFmtId="10" fontId="0" fillId="0" borderId="7" xfId="0" applyNumberFormat="1" applyBorder="1"/>
    <xf numFmtId="0" fontId="0" fillId="0" borderId="37" xfId="0" applyFill="1" applyBorder="1"/>
    <xf numFmtId="0" fontId="0" fillId="0" borderId="7" xfId="0" applyFill="1" applyBorder="1"/>
    <xf numFmtId="0" fontId="0" fillId="0" borderId="34" xfId="0" applyFill="1" applyBorder="1"/>
    <xf numFmtId="0" fontId="12" fillId="12" borderId="23" xfId="0" applyFont="1" applyFill="1" applyBorder="1" applyAlignment="1">
      <alignment horizontal="center" vertical="center" wrapText="1"/>
    </xf>
    <xf numFmtId="0" fontId="12" fillId="12" borderId="70" xfId="0" applyFont="1" applyFill="1" applyBorder="1" applyAlignment="1">
      <alignment horizontal="right" wrapText="1"/>
    </xf>
    <xf numFmtId="10" fontId="11" fillId="0" borderId="44" xfId="0" applyNumberFormat="1" applyFont="1" applyFill="1" applyBorder="1" applyAlignment="1">
      <alignment horizontal="right" wrapText="1"/>
    </xf>
    <xf numFmtId="10" fontId="11" fillId="0" borderId="67" xfId="0" applyNumberFormat="1" applyFont="1" applyFill="1" applyBorder="1" applyAlignment="1">
      <alignment horizontal="right" wrapText="1"/>
    </xf>
    <xf numFmtId="10" fontId="11" fillId="0" borderId="20" xfId="0" applyNumberFormat="1" applyFont="1" applyFill="1" applyBorder="1" applyAlignment="1">
      <alignment horizontal="right" wrapText="1"/>
    </xf>
    <xf numFmtId="0" fontId="12" fillId="12" borderId="71" xfId="0" applyFont="1" applyFill="1" applyBorder="1" applyAlignment="1">
      <alignment horizontal="right" wrapText="1"/>
    </xf>
    <xf numFmtId="0" fontId="0" fillId="0" borderId="35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30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31" xfId="0" applyFont="1" applyBorder="1" applyAlignment="1">
      <alignment horizontal="center" vertical="center" wrapText="1"/>
    </xf>
    <xf numFmtId="0" fontId="0" fillId="0" borderId="27" xfId="0" applyFont="1" applyBorder="1" applyAlignment="1">
      <alignment horizontal="center" vertical="center" wrapText="1"/>
    </xf>
    <xf numFmtId="0" fontId="0" fillId="11" borderId="0" xfId="0" applyFont="1" applyFill="1" applyBorder="1" applyAlignment="1">
      <alignment horizontal="center" vertical="center" wrapText="1"/>
    </xf>
    <xf numFmtId="0" fontId="0" fillId="10" borderId="16" xfId="0" applyFont="1" applyFill="1" applyBorder="1" applyAlignment="1">
      <alignment horizontal="center" vertical="center" wrapText="1"/>
    </xf>
    <xf numFmtId="0" fontId="0" fillId="10" borderId="16" xfId="0" applyFont="1" applyFill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0" fillId="0" borderId="36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0" fillId="0" borderId="26" xfId="0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0" fillId="0" borderId="28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0" fillId="11" borderId="0" xfId="0" applyFont="1" applyFill="1" applyBorder="1" applyAlignment="1">
      <alignment vertical="center"/>
    </xf>
    <xf numFmtId="0" fontId="0" fillId="0" borderId="4" xfId="0" applyFont="1" applyBorder="1" applyAlignment="1">
      <alignment horizontal="center" vertical="center"/>
    </xf>
    <xf numFmtId="0" fontId="12" fillId="0" borderId="32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33" xfId="0" applyFont="1" applyBorder="1" applyAlignment="1">
      <alignment horizontal="center" vertical="center" wrapText="1"/>
    </xf>
    <xf numFmtId="0" fontId="0" fillId="0" borderId="27" xfId="0" applyFont="1" applyBorder="1" applyAlignment="1">
      <alignment horizontal="center" vertical="center"/>
    </xf>
    <xf numFmtId="0" fontId="12" fillId="0" borderId="36" xfId="0" applyFont="1" applyBorder="1" applyAlignment="1">
      <alignment horizontal="center" vertical="center"/>
    </xf>
    <xf numFmtId="0" fontId="12" fillId="0" borderId="26" xfId="0" applyFont="1" applyBorder="1" applyAlignment="1">
      <alignment horizontal="center" vertical="center"/>
    </xf>
    <xf numFmtId="0" fontId="12" fillId="0" borderId="28" xfId="0" applyFont="1" applyBorder="1" applyAlignment="1">
      <alignment horizontal="center" vertical="center"/>
    </xf>
    <xf numFmtId="0" fontId="0" fillId="10" borderId="16" xfId="0" applyFont="1" applyFill="1" applyBorder="1" applyAlignment="1">
      <alignment vertical="center"/>
    </xf>
    <xf numFmtId="0" fontId="0" fillId="11" borderId="0" xfId="0" applyFont="1" applyFill="1" applyAlignment="1">
      <alignment vertical="center"/>
    </xf>
    <xf numFmtId="0" fontId="12" fillId="0" borderId="24" xfId="0" applyFont="1" applyBorder="1" applyAlignment="1">
      <alignment horizontal="center" vertical="center"/>
    </xf>
    <xf numFmtId="0" fontId="12" fillId="0" borderId="37" xfId="0" applyFont="1" applyBorder="1" applyAlignment="1">
      <alignment horizontal="center" vertical="center" wrapText="1"/>
    </xf>
    <xf numFmtId="0" fontId="0" fillId="11" borderId="0" xfId="0" applyFont="1" applyFill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167" fontId="12" fillId="0" borderId="3" xfId="0" applyNumberFormat="1" applyFont="1" applyBorder="1" applyAlignment="1">
      <alignment horizontal="right"/>
    </xf>
    <xf numFmtId="167" fontId="12" fillId="0" borderId="10" xfId="0" applyNumberFormat="1" applyFont="1" applyBorder="1" applyAlignment="1">
      <alignment horizontal="right"/>
    </xf>
    <xf numFmtId="167" fontId="12" fillId="0" borderId="1" xfId="0" applyNumberFormat="1" applyFont="1" applyBorder="1" applyAlignment="1">
      <alignment horizontal="right"/>
    </xf>
    <xf numFmtId="167" fontId="12" fillId="0" borderId="2" xfId="0" applyNumberFormat="1" applyFont="1" applyBorder="1" applyAlignment="1">
      <alignment horizontal="right"/>
    </xf>
    <xf numFmtId="167" fontId="12" fillId="0" borderId="1" xfId="0" applyNumberFormat="1" applyFont="1" applyBorder="1" applyAlignment="1">
      <alignment horizontal="center"/>
    </xf>
    <xf numFmtId="167" fontId="12" fillId="0" borderId="2" xfId="0" applyNumberFormat="1" applyFont="1" applyBorder="1" applyAlignment="1">
      <alignment horizontal="center"/>
    </xf>
    <xf numFmtId="166" fontId="12" fillId="0" borderId="1" xfId="0" applyNumberFormat="1" applyFont="1" applyBorder="1" applyAlignment="1">
      <alignment horizontal="center"/>
    </xf>
    <xf numFmtId="167" fontId="12" fillId="0" borderId="4" xfId="0" applyNumberFormat="1" applyFont="1" applyBorder="1"/>
    <xf numFmtId="167" fontId="12" fillId="0" borderId="40" xfId="0" applyNumberFormat="1" applyFont="1" applyBorder="1"/>
    <xf numFmtId="167" fontId="12" fillId="0" borderId="1" xfId="0" applyNumberFormat="1" applyFont="1" applyBorder="1"/>
    <xf numFmtId="167" fontId="12" fillId="0" borderId="2" xfId="0" applyNumberFormat="1" applyFont="1" applyBorder="1"/>
    <xf numFmtId="168" fontId="12" fillId="0" borderId="4" xfId="0" applyNumberFormat="1" applyFont="1" applyBorder="1"/>
    <xf numFmtId="168" fontId="12" fillId="0" borderId="1" xfId="0" applyNumberFormat="1" applyFont="1" applyBorder="1"/>
    <xf numFmtId="168" fontId="12" fillId="0" borderId="1" xfId="0" applyNumberFormat="1" applyFont="1" applyBorder="1" applyAlignment="1">
      <alignment horizontal="center"/>
    </xf>
    <xf numFmtId="166" fontId="12" fillId="0" borderId="1" xfId="0" applyNumberFormat="1" applyFont="1" applyBorder="1" applyAlignment="1">
      <alignment horizontal="center" vertical="center"/>
    </xf>
    <xf numFmtId="0" fontId="0" fillId="10" borderId="12" xfId="0" applyFill="1" applyBorder="1" applyAlignment="1">
      <alignment horizontal="center"/>
    </xf>
    <xf numFmtId="0" fontId="12" fillId="0" borderId="18" xfId="0" applyFont="1" applyFill="1" applyBorder="1" applyAlignment="1">
      <alignment horizontal="center" vertical="center" wrapText="1"/>
    </xf>
    <xf numFmtId="0" fontId="12" fillId="0" borderId="18" xfId="0" applyFont="1" applyFill="1" applyBorder="1" applyAlignment="1">
      <alignment horizontal="center" vertical="center"/>
    </xf>
    <xf numFmtId="0" fontId="0" fillId="0" borderId="18" xfId="0" applyFill="1" applyBorder="1"/>
    <xf numFmtId="0" fontId="12" fillId="0" borderId="46" xfId="0" applyFont="1" applyFill="1" applyBorder="1" applyAlignment="1">
      <alignment horizontal="center" vertical="center" wrapText="1"/>
    </xf>
    <xf numFmtId="0" fontId="12" fillId="0" borderId="19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vertical="center"/>
    </xf>
    <xf numFmtId="0" fontId="0" fillId="0" borderId="46" xfId="0" applyFill="1" applyBorder="1"/>
    <xf numFmtId="0" fontId="0" fillId="0" borderId="19" xfId="0" applyFill="1" applyBorder="1"/>
    <xf numFmtId="0" fontId="0" fillId="9" borderId="38" xfId="0" applyFill="1" applyBorder="1"/>
    <xf numFmtId="10" fontId="12" fillId="0" borderId="20" xfId="0" applyNumberFormat="1" applyFont="1" applyFill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2" fillId="0" borderId="36" xfId="0" applyFont="1" applyBorder="1" applyAlignment="1">
      <alignment horizontal="center" vertical="center" wrapText="1"/>
    </xf>
    <xf numFmtId="0" fontId="12" fillId="0" borderId="28" xfId="0" applyFont="1" applyBorder="1" applyAlignment="1">
      <alignment horizontal="center" vertical="center" wrapText="1"/>
    </xf>
    <xf numFmtId="10" fontId="12" fillId="0" borderId="44" xfId="0" applyNumberFormat="1" applyFont="1" applyFill="1" applyBorder="1" applyAlignment="1">
      <alignment horizontal="center" vertical="center" wrapText="1"/>
    </xf>
    <xf numFmtId="10" fontId="12" fillId="0" borderId="21" xfId="0" applyNumberFormat="1" applyFont="1" applyFill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0" fillId="10" borderId="2" xfId="0" applyFill="1" applyBorder="1" applyAlignment="1">
      <alignment horizontal="center"/>
    </xf>
    <xf numFmtId="0" fontId="0" fillId="10" borderId="40" xfId="0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41" xfId="0" applyFill="1" applyBorder="1" applyAlignment="1">
      <alignment horizontal="center"/>
    </xf>
    <xf numFmtId="10" fontId="12" fillId="0" borderId="45" xfId="0" applyNumberFormat="1" applyFont="1" applyFill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41" xfId="0" applyFont="1" applyBorder="1" applyAlignment="1">
      <alignment horizontal="center" vertical="center" wrapText="1"/>
    </xf>
    <xf numFmtId="0" fontId="0" fillId="10" borderId="22" xfId="0" applyFill="1" applyBorder="1" applyAlignment="1">
      <alignment horizontal="center"/>
    </xf>
    <xf numFmtId="10" fontId="11" fillId="0" borderId="61" xfId="0" applyNumberFormat="1" applyFont="1" applyFill="1" applyBorder="1" applyAlignment="1">
      <alignment horizontal="right" wrapText="1"/>
    </xf>
    <xf numFmtId="0" fontId="12" fillId="0" borderId="7" xfId="0" applyFont="1" applyBorder="1" applyAlignment="1">
      <alignment horizontal="center" vertical="center" wrapText="1"/>
    </xf>
    <xf numFmtId="0" fontId="12" fillId="0" borderId="34" xfId="0" applyFont="1" applyBorder="1" applyAlignment="1">
      <alignment horizontal="center" vertical="center" wrapText="1"/>
    </xf>
    <xf numFmtId="0" fontId="12" fillId="0" borderId="56" xfId="0" applyFont="1" applyBorder="1" applyAlignment="1">
      <alignment horizontal="center" vertical="center" wrapText="1"/>
    </xf>
    <xf numFmtId="0" fontId="12" fillId="0" borderId="22" xfId="0" applyFont="1" applyBorder="1" applyAlignment="1">
      <alignment horizontal="center" vertical="center" wrapText="1"/>
    </xf>
    <xf numFmtId="0" fontId="0" fillId="9" borderId="38" xfId="0" applyFont="1" applyFill="1" applyBorder="1" applyAlignment="1">
      <alignment horizontal="center" vertical="center"/>
    </xf>
    <xf numFmtId="0" fontId="12" fillId="0" borderId="44" xfId="0" applyFont="1" applyFill="1" applyBorder="1" applyAlignment="1">
      <alignment horizontal="center" vertical="center" wrapText="1"/>
    </xf>
    <xf numFmtId="0" fontId="12" fillId="0" borderId="44" xfId="0" applyFont="1" applyFill="1" applyBorder="1" applyAlignment="1">
      <alignment horizontal="center" vertical="center"/>
    </xf>
    <xf numFmtId="0" fontId="0" fillId="0" borderId="67" xfId="0" applyFont="1" applyFill="1" applyBorder="1" applyAlignment="1">
      <alignment vertical="center"/>
    </xf>
    <xf numFmtId="0" fontId="0" fillId="0" borderId="20" xfId="0" applyFill="1" applyBorder="1"/>
    <xf numFmtId="0" fontId="0" fillId="0" borderId="44" xfId="0" applyFill="1" applyBorder="1"/>
    <xf numFmtId="0" fontId="0" fillId="0" borderId="21" xfId="0" applyFill="1" applyBorder="1"/>
    <xf numFmtId="0" fontId="0" fillId="9" borderId="47" xfId="0" applyFill="1" applyBorder="1"/>
    <xf numFmtId="0" fontId="12" fillId="0" borderId="45" xfId="0" applyFont="1" applyFill="1" applyBorder="1" applyAlignment="1">
      <alignment horizontal="center" vertical="center" wrapText="1"/>
    </xf>
    <xf numFmtId="0" fontId="12" fillId="0" borderId="20" xfId="0" applyFont="1" applyFill="1" applyBorder="1" applyAlignment="1">
      <alignment horizontal="center" vertical="center" wrapText="1"/>
    </xf>
    <xf numFmtId="0" fontId="12" fillId="0" borderId="21" xfId="0" applyFont="1" applyFill="1" applyBorder="1" applyAlignment="1">
      <alignment horizontal="center" vertical="center"/>
    </xf>
    <xf numFmtId="0" fontId="0" fillId="0" borderId="21" xfId="0" applyFont="1" applyFill="1" applyBorder="1" applyAlignment="1">
      <alignment vertical="center"/>
    </xf>
    <xf numFmtId="0" fontId="0" fillId="9" borderId="11" xfId="0" applyFill="1" applyBorder="1"/>
    <xf numFmtId="2" fontId="12" fillId="0" borderId="26" xfId="0" applyNumberFormat="1" applyFont="1" applyBorder="1" applyAlignment="1">
      <alignment horizontal="right" vertical="center"/>
    </xf>
    <xf numFmtId="165" fontId="12" fillId="0" borderId="4" xfId="0" applyNumberFormat="1" applyFont="1" applyBorder="1" applyAlignment="1">
      <alignment horizontal="right"/>
    </xf>
    <xf numFmtId="165" fontId="12" fillId="0" borderId="36" xfId="0" applyNumberFormat="1" applyFont="1" applyBorder="1" applyAlignment="1">
      <alignment horizontal="right"/>
    </xf>
    <xf numFmtId="165" fontId="12" fillId="0" borderId="1" xfId="0" applyNumberFormat="1" applyFont="1" applyBorder="1" applyAlignment="1">
      <alignment horizontal="right"/>
    </xf>
    <xf numFmtId="165" fontId="12" fillId="0" borderId="26" xfId="0" applyNumberFormat="1" applyFont="1" applyBorder="1" applyAlignment="1">
      <alignment horizontal="right"/>
    </xf>
    <xf numFmtId="2" fontId="12" fillId="0" borderId="31" xfId="0" applyNumberFormat="1" applyFont="1" applyBorder="1" applyAlignment="1">
      <alignment horizontal="right" vertical="center"/>
    </xf>
    <xf numFmtId="2" fontId="12" fillId="0" borderId="27" xfId="0" applyNumberFormat="1" applyFont="1" applyBorder="1" applyAlignment="1">
      <alignment horizontal="right" vertical="center"/>
    </xf>
    <xf numFmtId="2" fontId="12" fillId="0" borderId="28" xfId="0" applyNumberFormat="1" applyFont="1" applyBorder="1" applyAlignment="1">
      <alignment horizontal="right" vertical="center"/>
    </xf>
    <xf numFmtId="2" fontId="12" fillId="0" borderId="29" xfId="0" applyNumberFormat="1" applyFont="1" applyBorder="1" applyAlignment="1">
      <alignment horizontal="right" vertical="center"/>
    </xf>
    <xf numFmtId="2" fontId="12" fillId="0" borderId="3" xfId="0" applyNumberFormat="1" applyFont="1" applyBorder="1" applyAlignment="1">
      <alignment horizontal="right" vertical="center"/>
    </xf>
    <xf numFmtId="2" fontId="12" fillId="0" borderId="24" xfId="0" applyNumberFormat="1" applyFont="1" applyBorder="1" applyAlignment="1">
      <alignment horizontal="right" vertical="center"/>
    </xf>
    <xf numFmtId="11" fontId="12" fillId="0" borderId="29" xfId="0" applyNumberFormat="1" applyFont="1" applyBorder="1" applyAlignment="1">
      <alignment horizontal="right"/>
    </xf>
    <xf numFmtId="11" fontId="12" fillId="0" borderId="3" xfId="0" applyNumberFormat="1" applyFont="1" applyBorder="1"/>
    <xf numFmtId="11" fontId="12" fillId="0" borderId="3" xfId="1" applyNumberFormat="1" applyFont="1" applyBorder="1"/>
    <xf numFmtId="11" fontId="12" fillId="0" borderId="24" xfId="1" applyNumberFormat="1" applyFont="1" applyBorder="1" applyAlignment="1">
      <alignment horizontal="center" vertical="center"/>
    </xf>
    <xf numFmtId="11" fontId="12" fillId="0" borderId="26" xfId="1" applyNumberFormat="1" applyFont="1" applyBorder="1" applyAlignment="1">
      <alignment horizontal="center" vertical="center"/>
    </xf>
    <xf numFmtId="11" fontId="12" fillId="0" borderId="31" xfId="0" applyNumberFormat="1" applyFont="1" applyBorder="1" applyAlignment="1">
      <alignment horizontal="right"/>
    </xf>
    <xf numFmtId="11" fontId="12" fillId="0" borderId="40" xfId="1" applyNumberFormat="1" applyFont="1" applyBorder="1"/>
    <xf numFmtId="11" fontId="12" fillId="0" borderId="2" xfId="1" applyNumberFormat="1" applyFont="1" applyBorder="1"/>
    <xf numFmtId="11" fontId="12" fillId="0" borderId="22" xfId="1" applyNumberFormat="1" applyFont="1" applyBorder="1"/>
    <xf numFmtId="166" fontId="0" fillId="0" borderId="27" xfId="0" applyNumberFormat="1" applyFill="1" applyBorder="1"/>
    <xf numFmtId="165" fontId="12" fillId="0" borderId="9" xfId="0" applyNumberFormat="1" applyFont="1" applyBorder="1" applyAlignment="1">
      <alignment horizontal="right"/>
    </xf>
    <xf numFmtId="165" fontId="12" fillId="0" borderId="6" xfId="0" applyNumberFormat="1" applyFont="1" applyBorder="1" applyAlignment="1">
      <alignment horizontal="right"/>
    </xf>
    <xf numFmtId="0" fontId="12" fillId="12" borderId="7" xfId="0" applyFont="1" applyFill="1" applyBorder="1" applyAlignment="1">
      <alignment horizontal="right" wrapText="1"/>
    </xf>
    <xf numFmtId="11" fontId="12" fillId="0" borderId="26" xfId="0" applyNumberFormat="1" applyFont="1" applyBorder="1" applyAlignment="1">
      <alignment horizontal="right" vertical="center"/>
    </xf>
    <xf numFmtId="11" fontId="12" fillId="0" borderId="28" xfId="0" applyNumberFormat="1" applyFont="1" applyBorder="1" applyAlignment="1">
      <alignment horizontal="right" vertical="center"/>
    </xf>
    <xf numFmtId="11" fontId="12" fillId="0" borderId="1" xfId="0" applyNumberFormat="1" applyFont="1" applyFill="1" applyBorder="1" applyAlignment="1">
      <alignment horizontal="right"/>
    </xf>
    <xf numFmtId="11" fontId="0" fillId="0" borderId="1" xfId="0" applyNumberFormat="1" applyFont="1" applyFill="1" applyBorder="1" applyAlignment="1">
      <alignment horizontal="right"/>
    </xf>
    <xf numFmtId="165" fontId="12" fillId="0" borderId="3" xfId="0" applyNumberFormat="1" applyFont="1" applyFill="1" applyBorder="1" applyAlignment="1">
      <alignment horizontal="right" vertical="center"/>
    </xf>
    <xf numFmtId="165" fontId="12" fillId="0" borderId="24" xfId="0" applyNumberFormat="1" applyFont="1" applyFill="1" applyBorder="1" applyAlignment="1">
      <alignment horizontal="right" vertical="center"/>
    </xf>
    <xf numFmtId="165" fontId="12" fillId="0" borderId="1" xfId="0" applyNumberFormat="1" applyFont="1" applyFill="1" applyBorder="1" applyAlignment="1">
      <alignment horizontal="right" vertical="center"/>
    </xf>
    <xf numFmtId="165" fontId="12" fillId="0" borderId="26" xfId="0" applyNumberFormat="1" applyFont="1" applyFill="1" applyBorder="1" applyAlignment="1">
      <alignment horizontal="right" vertical="center"/>
    </xf>
    <xf numFmtId="2" fontId="12" fillId="6" borderId="3" xfId="0" applyNumberFormat="1" applyFont="1" applyFill="1" applyBorder="1" applyAlignment="1">
      <alignment horizontal="right" vertical="center"/>
    </xf>
    <xf numFmtId="2" fontId="12" fillId="6" borderId="1" xfId="0" applyNumberFormat="1" applyFont="1" applyFill="1" applyBorder="1" applyAlignment="1">
      <alignment horizontal="right" vertical="center"/>
    </xf>
    <xf numFmtId="2" fontId="0" fillId="0" borderId="1" xfId="0" applyNumberFormat="1" applyFont="1" applyBorder="1" applyAlignment="1">
      <alignment horizontal="right"/>
    </xf>
    <xf numFmtId="2" fontId="0" fillId="0" borderId="1" xfId="0" applyNumberFormat="1" applyBorder="1" applyAlignment="1">
      <alignment horizontal="right"/>
    </xf>
    <xf numFmtId="2" fontId="0" fillId="0" borderId="3" xfId="0" applyNumberFormat="1" applyFont="1" applyBorder="1" applyAlignment="1">
      <alignment horizontal="right"/>
    </xf>
    <xf numFmtId="2" fontId="0" fillId="0" borderId="27" xfId="0" applyNumberFormat="1" applyFont="1" applyBorder="1" applyAlignment="1">
      <alignment horizontal="right"/>
    </xf>
    <xf numFmtId="11" fontId="12" fillId="0" borderId="10" xfId="1" applyNumberFormat="1" applyFont="1" applyBorder="1"/>
    <xf numFmtId="11" fontId="12" fillId="0" borderId="24" xfId="0" applyNumberFormat="1" applyFont="1" applyBorder="1" applyAlignment="1">
      <alignment horizontal="right" vertical="center"/>
    </xf>
    <xf numFmtId="0" fontId="12" fillId="4" borderId="48" xfId="0" applyFont="1" applyFill="1" applyBorder="1"/>
    <xf numFmtId="0" fontId="12" fillId="0" borderId="48" xfId="0" applyFont="1" applyBorder="1"/>
    <xf numFmtId="11" fontId="12" fillId="0" borderId="3" xfId="0" applyNumberFormat="1" applyFont="1" applyFill="1" applyBorder="1" applyAlignment="1">
      <alignment horizontal="right"/>
    </xf>
    <xf numFmtId="11" fontId="12" fillId="0" borderId="24" xfId="0" applyNumberFormat="1" applyFont="1" applyFill="1" applyBorder="1" applyAlignment="1">
      <alignment horizontal="right"/>
    </xf>
    <xf numFmtId="11" fontId="12" fillId="0" borderId="26" xfId="0" applyNumberFormat="1" applyFont="1" applyFill="1" applyBorder="1" applyAlignment="1">
      <alignment horizontal="right"/>
    </xf>
    <xf numFmtId="11" fontId="12" fillId="3" borderId="1" xfId="0" applyNumberFormat="1" applyFont="1" applyFill="1" applyBorder="1" applyAlignment="1">
      <alignment horizontal="right"/>
    </xf>
    <xf numFmtId="11" fontId="12" fillId="3" borderId="26" xfId="0" applyNumberFormat="1" applyFont="1" applyFill="1" applyBorder="1" applyAlignment="1">
      <alignment horizontal="right"/>
    </xf>
    <xf numFmtId="0" fontId="12" fillId="4" borderId="43" xfId="0" applyFont="1" applyFill="1" applyBorder="1"/>
    <xf numFmtId="11" fontId="0" fillId="0" borderId="1" xfId="0" applyNumberFormat="1" applyFont="1" applyFill="1" applyBorder="1"/>
    <xf numFmtId="11" fontId="9" fillId="0" borderId="1" xfId="1" applyNumberFormat="1" applyFont="1" applyFill="1" applyBorder="1"/>
    <xf numFmtId="0" fontId="12" fillId="0" borderId="29" xfId="0" applyFont="1" applyFill="1" applyBorder="1" applyAlignment="1">
      <alignment horizontal="right" wrapText="1"/>
    </xf>
    <xf numFmtId="0" fontId="12" fillId="0" borderId="3" xfId="0" applyFont="1" applyFill="1" applyBorder="1" applyAlignment="1">
      <alignment horizontal="right" wrapText="1"/>
    </xf>
    <xf numFmtId="0" fontId="12" fillId="0" borderId="24" xfId="0" applyFont="1" applyFill="1" applyBorder="1" applyAlignment="1">
      <alignment horizontal="right" wrapText="1"/>
    </xf>
    <xf numFmtId="11" fontId="12" fillId="0" borderId="27" xfId="1" applyNumberFormat="1" applyFont="1" applyFill="1" applyBorder="1"/>
    <xf numFmtId="2" fontId="12" fillId="0" borderId="68" xfId="0" applyNumberFormat="1" applyFont="1" applyFill="1" applyBorder="1" applyAlignment="1">
      <alignment horizontal="center" vertical="center" wrapText="1"/>
    </xf>
    <xf numFmtId="166" fontId="12" fillId="0" borderId="25" xfId="0" applyNumberFormat="1" applyFont="1" applyBorder="1" applyAlignment="1">
      <alignment horizontal="right" wrapText="1"/>
    </xf>
    <xf numFmtId="166" fontId="12" fillId="0" borderId="15" xfId="0" applyNumberFormat="1" applyFont="1" applyBorder="1" applyAlignment="1">
      <alignment horizontal="center" wrapText="1"/>
    </xf>
    <xf numFmtId="0" fontId="2" fillId="0" borderId="29" xfId="0" applyFont="1" applyFill="1" applyBorder="1" applyAlignment="1">
      <alignment wrapText="1"/>
    </xf>
    <xf numFmtId="11" fontId="0" fillId="0" borderId="34" xfId="0" applyNumberFormat="1" applyBorder="1"/>
    <xf numFmtId="11" fontId="12" fillId="0" borderId="7" xfId="1" applyNumberFormat="1" applyFont="1" applyBorder="1" applyAlignment="1">
      <alignment horizontal="right"/>
    </xf>
    <xf numFmtId="11" fontId="12" fillId="0" borderId="37" xfId="0" applyNumberFormat="1" applyFont="1" applyBorder="1" applyAlignment="1">
      <alignment horizontal="right"/>
    </xf>
    <xf numFmtId="11" fontId="12" fillId="0" borderId="34" xfId="1" applyNumberFormat="1" applyFont="1" applyBorder="1" applyAlignment="1">
      <alignment horizontal="center" vertical="center"/>
    </xf>
    <xf numFmtId="11" fontId="33" fillId="0" borderId="7" xfId="0" applyNumberFormat="1" applyFont="1" applyBorder="1" applyAlignment="1">
      <alignment horizontal="right" wrapText="1"/>
    </xf>
    <xf numFmtId="11" fontId="2" fillId="0" borderId="7" xfId="0" applyNumberFormat="1" applyFont="1" applyBorder="1" applyAlignment="1">
      <alignment horizontal="right" wrapText="1"/>
    </xf>
    <xf numFmtId="11" fontId="2" fillId="0" borderId="22" xfId="0" applyNumberFormat="1" applyFont="1" applyBorder="1" applyAlignment="1">
      <alignment horizontal="right" wrapText="1"/>
    </xf>
    <xf numFmtId="11" fontId="12" fillId="0" borderId="7" xfId="0" applyNumberFormat="1" applyFont="1" applyBorder="1" applyAlignment="1">
      <alignment horizontal="right"/>
    </xf>
    <xf numFmtId="0" fontId="12" fillId="4" borderId="52" xfId="0" applyFont="1" applyFill="1" applyBorder="1"/>
    <xf numFmtId="11" fontId="12" fillId="3" borderId="7" xfId="0" applyNumberFormat="1" applyFont="1" applyFill="1" applyBorder="1" applyAlignment="1">
      <alignment horizontal="right"/>
    </xf>
    <xf numFmtId="11" fontId="12" fillId="3" borderId="34" xfId="0" applyNumberFormat="1" applyFont="1" applyFill="1" applyBorder="1" applyAlignment="1">
      <alignment horizontal="right"/>
    </xf>
    <xf numFmtId="2" fontId="12" fillId="0" borderId="7" xfId="0" applyNumberFormat="1" applyFont="1" applyBorder="1"/>
    <xf numFmtId="2" fontId="12" fillId="0" borderId="22" xfId="0" applyNumberFormat="1" applyFont="1" applyBorder="1"/>
    <xf numFmtId="2" fontId="12" fillId="0" borderId="37" xfId="0" applyNumberFormat="1" applyFont="1" applyBorder="1"/>
    <xf numFmtId="2" fontId="12" fillId="0" borderId="7" xfId="1" applyNumberFormat="1" applyFont="1" applyBorder="1"/>
    <xf numFmtId="2" fontId="12" fillId="0" borderId="7" xfId="1" applyNumberFormat="1" applyFont="1" applyBorder="1" applyAlignment="1">
      <alignment horizontal="right"/>
    </xf>
    <xf numFmtId="2" fontId="9" fillId="0" borderId="34" xfId="1" applyNumberFormat="1" applyFont="1" applyBorder="1"/>
    <xf numFmtId="2" fontId="33" fillId="0" borderId="7" xfId="0" applyNumberFormat="1" applyFont="1" applyBorder="1" applyAlignment="1">
      <alignment horizontal="right" wrapText="1"/>
    </xf>
    <xf numFmtId="11" fontId="12" fillId="0" borderId="34" xfId="0" applyNumberFormat="1" applyFont="1" applyBorder="1"/>
    <xf numFmtId="2" fontId="12" fillId="0" borderId="25" xfId="0" applyNumberFormat="1" applyFont="1" applyBorder="1" applyAlignment="1">
      <alignment horizontal="right" vertical="top" wrapText="1"/>
    </xf>
    <xf numFmtId="166" fontId="12" fillId="0" borderId="68" xfId="0" applyNumberFormat="1" applyFont="1" applyFill="1" applyBorder="1" applyAlignment="1">
      <alignment horizontal="center" vertical="center" wrapText="1"/>
    </xf>
    <xf numFmtId="0" fontId="3" fillId="5" borderId="44" xfId="0" applyFont="1" applyFill="1" applyBorder="1" applyAlignment="1">
      <alignment horizontal="center" vertical="center" wrapText="1"/>
    </xf>
    <xf numFmtId="0" fontId="3" fillId="15" borderId="44" xfId="0" applyFont="1" applyFill="1" applyBorder="1" applyAlignment="1">
      <alignment horizontal="center" vertical="center" wrapText="1"/>
    </xf>
    <xf numFmtId="0" fontId="3" fillId="14" borderId="67" xfId="0" applyFont="1" applyFill="1" applyBorder="1" applyAlignment="1">
      <alignment horizontal="center" vertical="center" wrapText="1"/>
    </xf>
    <xf numFmtId="0" fontId="3" fillId="5" borderId="20" xfId="0" applyFont="1" applyFill="1" applyBorder="1" applyAlignment="1">
      <alignment horizontal="center" vertical="center" wrapText="1"/>
    </xf>
    <xf numFmtId="0" fontId="10" fillId="14" borderId="21" xfId="0" applyFont="1" applyFill="1" applyBorder="1" applyAlignment="1">
      <alignment horizontal="center" vertical="center"/>
    </xf>
    <xf numFmtId="0" fontId="3" fillId="16" borderId="44" xfId="0" applyFont="1" applyFill="1" applyBorder="1" applyAlignment="1">
      <alignment horizontal="center" vertical="center" wrapText="1"/>
    </xf>
    <xf numFmtId="0" fontId="0" fillId="3" borderId="0" xfId="0" applyFill="1"/>
    <xf numFmtId="2" fontId="0" fillId="0" borderId="1" xfId="0" applyNumberFormat="1" applyFont="1" applyBorder="1" applyAlignment="1">
      <alignment horizontal="right" vertical="center"/>
    </xf>
    <xf numFmtId="2" fontId="0" fillId="0" borderId="2" xfId="0" applyNumberFormat="1" applyBorder="1" applyAlignment="1">
      <alignment horizontal="right" vertical="center"/>
    </xf>
    <xf numFmtId="2" fontId="14" fillId="0" borderId="30" xfId="0" applyNumberFormat="1" applyFont="1" applyBorder="1" applyAlignment="1">
      <alignment horizontal="right" vertical="center"/>
    </xf>
    <xf numFmtId="2" fontId="14" fillId="0" borderId="31" xfId="0" applyNumberFormat="1" applyFont="1" applyBorder="1" applyAlignment="1">
      <alignment horizontal="right" vertical="center"/>
    </xf>
    <xf numFmtId="2" fontId="0" fillId="0" borderId="24" xfId="0" applyNumberFormat="1" applyFont="1" applyBorder="1" applyAlignment="1">
      <alignment horizontal="right" vertical="center"/>
    </xf>
    <xf numFmtId="2" fontId="0" fillId="0" borderId="30" xfId="0" applyNumberFormat="1" applyFont="1" applyFill="1" applyBorder="1" applyAlignment="1">
      <alignment horizontal="right" vertical="center"/>
    </xf>
    <xf numFmtId="2" fontId="0" fillId="0" borderId="26" xfId="0" applyNumberFormat="1" applyFont="1" applyBorder="1" applyAlignment="1">
      <alignment horizontal="right" vertical="center"/>
    </xf>
    <xf numFmtId="2" fontId="0" fillId="0" borderId="30" xfId="0" applyNumberFormat="1" applyFont="1" applyBorder="1" applyAlignment="1">
      <alignment horizontal="right" vertical="center"/>
    </xf>
    <xf numFmtId="2" fontId="0" fillId="0" borderId="26" xfId="0" applyNumberFormat="1" applyFont="1" applyFill="1" applyBorder="1" applyAlignment="1">
      <alignment horizontal="right" vertical="center"/>
    </xf>
    <xf numFmtId="2" fontId="0" fillId="0" borderId="28" xfId="0" applyNumberFormat="1" applyFont="1" applyBorder="1" applyAlignment="1">
      <alignment horizontal="right" vertical="center"/>
    </xf>
    <xf numFmtId="2" fontId="0" fillId="0" borderId="31" xfId="0" applyNumberFormat="1" applyFont="1" applyBorder="1" applyAlignment="1">
      <alignment horizontal="right" vertical="center"/>
    </xf>
    <xf numFmtId="166" fontId="0" fillId="0" borderId="3" xfId="0" applyNumberFormat="1" applyFill="1" applyBorder="1"/>
    <xf numFmtId="2" fontId="14" fillId="0" borderId="29" xfId="0" applyNumberFormat="1" applyFont="1" applyBorder="1" applyAlignment="1">
      <alignment horizontal="right" vertical="center"/>
    </xf>
    <xf numFmtId="2" fontId="0" fillId="0" borderId="2" xfId="0" applyNumberFormat="1" applyFont="1" applyBorder="1" applyAlignment="1">
      <alignment horizontal="right" vertical="center"/>
    </xf>
    <xf numFmtId="2" fontId="0" fillId="0" borderId="29" xfId="0" applyNumberFormat="1" applyFont="1" applyBorder="1" applyAlignment="1">
      <alignment horizontal="right" vertical="center"/>
    </xf>
    <xf numFmtId="2" fontId="0" fillId="0" borderId="6" xfId="0" applyNumberFormat="1" applyFont="1" applyBorder="1" applyAlignment="1">
      <alignment horizontal="right" vertical="center"/>
    </xf>
    <xf numFmtId="166" fontId="0" fillId="0" borderId="3" xfId="0" applyNumberFormat="1" applyFont="1" applyFill="1" applyBorder="1"/>
    <xf numFmtId="166" fontId="12" fillId="0" borderId="3" xfId="0" applyNumberFormat="1" applyFont="1" applyFill="1" applyBorder="1" applyAlignment="1">
      <alignment horizontal="center" vertical="center"/>
    </xf>
    <xf numFmtId="166" fontId="2" fillId="0" borderId="29" xfId="0" applyNumberFormat="1" applyFont="1" applyBorder="1" applyAlignment="1">
      <alignment horizontal="right" wrapText="1"/>
    </xf>
    <xf numFmtId="166" fontId="2" fillId="0" borderId="31" xfId="0" applyNumberFormat="1" applyFont="1" applyBorder="1" applyAlignment="1">
      <alignment horizontal="right" wrapText="1"/>
    </xf>
    <xf numFmtId="2" fontId="0" fillId="0" borderId="3" xfId="0" applyNumberFormat="1" applyFont="1" applyBorder="1" applyAlignment="1">
      <alignment horizontal="right" vertical="center"/>
    </xf>
    <xf numFmtId="2" fontId="0" fillId="0" borderId="27" xfId="0" applyNumberFormat="1" applyFont="1" applyBorder="1" applyAlignment="1">
      <alignment horizontal="right" vertical="center"/>
    </xf>
    <xf numFmtId="2" fontId="0" fillId="0" borderId="22" xfId="0" applyNumberFormat="1" applyFill="1" applyBorder="1"/>
    <xf numFmtId="0" fontId="10" fillId="3" borderId="0" xfId="0" applyFont="1" applyFill="1" applyBorder="1" applyAlignment="1"/>
    <xf numFmtId="0" fontId="16" fillId="3" borderId="0" xfId="0" applyFont="1" applyFill="1" applyBorder="1" applyAlignment="1"/>
    <xf numFmtId="0" fontId="0" fillId="3" borderId="0" xfId="0" applyFont="1" applyFill="1"/>
    <xf numFmtId="0" fontId="0" fillId="3" borderId="0" xfId="0" applyFont="1" applyFill="1" applyBorder="1"/>
    <xf numFmtId="0" fontId="0" fillId="3" borderId="0" xfId="0" applyFill="1" applyBorder="1"/>
    <xf numFmtId="0" fontId="12" fillId="0" borderId="1" xfId="0" applyFont="1" applyFill="1" applyBorder="1" applyAlignment="1">
      <alignment vertical="top" wrapText="1"/>
    </xf>
    <xf numFmtId="0" fontId="4" fillId="0" borderId="1" xfId="0" applyFont="1" applyFill="1" applyBorder="1" applyAlignment="1">
      <alignment horizontal="center" wrapText="1"/>
    </xf>
    <xf numFmtId="2" fontId="11" fillId="0" borderId="1" xfId="0" applyNumberFormat="1" applyFont="1" applyFill="1" applyBorder="1" applyAlignment="1">
      <alignment horizontal="right" vertical="top" wrapText="1"/>
    </xf>
    <xf numFmtId="0" fontId="12" fillId="0" borderId="26" xfId="0" applyFont="1" applyFill="1" applyBorder="1" applyAlignment="1">
      <alignment vertical="top" wrapText="1"/>
    </xf>
    <xf numFmtId="2" fontId="11" fillId="0" borderId="26" xfId="0" applyNumberFormat="1" applyFont="1" applyFill="1" applyBorder="1" applyAlignment="1">
      <alignment horizontal="right" vertical="top" wrapText="1"/>
    </xf>
    <xf numFmtId="0" fontId="0" fillId="0" borderId="1" xfId="0" applyFont="1" applyFill="1" applyBorder="1"/>
    <xf numFmtId="2" fontId="11" fillId="0" borderId="1" xfId="0" applyNumberFormat="1" applyFont="1" applyFill="1" applyBorder="1" applyAlignment="1">
      <alignment horizontal="right" vertical="center"/>
    </xf>
    <xf numFmtId="0" fontId="42" fillId="3" borderId="0" xfId="0" applyFont="1" applyFill="1" applyAlignment="1">
      <alignment vertical="center"/>
    </xf>
    <xf numFmtId="2" fontId="12" fillId="11" borderId="0" xfId="0" applyNumberFormat="1" applyFont="1" applyFill="1" applyBorder="1" applyAlignment="1">
      <alignment vertical="center" wrapText="1"/>
    </xf>
    <xf numFmtId="0" fontId="0" fillId="3" borderId="66" xfId="0" applyFill="1" applyBorder="1"/>
    <xf numFmtId="17" fontId="3" fillId="11" borderId="0" xfId="0" applyNumberFormat="1" applyFont="1" applyFill="1" applyBorder="1" applyAlignment="1">
      <alignment horizontal="center" vertical="center" wrapText="1"/>
    </xf>
    <xf numFmtId="0" fontId="0" fillId="11" borderId="0" xfId="0" applyFill="1" applyAlignment="1">
      <alignment horizontal="center"/>
    </xf>
    <xf numFmtId="0" fontId="0" fillId="11" borderId="66" xfId="0" applyFill="1" applyBorder="1"/>
    <xf numFmtId="0" fontId="10" fillId="11" borderId="66" xfId="0" applyFont="1" applyFill="1" applyBorder="1" applyAlignment="1">
      <alignment horizontal="center"/>
    </xf>
    <xf numFmtId="0" fontId="16" fillId="11" borderId="66" xfId="0" applyFont="1" applyFill="1" applyBorder="1" applyAlignment="1">
      <alignment horizontal="center" vertical="center" wrapText="1"/>
    </xf>
    <xf numFmtId="0" fontId="10" fillId="11" borderId="66" xfId="0" applyFont="1" applyFill="1" applyBorder="1"/>
    <xf numFmtId="0" fontId="0" fillId="11" borderId="58" xfId="0" applyFill="1" applyBorder="1"/>
    <xf numFmtId="0" fontId="12" fillId="11" borderId="42" xfId="0" applyFont="1" applyFill="1" applyBorder="1"/>
    <xf numFmtId="0" fontId="2" fillId="11" borderId="0" xfId="0" applyFont="1" applyFill="1" applyBorder="1"/>
    <xf numFmtId="0" fontId="12" fillId="11" borderId="42" xfId="0" applyFont="1" applyFill="1" applyBorder="1" applyAlignment="1">
      <alignment horizontal="center" vertical="center"/>
    </xf>
    <xf numFmtId="0" fontId="16" fillId="11" borderId="0" xfId="0" applyFont="1" applyFill="1" applyBorder="1" applyAlignment="1">
      <alignment vertical="top" wrapText="1"/>
    </xf>
    <xf numFmtId="0" fontId="10" fillId="11" borderId="0" xfId="0" applyFont="1" applyFill="1"/>
    <xf numFmtId="0" fontId="3" fillId="5" borderId="20" xfId="0" applyFont="1" applyFill="1" applyBorder="1" applyAlignment="1">
      <alignment horizontal="center" vertical="center" wrapText="1"/>
    </xf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3" fillId="14" borderId="67" xfId="0" applyFont="1" applyFill="1" applyBorder="1" applyAlignment="1">
      <alignment horizontal="center" vertical="center" wrapText="1"/>
    </xf>
    <xf numFmtId="2" fontId="0" fillId="11" borderId="0" xfId="0" applyNumberFormat="1" applyFont="1" applyFill="1" applyBorder="1"/>
    <xf numFmtId="0" fontId="28" fillId="11" borderId="0" xfId="0" applyFont="1" applyFill="1" applyBorder="1" applyAlignment="1"/>
    <xf numFmtId="165" fontId="12" fillId="11" borderId="0" xfId="0" applyNumberFormat="1" applyFont="1" applyFill="1" applyBorder="1" applyAlignment="1">
      <alignment horizontal="right" vertical="center" wrapText="1"/>
    </xf>
    <xf numFmtId="0" fontId="2" fillId="11" borderId="42" xfId="0" applyFont="1" applyFill="1" applyBorder="1"/>
    <xf numFmtId="0" fontId="12" fillId="11" borderId="66" xfId="0" applyFont="1" applyFill="1" applyBorder="1" applyAlignment="1">
      <alignment vertical="top" wrapText="1"/>
    </xf>
    <xf numFmtId="2" fontId="11" fillId="11" borderId="66" xfId="0" applyNumberFormat="1" applyFont="1" applyFill="1" applyBorder="1" applyAlignment="1">
      <alignment horizontal="right" vertical="top" wrapText="1"/>
    </xf>
    <xf numFmtId="0" fontId="15" fillId="11" borderId="66" xfId="0" applyFont="1" applyFill="1" applyBorder="1" applyAlignment="1">
      <alignment horizontal="left" vertical="top" wrapText="1" indent="2"/>
    </xf>
    <xf numFmtId="2" fontId="13" fillId="11" borderId="58" xfId="0" applyNumberFormat="1" applyFont="1" applyFill="1" applyBorder="1" applyAlignment="1">
      <alignment horizontal="center"/>
    </xf>
    <xf numFmtId="0" fontId="0" fillId="11" borderId="66" xfId="0" applyFont="1" applyFill="1" applyBorder="1"/>
    <xf numFmtId="0" fontId="0" fillId="11" borderId="66" xfId="0" applyFill="1" applyBorder="1" applyAlignment="1"/>
    <xf numFmtId="0" fontId="25" fillId="11" borderId="66" xfId="0" applyFont="1" applyFill="1" applyBorder="1"/>
    <xf numFmtId="2" fontId="26" fillId="11" borderId="66" xfId="0" applyNumberFormat="1" applyFont="1" applyFill="1" applyBorder="1" applyAlignment="1">
      <alignment horizontal="center" wrapText="1"/>
    </xf>
    <xf numFmtId="0" fontId="15" fillId="11" borderId="66" xfId="0" applyFont="1" applyFill="1" applyBorder="1"/>
    <xf numFmtId="2" fontId="2" fillId="11" borderId="66" xfId="0" applyNumberFormat="1" applyFont="1" applyFill="1" applyBorder="1" applyAlignment="1">
      <alignment horizontal="right" vertical="center"/>
    </xf>
    <xf numFmtId="2" fontId="21" fillId="11" borderId="66" xfId="0" applyNumberFormat="1" applyFont="1" applyFill="1" applyBorder="1" applyAlignment="1">
      <alignment horizontal="right" vertical="center"/>
    </xf>
    <xf numFmtId="0" fontId="11" fillId="11" borderId="66" xfId="0" applyFont="1" applyFill="1" applyBorder="1" applyAlignment="1">
      <alignment horizontal="right"/>
    </xf>
    <xf numFmtId="2" fontId="0" fillId="11" borderId="66" xfId="0" applyNumberFormat="1" applyFont="1" applyFill="1" applyBorder="1"/>
    <xf numFmtId="0" fontId="12" fillId="11" borderId="66" xfId="0" applyFont="1" applyFill="1" applyBorder="1" applyAlignment="1">
      <alignment horizontal="center" wrapText="1"/>
    </xf>
    <xf numFmtId="0" fontId="0" fillId="11" borderId="66" xfId="0" applyFill="1" applyBorder="1" applyAlignment="1">
      <alignment wrapText="1"/>
    </xf>
    <xf numFmtId="0" fontId="12" fillId="11" borderId="66" xfId="0" applyFont="1" applyFill="1" applyBorder="1"/>
    <xf numFmtId="0" fontId="16" fillId="11" borderId="66" xfId="0" applyFont="1" applyFill="1" applyBorder="1" applyAlignment="1">
      <alignment horizontal="center" wrapText="1"/>
    </xf>
    <xf numFmtId="11" fontId="9" fillId="0" borderId="2" xfId="1" applyNumberFormat="1" applyFont="1" applyBorder="1"/>
    <xf numFmtId="11" fontId="9" fillId="0" borderId="22" xfId="1" applyNumberFormat="1" applyFont="1" applyBorder="1"/>
    <xf numFmtId="0" fontId="0" fillId="11" borderId="66" xfId="0" applyFill="1" applyBorder="1" applyAlignment="1">
      <alignment horizontal="center" vertical="center"/>
    </xf>
    <xf numFmtId="2" fontId="12" fillId="11" borderId="58" xfId="0" applyNumberFormat="1" applyFont="1" applyFill="1" applyBorder="1" applyAlignment="1">
      <alignment horizontal="right" wrapText="1"/>
    </xf>
    <xf numFmtId="0" fontId="0" fillId="0" borderId="56" xfId="0" applyFill="1" applyBorder="1"/>
    <xf numFmtId="0" fontId="15" fillId="0" borderId="1" xfId="0" applyFont="1" applyFill="1" applyBorder="1"/>
    <xf numFmtId="0" fontId="15" fillId="0" borderId="26" xfId="0" applyFont="1" applyFill="1" applyBorder="1"/>
    <xf numFmtId="2" fontId="2" fillId="0" borderId="1" xfId="0" applyNumberFormat="1" applyFont="1" applyFill="1" applyBorder="1" applyAlignment="1">
      <alignment horizontal="right" vertical="center"/>
    </xf>
    <xf numFmtId="2" fontId="2" fillId="0" borderId="26" xfId="0" applyNumberFormat="1" applyFont="1" applyFill="1" applyBorder="1" applyAlignment="1">
      <alignment horizontal="right" vertical="center"/>
    </xf>
    <xf numFmtId="2" fontId="21" fillId="0" borderId="1" xfId="0" applyNumberFormat="1" applyFont="1" applyFill="1" applyBorder="1" applyAlignment="1">
      <alignment horizontal="right" vertical="center"/>
    </xf>
    <xf numFmtId="2" fontId="21" fillId="0" borderId="26" xfId="0" applyNumberFormat="1" applyFont="1" applyFill="1" applyBorder="1" applyAlignment="1">
      <alignment horizontal="right" vertical="center"/>
    </xf>
    <xf numFmtId="0" fontId="11" fillId="0" borderId="1" xfId="0" applyFont="1" applyFill="1" applyBorder="1" applyAlignment="1">
      <alignment horizontal="right"/>
    </xf>
    <xf numFmtId="0" fontId="11" fillId="0" borderId="26" xfId="0" applyFont="1" applyFill="1" applyBorder="1" applyAlignment="1">
      <alignment horizontal="right"/>
    </xf>
    <xf numFmtId="0" fontId="7" fillId="0" borderId="1" xfId="3" applyFont="1" applyFill="1" applyBorder="1" applyAlignment="1">
      <alignment horizontal="left" wrapText="1"/>
    </xf>
    <xf numFmtId="0" fontId="7" fillId="0" borderId="26" xfId="3" applyFont="1" applyFill="1" applyBorder="1" applyAlignment="1">
      <alignment horizontal="left" wrapText="1"/>
    </xf>
    <xf numFmtId="43" fontId="5" fillId="0" borderId="1" xfId="1" applyNumberFormat="1" applyFont="1" applyFill="1" applyBorder="1" applyAlignment="1">
      <alignment horizontal="center" vertical="center"/>
    </xf>
    <xf numFmtId="43" fontId="5" fillId="0" borderId="26" xfId="1" applyNumberFormat="1" applyFont="1" applyFill="1" applyBorder="1" applyAlignment="1">
      <alignment horizontal="center" vertical="center"/>
    </xf>
    <xf numFmtId="43" fontId="9" fillId="0" borderId="1" xfId="1" applyNumberFormat="1" applyFont="1" applyFill="1" applyBorder="1" applyAlignment="1">
      <alignment horizontal="center" vertical="center"/>
    </xf>
    <xf numFmtId="43" fontId="9" fillId="0" borderId="26" xfId="1" applyNumberFormat="1" applyFont="1" applyFill="1" applyBorder="1" applyAlignment="1">
      <alignment horizontal="center" vertical="center"/>
    </xf>
    <xf numFmtId="0" fontId="0" fillId="0" borderId="26" xfId="0" applyFont="1" applyFill="1" applyBorder="1"/>
    <xf numFmtId="2" fontId="0" fillId="0" borderId="26" xfId="0" applyNumberFormat="1" applyFont="1" applyFill="1" applyBorder="1"/>
    <xf numFmtId="2" fontId="11" fillId="0" borderId="30" xfId="0" applyNumberFormat="1" applyFont="1" applyFill="1" applyBorder="1" applyAlignment="1">
      <alignment horizontal="center" vertical="center"/>
    </xf>
    <xf numFmtId="2" fontId="11" fillId="0" borderId="1" xfId="0" applyNumberFormat="1" applyFont="1" applyFill="1" applyBorder="1" applyAlignment="1">
      <alignment horizontal="center" vertical="center"/>
    </xf>
    <xf numFmtId="2" fontId="11" fillId="0" borderId="26" xfId="0" applyNumberFormat="1" applyFont="1" applyFill="1" applyBorder="1" applyAlignment="1">
      <alignment horizontal="center" vertical="center"/>
    </xf>
    <xf numFmtId="2" fontId="11" fillId="0" borderId="34" xfId="0" applyNumberFormat="1" applyFont="1" applyFill="1" applyBorder="1" applyAlignment="1">
      <alignment horizontal="right" vertical="top" wrapText="1"/>
    </xf>
    <xf numFmtId="0" fontId="4" fillId="0" borderId="6" xfId="0" applyFont="1" applyFill="1" applyBorder="1" applyAlignment="1">
      <alignment horizontal="center" wrapText="1"/>
    </xf>
    <xf numFmtId="0" fontId="4" fillId="0" borderId="9" xfId="0" applyFont="1" applyFill="1" applyBorder="1" applyAlignment="1">
      <alignment horizontal="center" wrapText="1"/>
    </xf>
    <xf numFmtId="0" fontId="4" fillId="0" borderId="4" xfId="0" applyFont="1" applyFill="1" applyBorder="1" applyAlignment="1">
      <alignment horizontal="center" wrapText="1"/>
    </xf>
    <xf numFmtId="0" fontId="0" fillId="0" borderId="9" xfId="0" applyFill="1" applyBorder="1"/>
    <xf numFmtId="2" fontId="11" fillId="0" borderId="1" xfId="0" applyNumberFormat="1" applyFont="1" applyFill="1" applyBorder="1" applyAlignment="1">
      <alignment horizontal="center"/>
    </xf>
    <xf numFmtId="2" fontId="11" fillId="0" borderId="26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wrapText="1"/>
    </xf>
    <xf numFmtId="2" fontId="0" fillId="0" borderId="6" xfId="0" applyNumberFormat="1" applyFont="1" applyFill="1" applyBorder="1"/>
    <xf numFmtId="165" fontId="11" fillId="0" borderId="1" xfId="0" applyNumberFormat="1" applyFont="1" applyFill="1" applyBorder="1" applyAlignment="1">
      <alignment horizontal="center" vertical="center"/>
    </xf>
    <xf numFmtId="0" fontId="0" fillId="0" borderId="56" xfId="0" applyFont="1" applyFill="1" applyBorder="1"/>
    <xf numFmtId="0" fontId="0" fillId="0" borderId="7" xfId="0" applyFont="1" applyFill="1" applyBorder="1"/>
    <xf numFmtId="0" fontId="0" fillId="0" borderId="34" xfId="0" applyFont="1" applyFill="1" applyBorder="1"/>
    <xf numFmtId="2" fontId="26" fillId="0" borderId="1" xfId="0" applyNumberFormat="1" applyFont="1" applyFill="1" applyBorder="1" applyAlignment="1">
      <alignment horizontal="center" wrapText="1"/>
    </xf>
    <xf numFmtId="2" fontId="26" fillId="0" borderId="4" xfId="0" applyNumberFormat="1" applyFont="1" applyFill="1" applyBorder="1" applyAlignment="1">
      <alignment horizontal="center" wrapText="1"/>
    </xf>
    <xf numFmtId="0" fontId="12" fillId="0" borderId="1" xfId="0" applyFont="1" applyFill="1" applyBorder="1" applyAlignment="1">
      <alignment horizontal="center" vertical="center"/>
    </xf>
    <xf numFmtId="0" fontId="12" fillId="0" borderId="26" xfId="0" applyFont="1" applyFill="1" applyBorder="1" applyAlignment="1">
      <alignment horizontal="center" vertical="center"/>
    </xf>
    <xf numFmtId="0" fontId="12" fillId="0" borderId="7" xfId="0" applyFont="1" applyFill="1" applyBorder="1" applyAlignment="1">
      <alignment horizontal="center" vertical="center"/>
    </xf>
    <xf numFmtId="0" fontId="12" fillId="0" borderId="34" xfId="0" applyFont="1" applyFill="1" applyBorder="1" applyAlignment="1">
      <alignment horizontal="center" vertical="center"/>
    </xf>
    <xf numFmtId="166" fontId="0" fillId="0" borderId="40" xfId="0" applyNumberFormat="1" applyFill="1" applyBorder="1"/>
    <xf numFmtId="166" fontId="0" fillId="0" borderId="2" xfId="0" applyNumberFormat="1" applyFill="1" applyBorder="1"/>
    <xf numFmtId="166" fontId="12" fillId="0" borderId="2" xfId="0" applyNumberFormat="1" applyFont="1" applyFill="1" applyBorder="1" applyAlignment="1">
      <alignment horizontal="center" vertical="center"/>
    </xf>
    <xf numFmtId="166" fontId="12" fillId="0" borderId="30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2" fillId="0" borderId="26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/>
    </xf>
    <xf numFmtId="0" fontId="12" fillId="0" borderId="36" xfId="0" applyFont="1" applyFill="1" applyBorder="1" applyAlignment="1">
      <alignment horizontal="center" vertical="center"/>
    </xf>
    <xf numFmtId="167" fontId="12" fillId="0" borderId="1" xfId="0" applyNumberFormat="1" applyFont="1" applyFill="1" applyBorder="1" applyAlignment="1">
      <alignment horizontal="center" vertical="center"/>
    </xf>
    <xf numFmtId="167" fontId="12" fillId="0" borderId="26" xfId="0" applyNumberFormat="1" applyFont="1" applyFill="1" applyBorder="1" applyAlignment="1">
      <alignment horizontal="center" vertical="center"/>
    </xf>
    <xf numFmtId="2" fontId="26" fillId="0" borderId="1" xfId="0" applyNumberFormat="1" applyFont="1" applyFill="1" applyBorder="1" applyAlignment="1">
      <alignment horizontal="center" vertical="center"/>
    </xf>
    <xf numFmtId="2" fontId="26" fillId="0" borderId="26" xfId="0" applyNumberFormat="1" applyFont="1" applyFill="1" applyBorder="1" applyAlignment="1">
      <alignment horizontal="center" wrapText="1"/>
    </xf>
    <xf numFmtId="0" fontId="2" fillId="0" borderId="6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wrapText="1"/>
    </xf>
    <xf numFmtId="0" fontId="12" fillId="0" borderId="6" xfId="0" applyFont="1" applyFill="1" applyBorder="1"/>
    <xf numFmtId="0" fontId="12" fillId="0" borderId="1" xfId="0" applyFont="1" applyFill="1" applyBorder="1"/>
    <xf numFmtId="0" fontId="12" fillId="0" borderId="56" xfId="0" applyFont="1" applyFill="1" applyBorder="1"/>
    <xf numFmtId="0" fontId="12" fillId="0" borderId="7" xfId="0" applyFont="1" applyFill="1" applyBorder="1"/>
    <xf numFmtId="2" fontId="2" fillId="0" borderId="1" xfId="0" applyNumberFormat="1" applyFont="1" applyFill="1" applyBorder="1" applyAlignment="1">
      <alignment horizontal="center" wrapText="1"/>
    </xf>
    <xf numFmtId="2" fontId="2" fillId="0" borderId="4" xfId="0" applyNumberFormat="1" applyFont="1" applyFill="1" applyBorder="1" applyAlignment="1">
      <alignment horizontal="center" wrapText="1"/>
    </xf>
    <xf numFmtId="2" fontId="12" fillId="0" borderId="6" xfId="0" applyNumberFormat="1" applyFont="1" applyFill="1" applyBorder="1" applyAlignment="1">
      <alignment horizontal="right" wrapText="1"/>
    </xf>
    <xf numFmtId="2" fontId="12" fillId="0" borderId="6" xfId="0" applyNumberFormat="1" applyFont="1" applyFill="1" applyBorder="1" applyAlignment="1">
      <alignment horizontal="right" vertical="center" wrapText="1"/>
    </xf>
    <xf numFmtId="11" fontId="0" fillId="0" borderId="2" xfId="0" applyNumberFormat="1" applyBorder="1"/>
    <xf numFmtId="11" fontId="0" fillId="0" borderId="41" xfId="0" applyNumberFormat="1" applyBorder="1"/>
    <xf numFmtId="0" fontId="12" fillId="0" borderId="1" xfId="0" applyFont="1" applyFill="1" applyBorder="1" applyAlignment="1">
      <alignment horizontal="right" wrapText="1"/>
    </xf>
    <xf numFmtId="0" fontId="0" fillId="0" borderId="1" xfId="0" applyFill="1" applyBorder="1" applyAlignment="1">
      <alignment horizontal="center" wrapText="1"/>
    </xf>
    <xf numFmtId="0" fontId="0" fillId="0" borderId="30" xfId="0" applyFill="1" applyBorder="1" applyAlignment="1">
      <alignment horizontal="center" wrapText="1"/>
    </xf>
    <xf numFmtId="0" fontId="0" fillId="0" borderId="27" xfId="0" applyFill="1" applyBorder="1" applyAlignment="1">
      <alignment horizontal="center" wrapText="1"/>
    </xf>
    <xf numFmtId="3" fontId="0" fillId="0" borderId="4" xfId="0" applyNumberFormat="1" applyFont="1" applyFill="1" applyBorder="1" applyAlignment="1">
      <alignment horizontal="center" vertical="center" wrapText="1"/>
    </xf>
    <xf numFmtId="2" fontId="11" fillId="0" borderId="36" xfId="0" applyNumberFormat="1" applyFont="1" applyFill="1" applyBorder="1" applyAlignment="1">
      <alignment horizontal="center" vertical="center" wrapText="1"/>
    </xf>
    <xf numFmtId="3" fontId="0" fillId="0" borderId="1" xfId="0" applyNumberFormat="1" applyFont="1" applyFill="1" applyBorder="1" applyAlignment="1">
      <alignment horizontal="center" vertical="center" wrapText="1"/>
    </xf>
    <xf numFmtId="2" fontId="11" fillId="0" borderId="26" xfId="0" applyNumberFormat="1" applyFont="1" applyFill="1" applyBorder="1" applyAlignment="1">
      <alignment horizontal="center" vertical="center" wrapText="1"/>
    </xf>
    <xf numFmtId="43" fontId="9" fillId="0" borderId="1" xfId="1" applyFont="1" applyFill="1" applyBorder="1" applyAlignment="1">
      <alignment horizontal="center" vertical="center" wrapText="1"/>
    </xf>
    <xf numFmtId="2" fontId="11" fillId="0" borderId="1" xfId="0" applyNumberFormat="1" applyFont="1" applyFill="1" applyBorder="1" applyAlignment="1">
      <alignment horizontal="center" vertical="center" wrapText="1"/>
    </xf>
    <xf numFmtId="0" fontId="27" fillId="0" borderId="1" xfId="0" applyFont="1" applyFill="1" applyBorder="1" applyAlignment="1">
      <alignment wrapText="1"/>
    </xf>
    <xf numFmtId="0" fontId="27" fillId="0" borderId="1" xfId="0" applyFont="1" applyFill="1" applyBorder="1"/>
    <xf numFmtId="0" fontId="27" fillId="0" borderId="1" xfId="0" applyFont="1" applyFill="1" applyBorder="1" applyAlignment="1">
      <alignment horizontal="right"/>
    </xf>
    <xf numFmtId="3" fontId="27" fillId="0" borderId="1" xfId="0" applyNumberFormat="1" applyFont="1" applyFill="1" applyBorder="1"/>
    <xf numFmtId="43" fontId="27" fillId="0" borderId="1" xfId="1" applyFont="1" applyFill="1" applyBorder="1"/>
    <xf numFmtId="2" fontId="12" fillId="0" borderId="1" xfId="0" applyNumberFormat="1" applyFont="1" applyFill="1" applyBorder="1" applyAlignment="1">
      <alignment horizontal="center" vertical="center" wrapText="1"/>
    </xf>
    <xf numFmtId="0" fontId="12" fillId="0" borderId="26" xfId="0" applyFont="1" applyFill="1" applyBorder="1" applyAlignment="1">
      <alignment horizontal="right" wrapText="1"/>
    </xf>
    <xf numFmtId="0" fontId="0" fillId="0" borderId="45" xfId="0" applyFill="1" applyBorder="1"/>
    <xf numFmtId="2" fontId="9" fillId="0" borderId="2" xfId="1" applyNumberFormat="1" applyFont="1" applyBorder="1"/>
    <xf numFmtId="0" fontId="12" fillId="0" borderId="30" xfId="0" applyFont="1" applyFill="1" applyBorder="1" applyAlignment="1">
      <alignment horizontal="right" wrapText="1"/>
    </xf>
    <xf numFmtId="2" fontId="9" fillId="0" borderId="22" xfId="1" applyNumberFormat="1" applyFont="1" applyBorder="1"/>
    <xf numFmtId="2" fontId="0" fillId="0" borderId="2" xfId="0" applyNumberFormat="1" applyBorder="1"/>
    <xf numFmtId="2" fontId="0" fillId="0" borderId="41" xfId="0" applyNumberFormat="1" applyBorder="1"/>
    <xf numFmtId="2" fontId="21" fillId="0" borderId="40" xfId="0" applyNumberFormat="1" applyFont="1" applyFill="1" applyBorder="1" applyAlignment="1">
      <alignment horizontal="right" wrapText="1"/>
    </xf>
    <xf numFmtId="0" fontId="0" fillId="0" borderId="24" xfId="0" applyFont="1" applyFill="1" applyBorder="1" applyAlignment="1">
      <alignment horizontal="right" vertical="center"/>
    </xf>
    <xf numFmtId="2" fontId="11" fillId="0" borderId="24" xfId="0" applyNumberFormat="1" applyFont="1" applyFill="1" applyBorder="1" applyAlignment="1">
      <alignment horizontal="center" vertical="center" wrapText="1"/>
    </xf>
    <xf numFmtId="2" fontId="0" fillId="0" borderId="22" xfId="0" applyNumberFormat="1" applyBorder="1"/>
    <xf numFmtId="0" fontId="12" fillId="12" borderId="37" xfId="0" applyFont="1" applyFill="1" applyBorder="1" applyAlignment="1">
      <alignment horizontal="right" wrapText="1"/>
    </xf>
    <xf numFmtId="0" fontId="0" fillId="12" borderId="34" xfId="0" applyFont="1" applyFill="1" applyBorder="1" applyAlignment="1">
      <alignment horizontal="right" vertical="center"/>
    </xf>
    <xf numFmtId="0" fontId="12" fillId="0" borderId="10" xfId="0" applyFont="1" applyFill="1" applyBorder="1" applyAlignment="1">
      <alignment horizontal="right" wrapText="1"/>
    </xf>
    <xf numFmtId="11" fontId="0" fillId="0" borderId="2" xfId="0" applyNumberFormat="1" applyFill="1" applyBorder="1"/>
    <xf numFmtId="11" fontId="12" fillId="0" borderId="41" xfId="1" applyNumberFormat="1" applyFont="1" applyBorder="1"/>
    <xf numFmtId="10" fontId="12" fillId="0" borderId="67" xfId="0" applyNumberFormat="1" applyFont="1" applyFill="1" applyBorder="1" applyAlignment="1">
      <alignment horizontal="center" vertical="center" wrapText="1"/>
    </xf>
    <xf numFmtId="10" fontId="12" fillId="0" borderId="46" xfId="0" applyNumberFormat="1" applyFont="1" applyFill="1" applyBorder="1" applyAlignment="1">
      <alignment horizontal="center" vertical="center" wrapText="1"/>
    </xf>
    <xf numFmtId="10" fontId="12" fillId="0" borderId="18" xfId="0" applyNumberFormat="1" applyFont="1" applyFill="1" applyBorder="1" applyAlignment="1">
      <alignment horizontal="center" vertical="center" wrapText="1"/>
    </xf>
    <xf numFmtId="10" fontId="11" fillId="0" borderId="45" xfId="0" applyNumberFormat="1" applyFont="1" applyFill="1" applyBorder="1" applyAlignment="1">
      <alignment horizontal="right" wrapText="1"/>
    </xf>
    <xf numFmtId="0" fontId="0" fillId="10" borderId="24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9" borderId="38" xfId="0" applyFont="1" applyFill="1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11" borderId="25" xfId="0" applyFill="1" applyBorder="1"/>
    <xf numFmtId="0" fontId="27" fillId="0" borderId="30" xfId="0" applyFont="1" applyFill="1" applyBorder="1"/>
    <xf numFmtId="0" fontId="27" fillId="0" borderId="30" xfId="0" applyFont="1" applyFill="1" applyBorder="1" applyAlignment="1">
      <alignment horizontal="right"/>
    </xf>
    <xf numFmtId="3" fontId="27" fillId="0" borderId="30" xfId="0" applyNumberFormat="1" applyFont="1" applyFill="1" applyBorder="1"/>
    <xf numFmtId="43" fontId="27" fillId="0" borderId="30" xfId="1" applyFont="1" applyFill="1" applyBorder="1"/>
    <xf numFmtId="2" fontId="12" fillId="0" borderId="30" xfId="0" applyNumberFormat="1" applyFont="1" applyFill="1" applyBorder="1" applyAlignment="1">
      <alignment horizontal="center" vertical="center" wrapText="1"/>
    </xf>
    <xf numFmtId="0" fontId="0" fillId="11" borderId="25" xfId="0" applyFill="1" applyBorder="1" applyAlignment="1">
      <alignment horizontal="center" vertical="center"/>
    </xf>
    <xf numFmtId="0" fontId="45" fillId="3" borderId="0" xfId="0" applyFont="1" applyFill="1" applyAlignment="1">
      <alignment vertical="center"/>
    </xf>
    <xf numFmtId="0" fontId="43" fillId="3" borderId="0" xfId="0" applyFont="1" applyFill="1" applyAlignment="1">
      <alignment vertical="center"/>
    </xf>
    <xf numFmtId="2" fontId="12" fillId="0" borderId="30" xfId="0" applyNumberFormat="1" applyFont="1" applyFill="1" applyBorder="1" applyAlignment="1">
      <alignment horizontal="right"/>
    </xf>
    <xf numFmtId="11" fontId="12" fillId="0" borderId="29" xfId="0" applyNumberFormat="1" applyFont="1" applyFill="1" applyBorder="1" applyAlignment="1">
      <alignment horizontal="right" wrapText="1"/>
    </xf>
    <xf numFmtId="11" fontId="0" fillId="0" borderId="30" xfId="0" applyNumberFormat="1" applyFill="1" applyBorder="1" applyAlignment="1">
      <alignment horizontal="right"/>
    </xf>
    <xf numFmtId="11" fontId="0" fillId="0" borderId="30" xfId="0" applyNumberFormat="1" applyFill="1" applyBorder="1" applyAlignment="1">
      <alignment horizontal="right" wrapText="1"/>
    </xf>
    <xf numFmtId="11" fontId="0" fillId="0" borderId="31" xfId="0" applyNumberFormat="1" applyFill="1" applyBorder="1" applyAlignment="1">
      <alignment horizontal="right" wrapText="1"/>
    </xf>
    <xf numFmtId="11" fontId="0" fillId="0" borderId="35" xfId="0" applyNumberFormat="1" applyFont="1" applyFill="1" applyBorder="1" applyAlignment="1">
      <alignment horizontal="right"/>
    </xf>
    <xf numFmtId="11" fontId="0" fillId="0" borderId="30" xfId="0" applyNumberFormat="1" applyFont="1" applyFill="1" applyBorder="1" applyAlignment="1">
      <alignment horizontal="right"/>
    </xf>
    <xf numFmtId="11" fontId="9" fillId="0" borderId="30" xfId="1" applyNumberFormat="1" applyFont="1" applyFill="1" applyBorder="1" applyAlignment="1">
      <alignment horizontal="right"/>
    </xf>
    <xf numFmtId="11" fontId="12" fillId="0" borderId="30" xfId="0" applyNumberFormat="1" applyFont="1" applyFill="1" applyBorder="1" applyAlignment="1">
      <alignment horizontal="right"/>
    </xf>
    <xf numFmtId="11" fontId="0" fillId="0" borderId="31" xfId="0" applyNumberFormat="1" applyFill="1" applyBorder="1" applyAlignment="1">
      <alignment horizontal="right"/>
    </xf>
    <xf numFmtId="2" fontId="0" fillId="0" borderId="30" xfId="0" applyNumberFormat="1" applyFill="1" applyBorder="1" applyAlignment="1">
      <alignment horizontal="right"/>
    </xf>
    <xf numFmtId="2" fontId="0" fillId="0" borderId="31" xfId="0" applyNumberFormat="1" applyFill="1" applyBorder="1" applyAlignment="1">
      <alignment horizontal="right"/>
    </xf>
    <xf numFmtId="2" fontId="12" fillId="0" borderId="31" xfId="0" applyNumberFormat="1" applyFont="1" applyFill="1" applyBorder="1" applyAlignment="1">
      <alignment horizontal="right"/>
    </xf>
    <xf numFmtId="2" fontId="12" fillId="0" borderId="35" xfId="0" applyNumberFormat="1" applyFont="1" applyFill="1" applyBorder="1" applyAlignment="1">
      <alignment horizontal="right"/>
    </xf>
    <xf numFmtId="2" fontId="12" fillId="0" borderId="30" xfId="1" applyNumberFormat="1" applyFont="1" applyFill="1" applyBorder="1" applyAlignment="1">
      <alignment horizontal="right"/>
    </xf>
    <xf numFmtId="2" fontId="12" fillId="0" borderId="29" xfId="0" applyNumberFormat="1" applyFont="1" applyFill="1" applyBorder="1" applyAlignment="1">
      <alignment horizontal="right"/>
    </xf>
    <xf numFmtId="2" fontId="0" fillId="0" borderId="37" xfId="0" applyNumberFormat="1" applyFill="1" applyBorder="1" applyAlignment="1"/>
    <xf numFmtId="2" fontId="0" fillId="0" borderId="29" xfId="0" applyNumberFormat="1" applyFont="1" applyFill="1" applyBorder="1" applyAlignment="1">
      <alignment horizontal="right"/>
    </xf>
    <xf numFmtId="2" fontId="0" fillId="0" borderId="30" xfId="0" applyNumberFormat="1" applyFont="1" applyFill="1" applyBorder="1" applyAlignment="1">
      <alignment horizontal="right"/>
    </xf>
    <xf numFmtId="2" fontId="9" fillId="0" borderId="30" xfId="1" applyNumberFormat="1" applyFont="1" applyFill="1" applyBorder="1" applyAlignment="1">
      <alignment horizontal="right"/>
    </xf>
    <xf numFmtId="0" fontId="0" fillId="0" borderId="35" xfId="0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0" fontId="0" fillId="0" borderId="3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166" fontId="12" fillId="0" borderId="29" xfId="0" applyNumberFormat="1" applyFont="1" applyFill="1" applyBorder="1" applyAlignment="1">
      <alignment horizontal="center" vertical="center"/>
    </xf>
    <xf numFmtId="166" fontId="12" fillId="0" borderId="27" xfId="0" applyNumberFormat="1" applyFont="1" applyFill="1" applyBorder="1" applyAlignment="1">
      <alignment horizontal="center" vertical="center"/>
    </xf>
    <xf numFmtId="2" fontId="26" fillId="0" borderId="28" xfId="0" applyNumberFormat="1" applyFont="1" applyFill="1" applyBorder="1" applyAlignment="1">
      <alignment horizontal="center" wrapText="1"/>
    </xf>
    <xf numFmtId="165" fontId="0" fillId="0" borderId="30" xfId="0" applyNumberFormat="1" applyFill="1" applyBorder="1"/>
    <xf numFmtId="165" fontId="31" fillId="0" borderId="35" xfId="0" applyNumberFormat="1" applyFont="1" applyFill="1" applyBorder="1"/>
    <xf numFmtId="1" fontId="0" fillId="0" borderId="30" xfId="0" applyNumberFormat="1" applyFill="1" applyBorder="1"/>
    <xf numFmtId="43" fontId="0" fillId="0" borderId="1" xfId="1" applyFont="1" applyFill="1" applyBorder="1" applyAlignment="1">
      <alignment horizontal="center" vertical="center" wrapText="1"/>
    </xf>
    <xf numFmtId="43" fontId="0" fillId="0" borderId="1" xfId="1" applyFont="1" applyFill="1" applyBorder="1"/>
    <xf numFmtId="43" fontId="0" fillId="0" borderId="4" xfId="1" applyFont="1" applyFill="1" applyBorder="1" applyAlignment="1">
      <alignment horizontal="center" vertical="center" wrapText="1"/>
    </xf>
    <xf numFmtId="43" fontId="11" fillId="0" borderId="1" xfId="1" applyFont="1" applyFill="1" applyBorder="1" applyAlignment="1">
      <alignment horizontal="center" vertical="center" wrapText="1"/>
    </xf>
    <xf numFmtId="43" fontId="0" fillId="0" borderId="27" xfId="1" applyFont="1" applyFill="1" applyBorder="1"/>
    <xf numFmtId="43" fontId="0" fillId="0" borderId="3" xfId="1" applyFont="1" applyFill="1" applyBorder="1" applyAlignment="1">
      <alignment horizontal="center" vertical="center" wrapText="1"/>
    </xf>
    <xf numFmtId="43" fontId="0" fillId="0" borderId="1" xfId="1" applyFont="1" applyFill="1" applyBorder="1" applyAlignment="1">
      <alignment horizontal="center" wrapText="1"/>
    </xf>
    <xf numFmtId="43" fontId="12" fillId="0" borderId="3" xfId="1" applyFont="1" applyFill="1" applyBorder="1" applyAlignment="1">
      <alignment horizontal="right" wrapText="1"/>
    </xf>
    <xf numFmtId="43" fontId="12" fillId="0" borderId="1" xfId="1" applyFont="1" applyFill="1" applyBorder="1" applyAlignment="1">
      <alignment horizontal="right" wrapText="1"/>
    </xf>
    <xf numFmtId="43" fontId="0" fillId="0" borderId="7" xfId="1" applyFont="1" applyFill="1" applyBorder="1"/>
    <xf numFmtId="170" fontId="0" fillId="0" borderId="1" xfId="1" applyNumberFormat="1" applyFont="1" applyFill="1" applyBorder="1"/>
    <xf numFmtId="170" fontId="0" fillId="0" borderId="7" xfId="1" applyNumberFormat="1" applyFont="1" applyFill="1" applyBorder="1"/>
    <xf numFmtId="43" fontId="0" fillId="0" borderId="1" xfId="1" applyNumberFormat="1" applyFont="1" applyFill="1" applyBorder="1"/>
    <xf numFmtId="43" fontId="0" fillId="0" borderId="7" xfId="1" applyNumberFormat="1" applyFont="1" applyFill="1" applyBorder="1"/>
    <xf numFmtId="0" fontId="0" fillId="0" borderId="0" xfId="0"/>
    <xf numFmtId="2" fontId="13" fillId="11" borderId="0" xfId="0" applyNumberFormat="1" applyFont="1" applyFill="1" applyBorder="1" applyAlignment="1">
      <alignment horizontal="right" vertical="center" wrapText="1"/>
    </xf>
    <xf numFmtId="0" fontId="10" fillId="17" borderId="12" xfId="0" applyFont="1" applyFill="1" applyBorder="1" applyAlignment="1"/>
    <xf numFmtId="0" fontId="10" fillId="17" borderId="16" xfId="0" applyFont="1" applyFill="1" applyBorder="1" applyAlignment="1"/>
    <xf numFmtId="0" fontId="10" fillId="17" borderId="17" xfId="0" applyFont="1" applyFill="1" applyBorder="1" applyAlignment="1"/>
    <xf numFmtId="0" fontId="16" fillId="17" borderId="12" xfId="0" applyFont="1" applyFill="1" applyBorder="1" applyAlignment="1"/>
    <xf numFmtId="0" fontId="16" fillId="17" borderId="16" xfId="0" applyFont="1" applyFill="1" applyBorder="1" applyAlignment="1"/>
    <xf numFmtId="0" fontId="16" fillId="17" borderId="17" xfId="0" applyFont="1" applyFill="1" applyBorder="1" applyAlignment="1"/>
    <xf numFmtId="2" fontId="0" fillId="0" borderId="27" xfId="0" applyNumberFormat="1" applyFill="1" applyBorder="1"/>
    <xf numFmtId="166" fontId="12" fillId="0" borderId="1" xfId="0" applyNumberFormat="1" applyFont="1" applyFill="1" applyBorder="1" applyAlignment="1">
      <alignment horizontal="center" wrapText="1"/>
    </xf>
    <xf numFmtId="0" fontId="0" fillId="3" borderId="0" xfId="0" applyFill="1" applyAlignment="1"/>
    <xf numFmtId="0" fontId="0" fillId="3" borderId="66" xfId="0" applyFill="1" applyBorder="1" applyAlignment="1"/>
    <xf numFmtId="0" fontId="0" fillId="3" borderId="0" xfId="0" applyFont="1" applyFill="1" applyAlignment="1"/>
    <xf numFmtId="0" fontId="10" fillId="11" borderId="0" xfId="0" applyFont="1" applyFill="1" applyBorder="1" applyAlignment="1">
      <alignment horizontal="center" vertical="top"/>
    </xf>
    <xf numFmtId="0" fontId="0" fillId="11" borderId="0" xfId="0" applyFill="1" applyAlignment="1"/>
    <xf numFmtId="169" fontId="0" fillId="3" borderId="29" xfId="1" applyNumberFormat="1" applyFont="1" applyFill="1" applyBorder="1" applyAlignment="1">
      <alignment horizontal="right"/>
    </xf>
    <xf numFmtId="169" fontId="0" fillId="3" borderId="3" xfId="1" applyNumberFormat="1" applyFont="1" applyFill="1" applyBorder="1" applyAlignment="1">
      <alignment horizontal="right"/>
    </xf>
    <xf numFmtId="169" fontId="0" fillId="3" borderId="2" xfId="1" applyNumberFormat="1" applyFont="1" applyFill="1" applyBorder="1" applyAlignment="1">
      <alignment horizontal="right" vertical="center"/>
    </xf>
    <xf numFmtId="169" fontId="0" fillId="3" borderId="30" xfId="1" applyNumberFormat="1" applyFont="1" applyFill="1" applyBorder="1" applyAlignment="1">
      <alignment horizontal="right"/>
    </xf>
    <xf numFmtId="169" fontId="0" fillId="3" borderId="1" xfId="1" applyNumberFormat="1" applyFont="1" applyFill="1" applyBorder="1" applyAlignment="1">
      <alignment horizontal="right"/>
    </xf>
    <xf numFmtId="169" fontId="0" fillId="0" borderId="2" xfId="1" applyNumberFormat="1" applyFont="1" applyBorder="1" applyAlignment="1">
      <alignment horizontal="right" vertical="center"/>
    </xf>
    <xf numFmtId="169" fontId="0" fillId="3" borderId="31" xfId="1" applyNumberFormat="1" applyFont="1" applyFill="1" applyBorder="1" applyAlignment="1">
      <alignment horizontal="right"/>
    </xf>
    <xf numFmtId="169" fontId="0" fillId="3" borderId="27" xfId="1" applyNumberFormat="1" applyFont="1" applyFill="1" applyBorder="1" applyAlignment="1">
      <alignment horizontal="right"/>
    </xf>
    <xf numFmtId="0" fontId="3" fillId="5" borderId="20" xfId="0" applyFont="1" applyFill="1" applyBorder="1" applyAlignment="1">
      <alignment horizontal="center" vertical="center" wrapText="1"/>
    </xf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3" fillId="14" borderId="67" xfId="0" applyFont="1" applyFill="1" applyBorder="1" applyAlignment="1">
      <alignment horizontal="center" vertical="center" wrapText="1"/>
    </xf>
    <xf numFmtId="0" fontId="12" fillId="0" borderId="42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/>
    </xf>
    <xf numFmtId="0" fontId="12" fillId="0" borderId="42" xfId="0" applyFont="1" applyFill="1" applyBorder="1" applyAlignment="1">
      <alignment horizontal="center" vertical="center"/>
    </xf>
    <xf numFmtId="0" fontId="12" fillId="0" borderId="11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 wrapText="1"/>
    </xf>
    <xf numFmtId="0" fontId="2" fillId="0" borderId="4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42" xfId="0" applyFont="1" applyBorder="1" applyAlignment="1">
      <alignment horizontal="center" vertical="center"/>
    </xf>
    <xf numFmtId="2" fontId="12" fillId="0" borderId="69" xfId="0" applyNumberFormat="1" applyFont="1" applyBorder="1" applyAlignment="1">
      <alignment horizontal="right" vertical="top" wrapText="1"/>
    </xf>
    <xf numFmtId="2" fontId="12" fillId="0" borderId="69" xfId="0" applyNumberFormat="1" applyFont="1" applyFill="1" applyBorder="1" applyAlignment="1">
      <alignment horizontal="right" wrapText="1"/>
    </xf>
    <xf numFmtId="2" fontId="12" fillId="0" borderId="68" xfId="0" applyNumberFormat="1" applyFont="1" applyFill="1" applyBorder="1" applyAlignment="1">
      <alignment vertical="center" wrapText="1"/>
    </xf>
    <xf numFmtId="0" fontId="16" fillId="9" borderId="74" xfId="0" applyFont="1" applyFill="1" applyBorder="1" applyAlignment="1">
      <alignment horizontal="center" vertical="center"/>
    </xf>
    <xf numFmtId="0" fontId="16" fillId="9" borderId="75" xfId="0" applyFont="1" applyFill="1" applyBorder="1" applyAlignment="1">
      <alignment horizontal="center" vertical="center"/>
    </xf>
    <xf numFmtId="0" fontId="12" fillId="0" borderId="5" xfId="0" applyFont="1" applyFill="1" applyBorder="1" applyAlignment="1">
      <alignment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0" fillId="0" borderId="0" xfId="0"/>
    <xf numFmtId="0" fontId="16" fillId="0" borderId="5" xfId="0" applyFont="1" applyFill="1" applyBorder="1" applyAlignment="1">
      <alignment horizontal="center" vertical="center" wrapText="1"/>
    </xf>
    <xf numFmtId="0" fontId="0" fillId="3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2" fillId="0" borderId="5" xfId="0" applyFont="1" applyFill="1" applyBorder="1" applyAlignment="1">
      <alignment vertical="center"/>
    </xf>
    <xf numFmtId="0" fontId="38" fillId="10" borderId="0" xfId="0" applyFont="1" applyFill="1" applyBorder="1" applyAlignment="1">
      <alignment vertical="center" wrapText="1"/>
    </xf>
    <xf numFmtId="0" fontId="3" fillId="11" borderId="0" xfId="0" applyFont="1" applyFill="1" applyBorder="1" applyAlignment="1">
      <alignment horizontal="center" vertical="center"/>
    </xf>
    <xf numFmtId="0" fontId="10" fillId="3" borderId="0" xfId="0" applyFont="1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 vertical="center"/>
    </xf>
    <xf numFmtId="0" fontId="0" fillId="11" borderId="42" xfId="0" applyFont="1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1" borderId="58" xfId="0" applyFill="1" applyBorder="1" applyAlignment="1">
      <alignment horizontal="center" vertical="center"/>
    </xf>
    <xf numFmtId="0" fontId="12" fillId="0" borderId="5" xfId="0" applyFont="1" applyBorder="1" applyAlignment="1">
      <alignment vertical="center" wrapText="1"/>
    </xf>
    <xf numFmtId="0" fontId="12" fillId="0" borderId="5" xfId="0" applyFont="1" applyBorder="1" applyAlignment="1">
      <alignment vertical="center"/>
    </xf>
    <xf numFmtId="1" fontId="16" fillId="11" borderId="0" xfId="0" applyNumberFormat="1" applyFont="1" applyFill="1" applyBorder="1" applyAlignment="1">
      <alignment horizontal="right" vertical="center" wrapText="1"/>
    </xf>
    <xf numFmtId="10" fontId="16" fillId="11" borderId="0" xfId="4" applyNumberFormat="1" applyFont="1" applyFill="1" applyBorder="1" applyAlignment="1">
      <alignment horizontal="right" vertical="center" wrapText="1"/>
    </xf>
    <xf numFmtId="169" fontId="16" fillId="11" borderId="0" xfId="1" applyNumberFormat="1" applyFont="1" applyFill="1" applyBorder="1" applyAlignment="1">
      <alignment horizontal="right" vertical="center" wrapText="1"/>
    </xf>
    <xf numFmtId="0" fontId="2" fillId="17" borderId="5" xfId="0" applyFont="1" applyFill="1" applyBorder="1" applyAlignment="1">
      <alignment vertical="center" wrapText="1"/>
    </xf>
    <xf numFmtId="0" fontId="2" fillId="0" borderId="5" xfId="0" applyFont="1" applyFill="1" applyBorder="1" applyAlignment="1">
      <alignment vertical="center" wrapText="1"/>
    </xf>
    <xf numFmtId="0" fontId="0" fillId="3" borderId="0" xfId="0" applyFill="1" applyAlignment="1">
      <alignment horizontal="center" vertical="center"/>
    </xf>
    <xf numFmtId="0" fontId="12" fillId="17" borderId="42" xfId="0" applyFont="1" applyFill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42" xfId="0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2" fillId="3" borderId="42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2" fillId="0" borderId="5" xfId="0" applyFont="1" applyBorder="1" applyAlignment="1">
      <alignment vertical="center"/>
    </xf>
    <xf numFmtId="0" fontId="28" fillId="11" borderId="0" xfId="0" applyFont="1" applyFill="1" applyBorder="1" applyAlignment="1">
      <alignment horizontal="center" vertical="center"/>
    </xf>
    <xf numFmtId="0" fontId="0" fillId="0" borderId="0" xfId="0"/>
    <xf numFmtId="0" fontId="16" fillId="0" borderId="0" xfId="0" applyFont="1" applyFill="1" applyBorder="1" applyAlignment="1">
      <alignment horizontal="center" vertical="center"/>
    </xf>
    <xf numFmtId="0" fontId="0" fillId="0" borderId="0" xfId="0" applyFont="1" applyFill="1"/>
    <xf numFmtId="10" fontId="12" fillId="0" borderId="0" xfId="4" applyNumberFormat="1" applyFont="1" applyFill="1" applyBorder="1" applyAlignment="1">
      <alignment horizontal="right" wrapText="1"/>
    </xf>
    <xf numFmtId="2" fontId="12" fillId="0" borderId="0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Fill="1"/>
    <xf numFmtId="0" fontId="0" fillId="0" borderId="66" xfId="0" applyFill="1" applyBorder="1"/>
    <xf numFmtId="1" fontId="3" fillId="11" borderId="0" xfId="0" applyNumberFormat="1" applyFont="1" applyFill="1" applyBorder="1" applyAlignment="1">
      <alignment horizontal="right" wrapText="1"/>
    </xf>
    <xf numFmtId="10" fontId="3" fillId="11" borderId="0" xfId="4" applyNumberFormat="1" applyFont="1" applyFill="1" applyBorder="1" applyAlignment="1">
      <alignment horizontal="right" wrapText="1"/>
    </xf>
    <xf numFmtId="169" fontId="16" fillId="0" borderId="0" xfId="1" applyNumberFormat="1" applyFont="1" applyFill="1" applyBorder="1" applyAlignment="1">
      <alignment horizontal="right" vertical="center" wrapText="1"/>
    </xf>
    <xf numFmtId="10" fontId="16" fillId="0" borderId="0" xfId="4" applyNumberFormat="1" applyFont="1" applyFill="1" applyBorder="1" applyAlignment="1">
      <alignment horizontal="right" vertical="center" wrapText="1"/>
    </xf>
    <xf numFmtId="1" fontId="3" fillId="0" borderId="0" xfId="0" applyNumberFormat="1" applyFont="1" applyFill="1" applyBorder="1" applyAlignment="1">
      <alignment horizontal="right" wrapText="1"/>
    </xf>
    <xf numFmtId="10" fontId="3" fillId="0" borderId="0" xfId="4" applyNumberFormat="1" applyFont="1" applyFill="1" applyBorder="1" applyAlignment="1">
      <alignment horizontal="right" wrapText="1"/>
    </xf>
    <xf numFmtId="2" fontId="21" fillId="0" borderId="60" xfId="0" applyNumberFormat="1" applyFont="1" applyBorder="1" applyAlignment="1">
      <alignment horizontal="right" vertical="center" wrapText="1"/>
    </xf>
    <xf numFmtId="9" fontId="0" fillId="11" borderId="0" xfId="4" applyFont="1" applyFill="1" applyBorder="1"/>
    <xf numFmtId="0" fontId="10" fillId="11" borderId="0" xfId="0" applyFont="1" applyFill="1" applyBorder="1" applyAlignment="1">
      <alignment wrapText="1"/>
    </xf>
    <xf numFmtId="3" fontId="10" fillId="11" borderId="0" xfId="0" applyNumberFormat="1" applyFont="1" applyFill="1" applyBorder="1"/>
    <xf numFmtId="9" fontId="10" fillId="11" borderId="0" xfId="4" applyFont="1" applyFill="1" applyBorder="1"/>
    <xf numFmtId="0" fontId="10" fillId="11" borderId="0" xfId="0" applyFont="1" applyFill="1" applyBorder="1"/>
    <xf numFmtId="1" fontId="16" fillId="11" borderId="0" xfId="0" applyNumberFormat="1" applyFont="1" applyFill="1" applyBorder="1" applyAlignment="1">
      <alignment horizontal="right" wrapText="1"/>
    </xf>
    <xf numFmtId="10" fontId="16" fillId="11" borderId="0" xfId="4" applyNumberFormat="1" applyFont="1" applyFill="1" applyBorder="1" applyAlignment="1">
      <alignment horizontal="right" wrapText="1"/>
    </xf>
    <xf numFmtId="43" fontId="12" fillId="0" borderId="1" xfId="1" applyFont="1" applyFill="1" applyBorder="1" applyAlignment="1">
      <alignment horizontal="center" vertical="center" wrapText="1"/>
    </xf>
    <xf numFmtId="0" fontId="0" fillId="0" borderId="0" xfId="0"/>
    <xf numFmtId="10" fontId="0" fillId="0" borderId="0" xfId="4" applyNumberFormat="1" applyFont="1" applyFill="1" applyBorder="1"/>
    <xf numFmtId="0" fontId="0" fillId="0" borderId="0" xfId="0"/>
    <xf numFmtId="0" fontId="12" fillId="0" borderId="11" xfId="0" applyFont="1" applyBorder="1" applyAlignment="1">
      <alignment horizontal="center" vertical="center"/>
    </xf>
    <xf numFmtId="169" fontId="10" fillId="19" borderId="0" xfId="1" applyNumberFormat="1" applyFont="1" applyFill="1" applyBorder="1"/>
    <xf numFmtId="0" fontId="0" fillId="19" borderId="66" xfId="0" applyFill="1" applyBorder="1"/>
    <xf numFmtId="0" fontId="0" fillId="19" borderId="0" xfId="0" applyFill="1"/>
    <xf numFmtId="9" fontId="10" fillId="19" borderId="0" xfId="4" applyFont="1" applyFill="1" applyBorder="1"/>
    <xf numFmtId="0" fontId="10" fillId="19" borderId="0" xfId="0" applyFont="1" applyFill="1" applyBorder="1" applyAlignment="1">
      <alignment wrapText="1"/>
    </xf>
    <xf numFmtId="0" fontId="10" fillId="19" borderId="66" xfId="0" applyFont="1" applyFill="1" applyBorder="1"/>
    <xf numFmtId="0" fontId="10" fillId="19" borderId="0" xfId="0" applyFont="1" applyFill="1"/>
    <xf numFmtId="0" fontId="16" fillId="19" borderId="0" xfId="0" applyFont="1" applyFill="1" applyBorder="1" applyAlignment="1">
      <alignment vertical="top" wrapText="1"/>
    </xf>
    <xf numFmtId="10" fontId="12" fillId="19" borderId="0" xfId="4" applyNumberFormat="1" applyFont="1" applyFill="1" applyBorder="1" applyAlignment="1">
      <alignment horizontal="right" wrapText="1"/>
    </xf>
    <xf numFmtId="2" fontId="12" fillId="19" borderId="0" xfId="0" applyNumberFormat="1" applyFont="1" applyFill="1" applyBorder="1" applyAlignment="1">
      <alignment horizontal="right" wrapText="1"/>
    </xf>
    <xf numFmtId="2" fontId="12" fillId="19" borderId="0" xfId="0" applyNumberFormat="1" applyFont="1" applyFill="1" applyBorder="1" applyAlignment="1">
      <alignment horizontal="right" vertical="top" wrapText="1"/>
    </xf>
    <xf numFmtId="2" fontId="12" fillId="19" borderId="0" xfId="0" applyNumberFormat="1" applyFont="1" applyFill="1" applyBorder="1" applyAlignment="1">
      <alignment horizontal="center" vertical="center" wrapText="1"/>
    </xf>
    <xf numFmtId="1" fontId="10" fillId="19" borderId="0" xfId="0" applyNumberFormat="1" applyFont="1" applyFill="1"/>
    <xf numFmtId="169" fontId="16" fillId="19" borderId="0" xfId="1" applyNumberFormat="1" applyFont="1" applyFill="1" applyBorder="1" applyAlignment="1">
      <alignment horizontal="center" vertical="center" wrapText="1"/>
    </xf>
    <xf numFmtId="9" fontId="16" fillId="19" borderId="0" xfId="4" applyFont="1" applyFill="1" applyBorder="1" applyAlignment="1">
      <alignment horizontal="right" vertical="center" wrapText="1"/>
    </xf>
    <xf numFmtId="2" fontId="16" fillId="19" borderId="0" xfId="0" applyNumberFormat="1" applyFont="1" applyFill="1" applyBorder="1" applyAlignment="1">
      <alignment horizontal="right" wrapText="1"/>
    </xf>
    <xf numFmtId="2" fontId="16" fillId="19" borderId="0" xfId="0" applyNumberFormat="1" applyFont="1" applyFill="1" applyBorder="1" applyAlignment="1">
      <alignment horizontal="right" vertical="top" wrapText="1"/>
    </xf>
    <xf numFmtId="2" fontId="16" fillId="19" borderId="0" xfId="0" applyNumberFormat="1" applyFont="1" applyFill="1" applyBorder="1" applyAlignment="1">
      <alignment horizontal="center" vertical="center" wrapText="1"/>
    </xf>
    <xf numFmtId="0" fontId="38" fillId="10" borderId="65" xfId="0" applyFont="1" applyFill="1" applyBorder="1" applyAlignment="1">
      <alignment vertical="center" wrapText="1"/>
    </xf>
    <xf numFmtId="0" fontId="38" fillId="10" borderId="66" xfId="0" applyFont="1" applyFill="1" applyBorder="1" applyAlignment="1">
      <alignment vertical="center" wrapText="1"/>
    </xf>
    <xf numFmtId="169" fontId="12" fillId="11" borderId="69" xfId="1" applyNumberFormat="1" applyFont="1" applyFill="1" applyBorder="1" applyAlignment="1">
      <alignment horizontal="center" vertical="center" wrapText="1"/>
    </xf>
    <xf numFmtId="169" fontId="16" fillId="19" borderId="0" xfId="4" applyNumberFormat="1" applyFont="1" applyFill="1" applyBorder="1" applyAlignment="1">
      <alignment horizontal="right" wrapText="1"/>
    </xf>
    <xf numFmtId="0" fontId="16" fillId="11" borderId="0" xfId="0" applyFont="1" applyFill="1" applyBorder="1" applyAlignment="1">
      <alignment horizontal="left" wrapText="1"/>
    </xf>
    <xf numFmtId="0" fontId="0" fillId="0" borderId="0" xfId="0"/>
    <xf numFmtId="0" fontId="10" fillId="11" borderId="0" xfId="0" applyFont="1" applyFill="1" applyAlignment="1">
      <alignment horizontal="center" vertical="center"/>
    </xf>
    <xf numFmtId="2" fontId="16" fillId="11" borderId="0" xfId="0" applyNumberFormat="1" applyFont="1" applyFill="1" applyBorder="1" applyAlignment="1">
      <alignment horizontal="right" wrapText="1"/>
    </xf>
    <xf numFmtId="2" fontId="16" fillId="11" borderId="0" xfId="0" applyNumberFormat="1" applyFont="1" applyFill="1" applyBorder="1" applyAlignment="1">
      <alignment horizontal="right" vertical="top" wrapText="1"/>
    </xf>
    <xf numFmtId="2" fontId="16" fillId="11" borderId="0" xfId="0" applyNumberFormat="1" applyFont="1" applyFill="1" applyBorder="1" applyAlignment="1">
      <alignment horizontal="center" vertical="center" wrapText="1"/>
    </xf>
    <xf numFmtId="169" fontId="10" fillId="11" borderId="0" xfId="1" applyNumberFormat="1" applyFont="1" applyFill="1" applyBorder="1"/>
    <xf numFmtId="0" fontId="0" fillId="18" borderId="0" xfId="0" applyFill="1"/>
    <xf numFmtId="0" fontId="0" fillId="0" borderId="0" xfId="0"/>
    <xf numFmtId="0" fontId="10" fillId="19" borderId="0" xfId="0" applyFont="1" applyFill="1" applyBorder="1"/>
    <xf numFmtId="43" fontId="0" fillId="0" borderId="1" xfId="1" applyFont="1" applyBorder="1"/>
    <xf numFmtId="0" fontId="16" fillId="11" borderId="0" xfId="4" applyNumberFormat="1" applyFont="1" applyFill="1" applyBorder="1" applyAlignment="1">
      <alignment horizontal="right" vertical="center" wrapText="1"/>
    </xf>
    <xf numFmtId="0" fontId="1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/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10" fontId="10" fillId="0" borderId="1" xfId="4" applyNumberFormat="1" applyFont="1" applyBorder="1" applyAlignment="1">
      <alignment horizontal="center" vertical="center"/>
    </xf>
    <xf numFmtId="0" fontId="0" fillId="0" borderId="0" xfId="0"/>
    <xf numFmtId="0" fontId="12" fillId="0" borderId="15" xfId="0" applyFont="1" applyFill="1" applyBorder="1" applyAlignment="1">
      <alignment vertical="center" wrapText="1"/>
    </xf>
    <xf numFmtId="0" fontId="16" fillId="0" borderId="15" xfId="0" applyFont="1" applyFill="1" applyBorder="1" applyAlignment="1">
      <alignment horizontal="center" vertical="center" wrapText="1"/>
    </xf>
    <xf numFmtId="0" fontId="12" fillId="0" borderId="14" xfId="0" applyFont="1" applyFill="1" applyBorder="1" applyAlignment="1">
      <alignment vertical="center" wrapText="1"/>
    </xf>
    <xf numFmtId="0" fontId="16" fillId="0" borderId="14" xfId="0" applyFont="1" applyFill="1" applyBorder="1" applyAlignment="1">
      <alignment horizontal="center" vertical="center" wrapText="1"/>
    </xf>
    <xf numFmtId="0" fontId="12" fillId="0" borderId="23" xfId="0" applyFont="1" applyBorder="1" applyAlignment="1">
      <alignment wrapText="1"/>
    </xf>
    <xf numFmtId="2" fontId="12" fillId="0" borderId="39" xfId="0" applyNumberFormat="1" applyFont="1" applyBorder="1" applyAlignment="1">
      <alignment horizontal="right" wrapText="1"/>
    </xf>
    <xf numFmtId="2" fontId="12" fillId="0" borderId="70" xfId="0" applyNumberFormat="1" applyFont="1" applyBorder="1" applyAlignment="1">
      <alignment horizontal="right" wrapText="1"/>
    </xf>
    <xf numFmtId="2" fontId="12" fillId="0" borderId="39" xfId="0" applyNumberFormat="1" applyFont="1" applyBorder="1" applyAlignment="1">
      <alignment horizontal="right" vertical="top" wrapText="1"/>
    </xf>
    <xf numFmtId="2" fontId="12" fillId="0" borderId="39" xfId="0" applyNumberFormat="1" applyFont="1" applyFill="1" applyBorder="1" applyAlignment="1">
      <alignment horizontal="right" wrapText="1"/>
    </xf>
    <xf numFmtId="2" fontId="12" fillId="0" borderId="8" xfId="0" applyNumberFormat="1" applyFont="1" applyFill="1" applyBorder="1" applyAlignment="1">
      <alignment vertical="center" wrapText="1"/>
    </xf>
    <xf numFmtId="2" fontId="0" fillId="0" borderId="23" xfId="0" applyNumberFormat="1" applyFill="1" applyBorder="1"/>
    <xf numFmtId="2" fontId="0" fillId="0" borderId="39" xfId="0" applyNumberFormat="1" applyFill="1" applyBorder="1"/>
    <xf numFmtId="0" fontId="0" fillId="0" borderId="39" xfId="0" applyFill="1" applyBorder="1"/>
    <xf numFmtId="0" fontId="0" fillId="0" borderId="8" xfId="0" applyFill="1" applyBorder="1"/>
    <xf numFmtId="0" fontId="12" fillId="0" borderId="25" xfId="0" applyFont="1" applyBorder="1" applyAlignment="1">
      <alignment wrapText="1"/>
    </xf>
    <xf numFmtId="2" fontId="12" fillId="0" borderId="69" xfId="0" applyNumberFormat="1" applyFont="1" applyBorder="1" applyAlignment="1">
      <alignment horizontal="right" wrapText="1"/>
    </xf>
    <xf numFmtId="2" fontId="12" fillId="0" borderId="65" xfId="0" applyNumberFormat="1" applyFont="1" applyBorder="1" applyAlignment="1">
      <alignment horizontal="right" wrapText="1"/>
    </xf>
    <xf numFmtId="2" fontId="12" fillId="0" borderId="25" xfId="0" applyNumberFormat="1" applyFont="1" applyBorder="1" applyAlignment="1">
      <alignment horizontal="right" wrapText="1"/>
    </xf>
    <xf numFmtId="2" fontId="0" fillId="0" borderId="25" xfId="0" applyNumberFormat="1" applyFill="1" applyBorder="1"/>
    <xf numFmtId="2" fontId="0" fillId="0" borderId="69" xfId="0" applyNumberFormat="1" applyFill="1" applyBorder="1"/>
    <xf numFmtId="0" fontId="0" fillId="0" borderId="69" xfId="0" applyFill="1" applyBorder="1"/>
    <xf numFmtId="0" fontId="0" fillId="0" borderId="68" xfId="0" applyFill="1" applyBorder="1"/>
    <xf numFmtId="0" fontId="12" fillId="0" borderId="20" xfId="0" applyFont="1" applyBorder="1" applyAlignment="1">
      <alignment wrapText="1"/>
    </xf>
    <xf numFmtId="2" fontId="12" fillId="0" borderId="44" xfId="0" applyNumberFormat="1" applyFont="1" applyBorder="1" applyAlignment="1">
      <alignment horizontal="right" vertical="center" wrapText="1"/>
    </xf>
    <xf numFmtId="2" fontId="12" fillId="0" borderId="67" xfId="0" applyNumberFormat="1" applyFont="1" applyBorder="1" applyAlignment="1">
      <alignment horizontal="right" vertical="center" wrapText="1"/>
    </xf>
    <xf numFmtId="2" fontId="12" fillId="0" borderId="20" xfId="0" applyNumberFormat="1" applyFont="1" applyBorder="1" applyAlignment="1">
      <alignment horizontal="right" vertical="center" wrapText="1"/>
    </xf>
    <xf numFmtId="2" fontId="12" fillId="0" borderId="44" xfId="0" applyNumberFormat="1" applyFont="1" applyFill="1" applyBorder="1" applyAlignment="1">
      <alignment horizontal="right" vertical="center" wrapText="1"/>
    </xf>
    <xf numFmtId="2" fontId="12" fillId="0" borderId="21" xfId="0" applyNumberFormat="1" applyFont="1" applyFill="1" applyBorder="1" applyAlignment="1">
      <alignment vertical="center" wrapText="1"/>
    </xf>
    <xf numFmtId="2" fontId="0" fillId="0" borderId="20" xfId="0" applyNumberFormat="1" applyFill="1" applyBorder="1"/>
    <xf numFmtId="2" fontId="0" fillId="0" borderId="44" xfId="0" applyNumberFormat="1" applyFill="1" applyBorder="1"/>
    <xf numFmtId="0" fontId="12" fillId="0" borderId="23" xfId="0" applyFont="1" applyFill="1" applyBorder="1" applyAlignment="1">
      <alignment vertical="center" wrapText="1"/>
    </xf>
    <xf numFmtId="0" fontId="16" fillId="0" borderId="39" xfId="0" applyFont="1" applyFill="1" applyBorder="1" applyAlignment="1">
      <alignment horizontal="center" vertical="center" wrapText="1"/>
    </xf>
    <xf numFmtId="0" fontId="12" fillId="0" borderId="39" xfId="0" applyFont="1" applyBorder="1" applyAlignment="1">
      <alignment wrapText="1"/>
    </xf>
    <xf numFmtId="0" fontId="12" fillId="0" borderId="25" xfId="0" applyFont="1" applyFill="1" applyBorder="1" applyAlignment="1">
      <alignment vertical="center" wrapText="1"/>
    </xf>
    <xf numFmtId="0" fontId="16" fillId="0" borderId="69" xfId="0" applyFont="1" applyFill="1" applyBorder="1" applyAlignment="1">
      <alignment horizontal="center" vertical="center" wrapText="1"/>
    </xf>
    <xf numFmtId="0" fontId="12" fillId="0" borderId="69" xfId="0" applyFont="1" applyBorder="1" applyAlignment="1">
      <alignment wrapText="1"/>
    </xf>
    <xf numFmtId="0" fontId="12" fillId="0" borderId="20" xfId="0" applyFont="1" applyFill="1" applyBorder="1" applyAlignment="1">
      <alignment vertical="center" wrapText="1"/>
    </xf>
    <xf numFmtId="0" fontId="16" fillId="0" borderId="44" xfId="0" applyFont="1" applyFill="1" applyBorder="1" applyAlignment="1">
      <alignment horizontal="center" vertical="center" wrapText="1"/>
    </xf>
    <xf numFmtId="0" fontId="12" fillId="0" borderId="44" xfId="0" applyFont="1" applyBorder="1" applyAlignment="1">
      <alignment wrapText="1"/>
    </xf>
    <xf numFmtId="2" fontId="12" fillId="0" borderId="44" xfId="0" applyNumberFormat="1" applyFont="1" applyBorder="1" applyAlignment="1">
      <alignment horizontal="right" wrapText="1"/>
    </xf>
    <xf numFmtId="2" fontId="12" fillId="0" borderId="44" xfId="0" applyNumberFormat="1" applyFont="1" applyBorder="1" applyAlignment="1">
      <alignment horizontal="right" vertical="top" wrapText="1"/>
    </xf>
    <xf numFmtId="2" fontId="12" fillId="0" borderId="44" xfId="0" applyNumberFormat="1" applyFont="1" applyFill="1" applyBorder="1" applyAlignment="1">
      <alignment horizontal="right" wrapText="1"/>
    </xf>
    <xf numFmtId="2" fontId="12" fillId="0" borderId="39" xfId="0" applyNumberFormat="1" applyFont="1" applyBorder="1" applyAlignment="1">
      <alignment horizontal="right" vertical="center" wrapText="1"/>
    </xf>
    <xf numFmtId="2" fontId="12" fillId="0" borderId="39" xfId="0" applyNumberFormat="1" applyFont="1" applyFill="1" applyBorder="1" applyAlignment="1">
      <alignment horizontal="right" vertical="center" wrapText="1"/>
    </xf>
    <xf numFmtId="2" fontId="12" fillId="0" borderId="69" xfId="0" applyNumberFormat="1" applyFont="1" applyBorder="1" applyAlignment="1">
      <alignment horizontal="right" vertical="center" wrapText="1"/>
    </xf>
    <xf numFmtId="2" fontId="12" fillId="0" borderId="69" xfId="0" applyNumberFormat="1" applyFont="1" applyFill="1" applyBorder="1" applyAlignment="1">
      <alignment horizontal="right" vertical="center" wrapText="1"/>
    </xf>
    <xf numFmtId="0" fontId="16" fillId="0" borderId="8" xfId="0" applyFont="1" applyFill="1" applyBorder="1" applyAlignment="1">
      <alignment horizontal="center" vertical="center" wrapText="1"/>
    </xf>
    <xf numFmtId="0" fontId="16" fillId="0" borderId="68" xfId="0" applyFont="1" applyFill="1" applyBorder="1" applyAlignment="1">
      <alignment horizontal="center" vertical="center" wrapText="1"/>
    </xf>
    <xf numFmtId="2" fontId="12" fillId="0" borderId="65" xfId="0" applyNumberFormat="1" applyFont="1" applyBorder="1" applyAlignment="1">
      <alignment horizontal="right" vertical="center" wrapText="1"/>
    </xf>
    <xf numFmtId="2" fontId="12" fillId="0" borderId="25" xfId="0" applyNumberFormat="1" applyFont="1" applyBorder="1" applyAlignment="1">
      <alignment horizontal="right" vertical="center" wrapText="1"/>
    </xf>
    <xf numFmtId="0" fontId="16" fillId="0" borderId="21" xfId="0" applyFont="1" applyFill="1" applyBorder="1" applyAlignment="1">
      <alignment horizontal="center" vertical="center" wrapText="1"/>
    </xf>
    <xf numFmtId="2" fontId="12" fillId="0" borderId="23" xfId="0" applyNumberFormat="1" applyFont="1" applyBorder="1" applyAlignment="1">
      <alignment horizontal="right" vertical="top" wrapText="1"/>
    </xf>
    <xf numFmtId="2" fontId="12" fillId="0" borderId="67" xfId="0" applyNumberFormat="1" applyFont="1" applyBorder="1" applyAlignment="1">
      <alignment horizontal="right" wrapText="1"/>
    </xf>
    <xf numFmtId="2" fontId="12" fillId="0" borderId="20" xfId="0" applyNumberFormat="1" applyFont="1" applyBorder="1" applyAlignment="1">
      <alignment horizontal="right" vertical="top" wrapText="1"/>
    </xf>
    <xf numFmtId="0" fontId="12" fillId="0" borderId="23" xfId="0" applyFont="1" applyBorder="1" applyAlignment="1">
      <alignment vertical="top" wrapText="1"/>
    </xf>
    <xf numFmtId="2" fontId="12" fillId="0" borderId="70" xfId="0" applyNumberFormat="1" applyFont="1" applyBorder="1" applyAlignment="1">
      <alignment horizontal="right" vertical="top" wrapText="1"/>
    </xf>
    <xf numFmtId="0" fontId="12" fillId="0" borderId="25" xfId="0" applyFont="1" applyBorder="1" applyAlignment="1">
      <alignment vertical="top" wrapText="1"/>
    </xf>
    <xf numFmtId="2" fontId="12" fillId="0" borderId="65" xfId="0" applyNumberFormat="1" applyFont="1" applyBorder="1" applyAlignment="1">
      <alignment horizontal="right" vertical="top" wrapText="1"/>
    </xf>
    <xf numFmtId="0" fontId="12" fillId="0" borderId="20" xfId="0" applyFont="1" applyBorder="1" applyAlignment="1">
      <alignment vertical="top" wrapText="1"/>
    </xf>
    <xf numFmtId="2" fontId="12" fillId="0" borderId="67" xfId="0" applyNumberFormat="1" applyFont="1" applyBorder="1" applyAlignment="1">
      <alignment horizontal="right" vertical="top" wrapText="1"/>
    </xf>
    <xf numFmtId="0" fontId="12" fillId="11" borderId="42" xfId="0" applyFont="1" applyFill="1" applyBorder="1" applyAlignment="1">
      <alignment horizontal="center" vertical="center" wrapText="1"/>
    </xf>
    <xf numFmtId="0" fontId="12" fillId="0" borderId="15" xfId="0" applyFont="1" applyFill="1" applyBorder="1" applyAlignment="1">
      <alignment horizontal="center" vertical="center" wrapText="1"/>
    </xf>
    <xf numFmtId="2" fontId="12" fillId="0" borderId="39" xfId="0" applyNumberFormat="1" applyFont="1" applyFill="1" applyBorder="1" applyAlignment="1">
      <alignment horizontal="right" vertical="top" wrapText="1"/>
    </xf>
    <xf numFmtId="0" fontId="12" fillId="0" borderId="15" xfId="0" applyFont="1" applyFill="1" applyBorder="1" applyAlignment="1">
      <alignment vertical="center"/>
    </xf>
    <xf numFmtId="0" fontId="12" fillId="0" borderId="15" xfId="0" applyFont="1" applyFill="1" applyBorder="1" applyAlignment="1">
      <alignment horizontal="center" vertical="center"/>
    </xf>
    <xf numFmtId="2" fontId="12" fillId="0" borderId="69" xfId="0" applyNumberFormat="1" applyFont="1" applyFill="1" applyBorder="1" applyAlignment="1">
      <alignment horizontal="right" vertical="top" wrapText="1"/>
    </xf>
    <xf numFmtId="0" fontId="12" fillId="0" borderId="14" xfId="0" applyFont="1" applyFill="1" applyBorder="1" applyAlignment="1">
      <alignment vertical="center"/>
    </xf>
    <xf numFmtId="0" fontId="12" fillId="0" borderId="14" xfId="0" applyFont="1" applyFill="1" applyBorder="1" applyAlignment="1">
      <alignment horizontal="center" vertical="center"/>
    </xf>
    <xf numFmtId="2" fontId="12" fillId="0" borderId="44" xfId="0" applyNumberFormat="1" applyFont="1" applyFill="1" applyBorder="1" applyAlignment="1">
      <alignment horizontal="right" vertical="top" wrapText="1"/>
    </xf>
    <xf numFmtId="0" fontId="12" fillId="0" borderId="14" xfId="0" applyFont="1" applyFill="1" applyBorder="1" applyAlignment="1">
      <alignment horizontal="center" vertical="center" wrapText="1"/>
    </xf>
    <xf numFmtId="43" fontId="0" fillId="0" borderId="69" xfId="1" applyNumberFormat="1" applyFont="1" applyFill="1" applyBorder="1" applyAlignment="1">
      <alignment horizontal="right" vertical="center"/>
    </xf>
    <xf numFmtId="43" fontId="0" fillId="0" borderId="25" xfId="1" applyNumberFormat="1" applyFont="1" applyFill="1" applyBorder="1" applyAlignment="1">
      <alignment horizontal="right" vertical="center"/>
    </xf>
    <xf numFmtId="43" fontId="0" fillId="0" borderId="44" xfId="1" applyNumberFormat="1" applyFont="1" applyFill="1" applyBorder="1" applyAlignment="1">
      <alignment horizontal="right" vertical="center"/>
    </xf>
    <xf numFmtId="0" fontId="0" fillId="0" borderId="23" xfId="0" applyFont="1" applyBorder="1"/>
    <xf numFmtId="0" fontId="0" fillId="0" borderId="39" xfId="0" applyBorder="1"/>
    <xf numFmtId="0" fontId="0" fillId="0" borderId="8" xfId="0" applyBorder="1"/>
    <xf numFmtId="2" fontId="0" fillId="0" borderId="66" xfId="0" applyNumberFormat="1" applyFill="1" applyBorder="1"/>
    <xf numFmtId="2" fontId="0" fillId="0" borderId="45" xfId="0" applyNumberFormat="1" applyFill="1" applyBorder="1"/>
    <xf numFmtId="2" fontId="12" fillId="0" borderId="39" xfId="0" applyNumberFormat="1" applyFont="1" applyBorder="1" applyAlignment="1">
      <alignment horizontal="right"/>
    </xf>
    <xf numFmtId="2" fontId="12" fillId="0" borderId="70" xfId="0" applyNumberFormat="1" applyFont="1" applyBorder="1" applyAlignment="1">
      <alignment horizontal="right"/>
    </xf>
    <xf numFmtId="2" fontId="12" fillId="0" borderId="23" xfId="0" applyNumberFormat="1" applyFont="1" applyBorder="1" applyAlignment="1">
      <alignment horizontal="right"/>
    </xf>
    <xf numFmtId="2" fontId="12" fillId="0" borderId="69" xfId="0" applyNumberFormat="1" applyFont="1" applyBorder="1" applyAlignment="1">
      <alignment horizontal="right"/>
    </xf>
    <xf numFmtId="2" fontId="12" fillId="0" borderId="65" xfId="0" applyNumberFormat="1" applyFont="1" applyBorder="1" applyAlignment="1">
      <alignment horizontal="right"/>
    </xf>
    <xf numFmtId="2" fontId="12" fillId="0" borderId="25" xfId="0" applyNumberFormat="1" applyFont="1" applyBorder="1" applyAlignment="1">
      <alignment horizontal="right"/>
    </xf>
    <xf numFmtId="0" fontId="12" fillId="0" borderId="25" xfId="0" applyFont="1" applyBorder="1" applyAlignment="1">
      <alignment horizontal="left"/>
    </xf>
    <xf numFmtId="0" fontId="12" fillId="0" borderId="20" xfId="0" applyFont="1" applyBorder="1" applyAlignment="1">
      <alignment horizontal="left"/>
    </xf>
    <xf numFmtId="2" fontId="12" fillId="0" borderId="44" xfId="0" applyNumberFormat="1" applyFont="1" applyBorder="1" applyAlignment="1">
      <alignment horizontal="right"/>
    </xf>
    <xf numFmtId="2" fontId="12" fillId="0" borderId="67" xfId="0" applyNumberFormat="1" applyFont="1" applyBorder="1" applyAlignment="1">
      <alignment horizontal="right"/>
    </xf>
    <xf numFmtId="2" fontId="12" fillId="0" borderId="20" xfId="0" applyNumberFormat="1" applyFont="1" applyBorder="1" applyAlignment="1">
      <alignment horizontal="right"/>
    </xf>
    <xf numFmtId="0" fontId="12" fillId="0" borderId="23" xfId="0" applyFont="1" applyBorder="1" applyAlignment="1">
      <alignment horizontal="left" vertical="top" wrapText="1"/>
    </xf>
    <xf numFmtId="0" fontId="12" fillId="0" borderId="25" xfId="0" applyFont="1" applyBorder="1" applyAlignment="1">
      <alignment horizontal="justify" vertical="top" wrapText="1"/>
    </xf>
    <xf numFmtId="0" fontId="12" fillId="0" borderId="20" xfId="0" applyFont="1" applyBorder="1" applyAlignment="1">
      <alignment horizontal="justify" vertical="top" wrapText="1"/>
    </xf>
    <xf numFmtId="0" fontId="12" fillId="0" borderId="15" xfId="0" applyFont="1" applyBorder="1" applyAlignment="1">
      <alignment vertical="center" wrapText="1"/>
    </xf>
    <xf numFmtId="2" fontId="12" fillId="0" borderId="70" xfId="0" applyNumberFormat="1" applyFont="1" applyBorder="1" applyAlignment="1">
      <alignment horizontal="right" vertical="center" wrapText="1"/>
    </xf>
    <xf numFmtId="2" fontId="12" fillId="0" borderId="23" xfId="0" applyNumberFormat="1" applyFont="1" applyBorder="1" applyAlignment="1">
      <alignment horizontal="right" vertical="center" wrapText="1"/>
    </xf>
    <xf numFmtId="2" fontId="0" fillId="0" borderId="8" xfId="0" applyNumberFormat="1" applyFont="1" applyBorder="1" applyAlignment="1"/>
    <xf numFmtId="0" fontId="0" fillId="0" borderId="71" xfId="0" applyFill="1" applyBorder="1"/>
    <xf numFmtId="2" fontId="0" fillId="0" borderId="68" xfId="0" applyNumberFormat="1" applyFont="1" applyBorder="1" applyAlignment="1"/>
    <xf numFmtId="0" fontId="12" fillId="0" borderId="14" xfId="0" applyFont="1" applyBorder="1" applyAlignment="1">
      <alignment vertical="center" wrapText="1"/>
    </xf>
    <xf numFmtId="2" fontId="0" fillId="0" borderId="21" xfId="0" applyNumberFormat="1" applyFont="1" applyBorder="1" applyAlignment="1"/>
    <xf numFmtId="2" fontId="0" fillId="0" borderId="70" xfId="0" applyNumberFormat="1" applyFill="1" applyBorder="1"/>
    <xf numFmtId="2" fontId="0" fillId="0" borderId="65" xfId="0" applyNumberFormat="1" applyFill="1" applyBorder="1"/>
    <xf numFmtId="2" fontId="0" fillId="0" borderId="67" xfId="0" applyNumberFormat="1" applyFill="1" applyBorder="1"/>
    <xf numFmtId="2" fontId="11" fillId="0" borderId="39" xfId="0" applyNumberFormat="1" applyFont="1" applyFill="1" applyBorder="1" applyAlignment="1">
      <alignment horizontal="right" vertical="top" wrapText="1"/>
    </xf>
    <xf numFmtId="2" fontId="11" fillId="0" borderId="8" xfId="0" applyNumberFormat="1" applyFont="1" applyFill="1" applyBorder="1" applyAlignment="1">
      <alignment horizontal="right" vertical="top" wrapText="1"/>
    </xf>
    <xf numFmtId="2" fontId="28" fillId="0" borderId="8" xfId="0" applyNumberFormat="1" applyFont="1" applyBorder="1" applyAlignment="1"/>
    <xf numFmtId="2" fontId="28" fillId="0" borderId="68" xfId="0" applyNumberFormat="1" applyFont="1" applyBorder="1" applyAlignment="1"/>
    <xf numFmtId="2" fontId="28" fillId="0" borderId="21" xfId="0" applyNumberFormat="1" applyFont="1" applyBorder="1" applyAlignment="1"/>
    <xf numFmtId="0" fontId="0" fillId="12" borderId="8" xfId="0" applyFont="1" applyFill="1" applyBorder="1" applyAlignment="1">
      <alignment vertical="center"/>
    </xf>
    <xf numFmtId="169" fontId="12" fillId="0" borderId="23" xfId="1" applyNumberFormat="1" applyFont="1" applyBorder="1" applyAlignment="1">
      <alignment horizontal="right" vertical="center" wrapText="1"/>
    </xf>
    <xf numFmtId="169" fontId="12" fillId="0" borderId="39" xfId="1" applyNumberFormat="1" applyFont="1" applyBorder="1" applyAlignment="1">
      <alignment horizontal="right" vertical="center" wrapText="1"/>
    </xf>
    <xf numFmtId="169" fontId="12" fillId="0" borderId="39" xfId="1" applyNumberFormat="1" applyFont="1" applyFill="1" applyBorder="1" applyAlignment="1">
      <alignment horizontal="right" vertical="center" wrapText="1"/>
    </xf>
    <xf numFmtId="169" fontId="0" fillId="0" borderId="8" xfId="1" applyNumberFormat="1" applyFont="1" applyBorder="1" applyAlignment="1"/>
    <xf numFmtId="169" fontId="0" fillId="0" borderId="23" xfId="1" applyNumberFormat="1" applyFont="1" applyFill="1" applyBorder="1"/>
    <xf numFmtId="0" fontId="13" fillId="0" borderId="39" xfId="0" applyFont="1" applyFill="1" applyBorder="1" applyAlignment="1">
      <alignment vertical="top" wrapText="1"/>
    </xf>
    <xf numFmtId="0" fontId="13" fillId="0" borderId="8" xfId="0" applyFont="1" applyFill="1" applyBorder="1" applyAlignment="1">
      <alignment vertical="top" wrapText="1"/>
    </xf>
    <xf numFmtId="169" fontId="12" fillId="0" borderId="25" xfId="1" applyNumberFormat="1" applyFont="1" applyBorder="1" applyAlignment="1">
      <alignment horizontal="right" vertical="center" wrapText="1"/>
    </xf>
    <xf numFmtId="169" fontId="12" fillId="0" borderId="69" xfId="1" applyNumberFormat="1" applyFont="1" applyBorder="1" applyAlignment="1">
      <alignment horizontal="right" vertical="center" wrapText="1"/>
    </xf>
    <xf numFmtId="169" fontId="12" fillId="0" borderId="69" xfId="1" applyNumberFormat="1" applyFont="1" applyFill="1" applyBorder="1" applyAlignment="1">
      <alignment horizontal="right" vertical="center" wrapText="1"/>
    </xf>
    <xf numFmtId="169" fontId="0" fillId="0" borderId="68" xfId="1" applyNumberFormat="1" applyFont="1" applyBorder="1" applyAlignment="1"/>
    <xf numFmtId="169" fontId="0" fillId="0" borderId="25" xfId="1" applyNumberFormat="1" applyFont="1" applyFill="1" applyBorder="1"/>
    <xf numFmtId="2" fontId="13" fillId="0" borderId="69" xfId="0" applyNumberFormat="1" applyFont="1" applyFill="1" applyBorder="1" applyAlignment="1">
      <alignment horizontal="right" vertical="center" wrapText="1"/>
    </xf>
    <xf numFmtId="2" fontId="13" fillId="0" borderId="68" xfId="0" applyNumberFormat="1" applyFont="1" applyFill="1" applyBorder="1" applyAlignment="1">
      <alignment horizontal="right" vertical="center" wrapText="1"/>
    </xf>
    <xf numFmtId="0" fontId="12" fillId="0" borderId="69" xfId="0" applyFont="1" applyFill="1" applyBorder="1" applyAlignment="1">
      <alignment vertical="top" wrapText="1"/>
    </xf>
    <xf numFmtId="0" fontId="12" fillId="0" borderId="68" xfId="0" applyFont="1" applyFill="1" applyBorder="1" applyAlignment="1">
      <alignment vertical="top" wrapText="1"/>
    </xf>
    <xf numFmtId="2" fontId="12" fillId="0" borderId="68" xfId="0" applyNumberFormat="1" applyFont="1" applyFill="1" applyBorder="1" applyAlignment="1">
      <alignment horizontal="right" wrapText="1"/>
    </xf>
    <xf numFmtId="2" fontId="12" fillId="0" borderId="68" xfId="0" applyNumberFormat="1" applyFont="1" applyFill="1" applyBorder="1" applyAlignment="1">
      <alignment horizontal="right" vertical="top" wrapText="1"/>
    </xf>
    <xf numFmtId="169" fontId="12" fillId="0" borderId="20" xfId="1" applyNumberFormat="1" applyFont="1" applyBorder="1" applyAlignment="1">
      <alignment horizontal="right" vertical="center" wrapText="1"/>
    </xf>
    <xf numFmtId="169" fontId="12" fillId="0" borderId="44" xfId="1" applyNumberFormat="1" applyFont="1" applyBorder="1" applyAlignment="1">
      <alignment horizontal="right" vertical="center" wrapText="1"/>
    </xf>
    <xf numFmtId="169" fontId="12" fillId="0" borderId="44" xfId="1" applyNumberFormat="1" applyFont="1" applyFill="1" applyBorder="1" applyAlignment="1">
      <alignment horizontal="right" vertical="center" wrapText="1"/>
    </xf>
    <xf numFmtId="169" fontId="0" fillId="0" borderId="21" xfId="1" applyNumberFormat="1" applyFont="1" applyBorder="1" applyAlignment="1"/>
    <xf numFmtId="169" fontId="0" fillId="0" borderId="20" xfId="1" applyNumberFormat="1" applyFont="1" applyFill="1" applyBorder="1"/>
    <xf numFmtId="2" fontId="12" fillId="0" borderId="21" xfId="0" applyNumberFormat="1" applyFont="1" applyFill="1" applyBorder="1" applyAlignment="1">
      <alignment horizontal="right" vertical="top" wrapText="1"/>
    </xf>
    <xf numFmtId="2" fontId="0" fillId="0" borderId="11" xfId="0" applyNumberFormat="1" applyFill="1" applyBorder="1"/>
    <xf numFmtId="2" fontId="0" fillId="0" borderId="71" xfId="0" applyNumberFormat="1" applyFill="1" applyBorder="1"/>
    <xf numFmtId="2" fontId="12" fillId="0" borderId="8" xfId="0" applyNumberFormat="1" applyFont="1" applyFill="1" applyBorder="1" applyAlignment="1">
      <alignment horizontal="right" vertical="top" wrapText="1"/>
    </xf>
    <xf numFmtId="2" fontId="0" fillId="0" borderId="42" xfId="0" applyNumberFormat="1" applyFill="1" applyBorder="1"/>
    <xf numFmtId="2" fontId="11" fillId="0" borderId="69" xfId="0" applyNumberFormat="1" applyFont="1" applyFill="1" applyBorder="1" applyAlignment="1">
      <alignment horizontal="right" vertical="top" wrapText="1"/>
    </xf>
    <xf numFmtId="2" fontId="11" fillId="0" borderId="68" xfId="0" applyNumberFormat="1" applyFont="1" applyFill="1" applyBorder="1" applyAlignment="1">
      <alignment horizontal="right" vertical="top" wrapText="1"/>
    </xf>
    <xf numFmtId="2" fontId="0" fillId="0" borderId="13" xfId="0" applyNumberFormat="1" applyFill="1" applyBorder="1"/>
    <xf numFmtId="171" fontId="12" fillId="0" borderId="23" xfId="1" applyNumberFormat="1" applyFont="1" applyBorder="1" applyAlignment="1">
      <alignment horizontal="right" vertical="center" wrapText="1"/>
    </xf>
    <xf numFmtId="171" fontId="12" fillId="0" borderId="39" xfId="1" applyNumberFormat="1" applyFont="1" applyBorder="1" applyAlignment="1">
      <alignment horizontal="right" vertical="center" wrapText="1"/>
    </xf>
    <xf numFmtId="171" fontId="12" fillId="0" borderId="39" xfId="1" applyNumberFormat="1" applyFont="1" applyFill="1" applyBorder="1" applyAlignment="1">
      <alignment horizontal="right" vertical="center" wrapText="1"/>
    </xf>
    <xf numFmtId="171" fontId="0" fillId="0" borderId="8" xfId="1" applyNumberFormat="1" applyFont="1" applyBorder="1" applyAlignment="1"/>
    <xf numFmtId="171" fontId="0" fillId="0" borderId="23" xfId="1" applyNumberFormat="1" applyFont="1" applyFill="1" applyBorder="1"/>
    <xf numFmtId="171" fontId="12" fillId="0" borderId="25" xfId="1" applyNumberFormat="1" applyFont="1" applyBorder="1" applyAlignment="1">
      <alignment horizontal="right" vertical="center" wrapText="1"/>
    </xf>
    <xf numFmtId="171" fontId="12" fillId="0" borderId="69" xfId="1" applyNumberFormat="1" applyFont="1" applyBorder="1" applyAlignment="1">
      <alignment horizontal="right" vertical="center" wrapText="1"/>
    </xf>
    <xf numFmtId="171" fontId="12" fillId="0" borderId="69" xfId="1" applyNumberFormat="1" applyFont="1" applyFill="1" applyBorder="1" applyAlignment="1">
      <alignment horizontal="right" vertical="center" wrapText="1"/>
    </xf>
    <xf numFmtId="171" fontId="0" fillId="0" borderId="68" xfId="1" applyNumberFormat="1" applyFont="1" applyBorder="1" applyAlignment="1"/>
    <xf numFmtId="171" fontId="0" fillId="0" borderId="25" xfId="1" applyNumberFormat="1" applyFont="1" applyFill="1" applyBorder="1"/>
    <xf numFmtId="171" fontId="12" fillId="0" borderId="20" xfId="1" applyNumberFormat="1" applyFont="1" applyBorder="1" applyAlignment="1">
      <alignment horizontal="right" vertical="center" wrapText="1"/>
    </xf>
    <xf numFmtId="171" fontId="12" fillId="0" borderId="44" xfId="1" applyNumberFormat="1" applyFont="1" applyBorder="1" applyAlignment="1">
      <alignment horizontal="right" vertical="center" wrapText="1"/>
    </xf>
    <xf numFmtId="171" fontId="12" fillId="0" borderId="44" xfId="1" applyNumberFormat="1" applyFont="1" applyFill="1" applyBorder="1" applyAlignment="1">
      <alignment horizontal="right" vertical="center" wrapText="1"/>
    </xf>
    <xf numFmtId="171" fontId="0" fillId="0" borderId="21" xfId="1" applyNumberFormat="1" applyFont="1" applyBorder="1" applyAlignment="1"/>
    <xf numFmtId="171" fontId="0" fillId="0" borderId="20" xfId="1" applyNumberFormat="1" applyFont="1" applyFill="1" applyBorder="1"/>
    <xf numFmtId="0" fontId="13" fillId="0" borderId="69" xfId="0" applyFont="1" applyFill="1" applyBorder="1" applyAlignment="1">
      <alignment vertical="top" wrapText="1"/>
    </xf>
    <xf numFmtId="0" fontId="13" fillId="0" borderId="68" xfId="0" applyFont="1" applyFill="1" applyBorder="1" applyAlignment="1">
      <alignment vertical="top" wrapText="1"/>
    </xf>
    <xf numFmtId="165" fontId="13" fillId="0" borderId="69" xfId="0" applyNumberFormat="1" applyFont="1" applyFill="1" applyBorder="1" applyAlignment="1">
      <alignment horizontal="right" vertical="center" wrapText="1"/>
    </xf>
    <xf numFmtId="165" fontId="13" fillId="0" borderId="68" xfId="0" applyNumberFormat="1" applyFont="1" applyFill="1" applyBorder="1" applyAlignment="1">
      <alignment horizontal="right" vertical="center" wrapText="1"/>
    </xf>
    <xf numFmtId="165" fontId="13" fillId="0" borderId="44" xfId="0" applyNumberFormat="1" applyFont="1" applyFill="1" applyBorder="1" applyAlignment="1">
      <alignment horizontal="right" vertical="center" wrapText="1"/>
    </xf>
    <xf numFmtId="165" fontId="13" fillId="0" borderId="21" xfId="0" applyNumberFormat="1" applyFont="1" applyFill="1" applyBorder="1" applyAlignment="1">
      <alignment horizontal="right" vertical="center" wrapText="1"/>
    </xf>
    <xf numFmtId="2" fontId="0" fillId="0" borderId="71" xfId="0" applyNumberFormat="1" applyFont="1" applyFill="1" applyBorder="1"/>
    <xf numFmtId="2" fontId="0" fillId="0" borderId="39" xfId="0" applyNumberFormat="1" applyFont="1" applyFill="1" applyBorder="1"/>
    <xf numFmtId="165" fontId="13" fillId="0" borderId="39" xfId="0" applyNumberFormat="1" applyFont="1" applyFill="1" applyBorder="1" applyAlignment="1">
      <alignment horizontal="right" vertical="center" wrapText="1"/>
    </xf>
    <xf numFmtId="165" fontId="13" fillId="0" borderId="8" xfId="0" applyNumberFormat="1" applyFont="1" applyFill="1" applyBorder="1" applyAlignment="1">
      <alignment horizontal="right" vertical="center" wrapText="1"/>
    </xf>
    <xf numFmtId="2" fontId="12" fillId="0" borderId="66" xfId="0" applyNumberFormat="1" applyFont="1" applyBorder="1" applyAlignment="1">
      <alignment horizontal="right" vertical="center" wrapText="1"/>
    </xf>
    <xf numFmtId="2" fontId="0" fillId="0" borderId="66" xfId="0" applyNumberFormat="1" applyFont="1" applyFill="1" applyBorder="1"/>
    <xf numFmtId="2" fontId="0" fillId="0" borderId="69" xfId="0" applyNumberFormat="1" applyFont="1" applyFill="1" applyBorder="1"/>
    <xf numFmtId="165" fontId="14" fillId="0" borderId="69" xfId="0" applyNumberFormat="1" applyFont="1" applyFill="1" applyBorder="1" applyAlignment="1">
      <alignment horizontal="right" vertical="center" wrapText="1"/>
    </xf>
    <xf numFmtId="165" fontId="14" fillId="0" borderId="68" xfId="0" applyNumberFormat="1" applyFont="1" applyFill="1" applyBorder="1" applyAlignment="1">
      <alignment horizontal="right" vertical="center" wrapText="1"/>
    </xf>
    <xf numFmtId="165" fontId="24" fillId="0" borderId="69" xfId="0" applyNumberFormat="1" applyFont="1" applyFill="1" applyBorder="1" applyAlignment="1">
      <alignment horizontal="right" vertical="center" wrapText="1"/>
    </xf>
    <xf numFmtId="165" fontId="24" fillId="0" borderId="68" xfId="0" applyNumberFormat="1" applyFont="1" applyFill="1" applyBorder="1" applyAlignment="1">
      <alignment horizontal="right" vertical="center" wrapText="1"/>
    </xf>
    <xf numFmtId="0" fontId="12" fillId="0" borderId="15" xfId="0" applyFont="1" applyBorder="1" applyAlignment="1">
      <alignment vertical="center"/>
    </xf>
    <xf numFmtId="2" fontId="12" fillId="0" borderId="39" xfId="0" applyNumberFormat="1" applyFont="1" applyBorder="1" applyAlignment="1">
      <alignment horizontal="right" vertical="center"/>
    </xf>
    <xf numFmtId="2" fontId="12" fillId="0" borderId="70" xfId="0" applyNumberFormat="1" applyFont="1" applyBorder="1" applyAlignment="1">
      <alignment horizontal="right" vertical="center"/>
    </xf>
    <xf numFmtId="2" fontId="12" fillId="0" borderId="69" xfId="0" applyNumberFormat="1" applyFont="1" applyBorder="1" applyAlignment="1">
      <alignment horizontal="right" vertical="center"/>
    </xf>
    <xf numFmtId="2" fontId="12" fillId="0" borderId="65" xfId="0" applyNumberFormat="1" applyFont="1" applyBorder="1" applyAlignment="1">
      <alignment horizontal="right" vertical="center"/>
    </xf>
    <xf numFmtId="2" fontId="12" fillId="0" borderId="44" xfId="0" applyNumberFormat="1" applyFont="1" applyBorder="1" applyAlignment="1">
      <alignment horizontal="right" vertical="center"/>
    </xf>
    <xf numFmtId="2" fontId="12" fillId="0" borderId="67" xfId="0" applyNumberFormat="1" applyFont="1" applyBorder="1" applyAlignment="1">
      <alignment horizontal="right" vertical="center"/>
    </xf>
    <xf numFmtId="0" fontId="12" fillId="0" borderId="23" xfId="0" applyFont="1" applyBorder="1" applyAlignment="1">
      <alignment horizontal="justify" vertical="top" wrapText="1"/>
    </xf>
    <xf numFmtId="0" fontId="12" fillId="0" borderId="14" xfId="0" applyFont="1" applyBorder="1" applyAlignment="1">
      <alignment vertical="center"/>
    </xf>
    <xf numFmtId="0" fontId="12" fillId="0" borderId="13" xfId="0" applyFont="1" applyBorder="1" applyAlignment="1">
      <alignment horizontal="center" vertical="center"/>
    </xf>
    <xf numFmtId="0" fontId="2" fillId="0" borderId="15" xfId="0" applyFont="1" applyFill="1" applyBorder="1" applyAlignment="1">
      <alignment vertical="center" wrapText="1"/>
    </xf>
    <xf numFmtId="0" fontId="2" fillId="17" borderId="11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wrapText="1"/>
    </xf>
    <xf numFmtId="2" fontId="2" fillId="0" borderId="39" xfId="0" applyNumberFormat="1" applyFont="1" applyBorder="1" applyAlignment="1">
      <alignment horizontal="right" wrapText="1"/>
    </xf>
    <xf numFmtId="2" fontId="2" fillId="0" borderId="70" xfId="0" applyNumberFormat="1" applyFont="1" applyBorder="1" applyAlignment="1">
      <alignment horizontal="right" wrapText="1"/>
    </xf>
    <xf numFmtId="2" fontId="2" fillId="0" borderId="23" xfId="0" applyNumberFormat="1" applyFont="1" applyBorder="1" applyAlignment="1">
      <alignment horizontal="right" wrapText="1"/>
    </xf>
    <xf numFmtId="2" fontId="2" fillId="0" borderId="39" xfId="0" applyNumberFormat="1" applyFont="1" applyBorder="1" applyAlignment="1">
      <alignment horizontal="right" vertical="top" wrapText="1"/>
    </xf>
    <xf numFmtId="2" fontId="12" fillId="0" borderId="8" xfId="0" applyNumberFormat="1" applyFont="1" applyBorder="1" applyAlignment="1">
      <alignment horizontal="right"/>
    </xf>
    <xf numFmtId="0" fontId="12" fillId="0" borderId="39" xfId="0" applyFont="1" applyFill="1" applyBorder="1" applyAlignment="1">
      <alignment vertical="top" wrapText="1"/>
    </xf>
    <xf numFmtId="0" fontId="2" fillId="17" borderId="15" xfId="0" applyFont="1" applyFill="1" applyBorder="1" applyAlignment="1">
      <alignment vertical="center" wrapText="1"/>
    </xf>
    <xf numFmtId="0" fontId="2" fillId="0" borderId="25" xfId="0" applyFont="1" applyBorder="1" applyAlignment="1">
      <alignment wrapText="1"/>
    </xf>
    <xf numFmtId="2" fontId="2" fillId="0" borderId="69" xfId="0" applyNumberFormat="1" applyFont="1" applyBorder="1" applyAlignment="1">
      <alignment horizontal="right" wrapText="1"/>
    </xf>
    <xf numFmtId="2" fontId="2" fillId="0" borderId="65" xfId="0" applyNumberFormat="1" applyFont="1" applyBorder="1" applyAlignment="1">
      <alignment horizontal="right" wrapText="1"/>
    </xf>
    <xf numFmtId="2" fontId="2" fillId="0" borderId="25" xfId="0" applyNumberFormat="1" applyFont="1" applyBorder="1" applyAlignment="1">
      <alignment horizontal="right" wrapText="1"/>
    </xf>
    <xf numFmtId="2" fontId="2" fillId="0" borderId="69" xfId="0" applyNumberFormat="1" applyFont="1" applyBorder="1" applyAlignment="1">
      <alignment horizontal="right" vertical="top" wrapText="1"/>
    </xf>
    <xf numFmtId="2" fontId="12" fillId="0" borderId="68" xfId="0" applyNumberFormat="1" applyFont="1" applyBorder="1" applyAlignment="1">
      <alignment horizontal="right"/>
    </xf>
    <xf numFmtId="0" fontId="4" fillId="0" borderId="69" xfId="0" applyFont="1" applyFill="1" applyBorder="1" applyAlignment="1">
      <alignment horizontal="center" wrapText="1"/>
    </xf>
    <xf numFmtId="0" fontId="2" fillId="17" borderId="14" xfId="0" applyFont="1" applyFill="1" applyBorder="1" applyAlignment="1">
      <alignment vertical="center" wrapText="1"/>
    </xf>
    <xf numFmtId="0" fontId="12" fillId="17" borderId="13" xfId="0" applyFont="1" applyFill="1" applyBorder="1" applyAlignment="1">
      <alignment horizontal="center" vertical="center"/>
    </xf>
    <xf numFmtId="0" fontId="2" fillId="0" borderId="20" xfId="0" applyFont="1" applyBorder="1" applyAlignment="1">
      <alignment wrapText="1"/>
    </xf>
    <xf numFmtId="2" fontId="2" fillId="0" borderId="44" xfId="0" applyNumberFormat="1" applyFont="1" applyBorder="1" applyAlignment="1">
      <alignment horizontal="right" wrapText="1"/>
    </xf>
    <xf numFmtId="2" fontId="2" fillId="0" borderId="67" xfId="0" applyNumberFormat="1" applyFont="1" applyBorder="1" applyAlignment="1">
      <alignment horizontal="right" wrapText="1"/>
    </xf>
    <xf numFmtId="2" fontId="2" fillId="0" borderId="20" xfId="0" applyNumberFormat="1" applyFont="1" applyBorder="1" applyAlignment="1">
      <alignment horizontal="right" wrapText="1"/>
    </xf>
    <xf numFmtId="2" fontId="2" fillId="0" borderId="44" xfId="0" applyNumberFormat="1" applyFont="1" applyBorder="1" applyAlignment="1">
      <alignment horizontal="right" vertical="top" wrapText="1"/>
    </xf>
    <xf numFmtId="2" fontId="12" fillId="0" borderId="21" xfId="0" applyNumberFormat="1" applyFont="1" applyBorder="1" applyAlignment="1">
      <alignment horizontal="right"/>
    </xf>
    <xf numFmtId="0" fontId="4" fillId="0" borderId="44" xfId="0" applyFont="1" applyFill="1" applyBorder="1" applyAlignment="1">
      <alignment horizontal="center" wrapText="1"/>
    </xf>
    <xf numFmtId="2" fontId="11" fillId="0" borderId="44" xfId="0" applyNumberFormat="1" applyFont="1" applyFill="1" applyBorder="1" applyAlignment="1">
      <alignment horizontal="right" vertical="top" wrapText="1"/>
    </xf>
    <xf numFmtId="0" fontId="12" fillId="0" borderId="11" xfId="0" applyFont="1" applyFill="1" applyBorder="1" applyAlignment="1">
      <alignment horizontal="center" vertical="center"/>
    </xf>
    <xf numFmtId="0" fontId="4" fillId="0" borderId="39" xfId="0" applyFont="1" applyFill="1" applyBorder="1" applyAlignment="1">
      <alignment horizontal="center" wrapText="1"/>
    </xf>
    <xf numFmtId="0" fontId="2" fillId="0" borderId="14" xfId="0" applyFont="1" applyFill="1" applyBorder="1" applyAlignment="1">
      <alignment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15" fillId="0" borderId="44" xfId="0" applyFont="1" applyFill="1" applyBorder="1" applyAlignment="1">
      <alignment horizontal="center" vertical="top" wrapText="1"/>
    </xf>
    <xf numFmtId="0" fontId="0" fillId="0" borderId="11" xfId="0" applyFill="1" applyBorder="1" applyAlignment="1">
      <alignment horizontal="center" vertical="center"/>
    </xf>
    <xf numFmtId="0" fontId="2" fillId="3" borderId="15" xfId="0" applyFont="1" applyFill="1" applyBorder="1" applyAlignment="1">
      <alignment vertical="center" wrapText="1"/>
    </xf>
    <xf numFmtId="0" fontId="2" fillId="3" borderId="25" xfId="0" applyFont="1" applyFill="1" applyBorder="1" applyAlignment="1">
      <alignment wrapText="1"/>
    </xf>
    <xf numFmtId="2" fontId="2" fillId="3" borderId="69" xfId="0" applyNumberFormat="1" applyFont="1" applyFill="1" applyBorder="1" applyAlignment="1">
      <alignment horizontal="right" wrapText="1"/>
    </xf>
    <xf numFmtId="2" fontId="2" fillId="3" borderId="65" xfId="0" applyNumberFormat="1" applyFont="1" applyFill="1" applyBorder="1" applyAlignment="1">
      <alignment horizontal="right" wrapText="1"/>
    </xf>
    <xf numFmtId="2" fontId="2" fillId="3" borderId="25" xfId="0" applyNumberFormat="1" applyFont="1" applyFill="1" applyBorder="1" applyAlignment="1">
      <alignment horizontal="right" wrapText="1"/>
    </xf>
    <xf numFmtId="2" fontId="2" fillId="3" borderId="69" xfId="0" applyNumberFormat="1" applyFont="1" applyFill="1" applyBorder="1" applyAlignment="1">
      <alignment horizontal="right" vertical="top" wrapText="1"/>
    </xf>
    <xf numFmtId="2" fontId="12" fillId="3" borderId="69" xfId="0" applyNumberFormat="1" applyFont="1" applyFill="1" applyBorder="1" applyAlignment="1">
      <alignment horizontal="right"/>
    </xf>
    <xf numFmtId="2" fontId="12" fillId="3" borderId="68" xfId="0" applyNumberFormat="1" applyFont="1" applyFill="1" applyBorder="1" applyAlignment="1">
      <alignment horizontal="right"/>
    </xf>
    <xf numFmtId="0" fontId="2" fillId="0" borderId="11" xfId="0" applyFont="1" applyFill="1" applyBorder="1" applyAlignment="1">
      <alignment horizontal="center" vertical="center" wrapText="1"/>
    </xf>
    <xf numFmtId="2" fontId="2" fillId="0" borderId="23" xfId="0" applyNumberFormat="1" applyFont="1" applyBorder="1" applyAlignment="1">
      <alignment horizontal="right" vertical="top" wrapText="1"/>
    </xf>
    <xf numFmtId="2" fontId="2" fillId="0" borderId="25" xfId="0" applyNumberFormat="1" applyFont="1" applyBorder="1" applyAlignment="1">
      <alignment horizontal="right" vertical="top" wrapText="1"/>
    </xf>
    <xf numFmtId="2" fontId="2" fillId="0" borderId="20" xfId="0" applyNumberFormat="1" applyFont="1" applyBorder="1" applyAlignment="1">
      <alignment horizontal="right" vertical="top" wrapText="1"/>
    </xf>
    <xf numFmtId="0" fontId="2" fillId="0" borderId="23" xfId="0" applyFont="1" applyBorder="1" applyAlignment="1">
      <alignment vertical="top" wrapText="1"/>
    </xf>
    <xf numFmtId="2" fontId="2" fillId="0" borderId="70" xfId="0" applyNumberFormat="1" applyFont="1" applyBorder="1" applyAlignment="1">
      <alignment horizontal="right" vertical="top" wrapText="1"/>
    </xf>
    <xf numFmtId="0" fontId="2" fillId="0" borderId="25" xfId="0" applyFont="1" applyBorder="1" applyAlignment="1">
      <alignment vertical="top" wrapText="1"/>
    </xf>
    <xf numFmtId="2" fontId="2" fillId="0" borderId="65" xfId="0" applyNumberFormat="1" applyFont="1" applyBorder="1" applyAlignment="1">
      <alignment horizontal="right" vertical="top" wrapText="1"/>
    </xf>
    <xf numFmtId="0" fontId="2" fillId="0" borderId="20" xfId="0" applyFont="1" applyBorder="1" applyAlignment="1">
      <alignment vertical="top" wrapText="1"/>
    </xf>
    <xf numFmtId="2" fontId="2" fillId="0" borderId="67" xfId="0" applyNumberFormat="1" applyFont="1" applyBorder="1" applyAlignment="1">
      <alignment horizontal="right" vertical="top" wrapText="1"/>
    </xf>
    <xf numFmtId="0" fontId="12" fillId="0" borderId="44" xfId="0" applyFont="1" applyFill="1" applyBorder="1" applyAlignment="1">
      <alignment vertical="top" wrapText="1"/>
    </xf>
    <xf numFmtId="0" fontId="4" fillId="0" borderId="69" xfId="0" applyFont="1" applyFill="1" applyBorder="1" applyAlignment="1">
      <alignment horizontal="center" vertical="top" wrapText="1"/>
    </xf>
    <xf numFmtId="0" fontId="11" fillId="0" borderId="69" xfId="0" applyFont="1" applyFill="1" applyBorder="1"/>
    <xf numFmtId="2" fontId="0" fillId="0" borderId="25" xfId="0" applyNumberFormat="1" applyFont="1" applyFill="1" applyBorder="1"/>
    <xf numFmtId="0" fontId="0" fillId="0" borderId="23" xfId="0" applyBorder="1"/>
    <xf numFmtId="2" fontId="2" fillId="0" borderId="68" xfId="0" applyNumberFormat="1" applyFont="1" applyBorder="1" applyAlignment="1">
      <alignment horizontal="right" vertical="top" wrapText="1"/>
    </xf>
    <xf numFmtId="2" fontId="2" fillId="0" borderId="21" xfId="0" applyNumberFormat="1" applyFont="1" applyBorder="1" applyAlignment="1">
      <alignment horizontal="right" vertical="top" wrapText="1"/>
    </xf>
    <xf numFmtId="0" fontId="2" fillId="0" borderId="23" xfId="0" applyFont="1" applyBorder="1" applyAlignment="1">
      <alignment vertical="top"/>
    </xf>
    <xf numFmtId="2" fontId="2" fillId="0" borderId="39" xfId="0" applyNumberFormat="1" applyFont="1" applyBorder="1" applyAlignment="1">
      <alignment horizontal="right"/>
    </xf>
    <xf numFmtId="2" fontId="2" fillId="0" borderId="70" xfId="0" applyNumberFormat="1" applyFont="1" applyBorder="1" applyAlignment="1">
      <alignment horizontal="right"/>
    </xf>
    <xf numFmtId="0" fontId="2" fillId="0" borderId="25" xfId="0" applyFont="1" applyBorder="1" applyAlignment="1">
      <alignment vertical="top"/>
    </xf>
    <xf numFmtId="2" fontId="2" fillId="0" borderId="69" xfId="0" applyNumberFormat="1" applyFont="1" applyBorder="1" applyAlignment="1">
      <alignment horizontal="right"/>
    </xf>
    <xf numFmtId="2" fontId="2" fillId="0" borderId="65" xfId="0" applyNumberFormat="1" applyFont="1" applyBorder="1" applyAlignment="1">
      <alignment horizontal="right"/>
    </xf>
    <xf numFmtId="2" fontId="2" fillId="0" borderId="25" xfId="0" applyNumberFormat="1" applyFont="1" applyBorder="1" applyAlignment="1">
      <alignment horizontal="right"/>
    </xf>
    <xf numFmtId="2" fontId="12" fillId="0" borderId="69" xfId="0" applyNumberFormat="1" applyFont="1" applyFill="1" applyBorder="1" applyAlignment="1">
      <alignment horizontal="center" wrapText="1"/>
    </xf>
    <xf numFmtId="0" fontId="2" fillId="0" borderId="20" xfId="0" applyFont="1" applyBorder="1" applyAlignment="1">
      <alignment vertical="top"/>
    </xf>
    <xf numFmtId="2" fontId="2" fillId="0" borderId="44" xfId="0" applyNumberFormat="1" applyFont="1" applyBorder="1" applyAlignment="1">
      <alignment horizontal="right"/>
    </xf>
    <xf numFmtId="2" fontId="2" fillId="0" borderId="67" xfId="0" applyNumberFormat="1" applyFont="1" applyBorder="1" applyAlignment="1">
      <alignment horizontal="right"/>
    </xf>
    <xf numFmtId="2" fontId="2" fillId="0" borderId="20" xfId="0" applyNumberFormat="1" applyFont="1" applyBorder="1" applyAlignment="1">
      <alignment horizontal="right"/>
    </xf>
    <xf numFmtId="2" fontId="11" fillId="0" borderId="21" xfId="0" applyNumberFormat="1" applyFont="1" applyFill="1" applyBorder="1" applyAlignment="1">
      <alignment horizontal="right" vertical="top" wrapText="1"/>
    </xf>
    <xf numFmtId="0" fontId="2" fillId="0" borderId="23" xfId="0" applyFont="1" applyBorder="1" applyAlignment="1">
      <alignment horizontal="justify" vertical="top" wrapText="1"/>
    </xf>
    <xf numFmtId="2" fontId="0" fillId="0" borderId="23" xfId="0" applyNumberFormat="1" applyFont="1" applyFill="1" applyBorder="1"/>
    <xf numFmtId="0" fontId="2" fillId="0" borderId="25" xfId="0" applyFont="1" applyBorder="1" applyAlignment="1">
      <alignment horizontal="justify" vertical="top" wrapText="1"/>
    </xf>
    <xf numFmtId="0" fontId="2" fillId="0" borderId="20" xfId="0" applyFont="1" applyBorder="1" applyAlignment="1">
      <alignment horizontal="justify" vertical="top" wrapText="1"/>
    </xf>
    <xf numFmtId="2" fontId="0" fillId="0" borderId="20" xfId="0" applyNumberFormat="1" applyFont="1" applyFill="1" applyBorder="1"/>
    <xf numFmtId="2" fontId="0" fillId="0" borderId="44" xfId="0" applyNumberFormat="1" applyFont="1" applyFill="1" applyBorder="1"/>
    <xf numFmtId="0" fontId="3" fillId="13" borderId="0" xfId="0" applyFont="1" applyFill="1" applyBorder="1" applyAlignment="1">
      <alignment vertical="center"/>
    </xf>
    <xf numFmtId="0" fontId="3" fillId="13" borderId="0" xfId="0" applyFont="1" applyFill="1" applyBorder="1" applyAlignment="1">
      <alignment horizontal="center" vertical="center"/>
    </xf>
    <xf numFmtId="0" fontId="3" fillId="13" borderId="12" xfId="0" applyFont="1" applyFill="1" applyBorder="1" applyAlignment="1">
      <alignment vertical="center"/>
    </xf>
    <xf numFmtId="0" fontId="3" fillId="13" borderId="17" xfId="0" applyFont="1" applyFill="1" applyBorder="1" applyAlignment="1">
      <alignment horizontal="center" vertical="center"/>
    </xf>
    <xf numFmtId="0" fontId="16" fillId="13" borderId="73" xfId="0" applyFont="1" applyFill="1" applyBorder="1" applyAlignment="1">
      <alignment vertical="center"/>
    </xf>
    <xf numFmtId="0" fontId="16" fillId="13" borderId="73" xfId="0" applyFont="1" applyFill="1" applyBorder="1" applyAlignment="1">
      <alignment horizontal="center" vertical="center"/>
    </xf>
    <xf numFmtId="0" fontId="16" fillId="11" borderId="73" xfId="0" applyFont="1" applyFill="1" applyBorder="1" applyAlignment="1">
      <alignment vertical="center"/>
    </xf>
    <xf numFmtId="0" fontId="16" fillId="11" borderId="73" xfId="0" applyFont="1" applyFill="1" applyBorder="1" applyAlignment="1">
      <alignment horizontal="center" vertical="center"/>
    </xf>
    <xf numFmtId="0" fontId="2" fillId="11" borderId="72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4" xfId="0" applyFont="1" applyBorder="1" applyAlignment="1">
      <alignment vertical="center" wrapText="1"/>
    </xf>
    <xf numFmtId="0" fontId="23" fillId="0" borderId="71" xfId="0" applyFont="1" applyFill="1" applyBorder="1"/>
    <xf numFmtId="0" fontId="23" fillId="0" borderId="39" xfId="0" applyFont="1" applyFill="1" applyBorder="1"/>
    <xf numFmtId="2" fontId="12" fillId="0" borderId="8" xfId="0" applyNumberFormat="1" applyFont="1" applyBorder="1" applyAlignment="1"/>
    <xf numFmtId="2" fontId="12" fillId="0" borderId="68" xfId="0" applyNumberFormat="1" applyFont="1" applyBorder="1" applyAlignment="1"/>
    <xf numFmtId="2" fontId="12" fillId="0" borderId="21" xfId="0" applyNumberFormat="1" applyFont="1" applyBorder="1" applyAlignment="1"/>
    <xf numFmtId="0" fontId="2" fillId="0" borderId="15" xfId="0" applyFont="1" applyBorder="1" applyAlignment="1">
      <alignment vertical="center"/>
    </xf>
    <xf numFmtId="0" fontId="2" fillId="0" borderId="14" xfId="0" applyFont="1" applyBorder="1" applyAlignment="1">
      <alignment vertical="center"/>
    </xf>
    <xf numFmtId="0" fontId="2" fillId="0" borderId="13" xfId="0" applyFont="1" applyBorder="1" applyAlignment="1">
      <alignment horizontal="center" vertical="center"/>
    </xf>
    <xf numFmtId="0" fontId="3" fillId="11" borderId="0" xfId="0" applyFont="1" applyFill="1" applyBorder="1" applyAlignment="1">
      <alignment horizontal="left" vertical="center"/>
    </xf>
    <xf numFmtId="0" fontId="4" fillId="0" borderId="68" xfId="0" applyFont="1" applyFill="1" applyBorder="1" applyAlignment="1">
      <alignment vertical="top" wrapText="1"/>
    </xf>
    <xf numFmtId="0" fontId="4" fillId="0" borderId="68" xfId="0" applyFont="1" applyFill="1" applyBorder="1" applyAlignment="1">
      <alignment horizontal="center" wrapText="1"/>
    </xf>
    <xf numFmtId="0" fontId="4" fillId="0" borderId="68" xfId="0" applyFont="1" applyFill="1" applyBorder="1" applyAlignment="1">
      <alignment horizontal="center" vertical="top" wrapText="1"/>
    </xf>
    <xf numFmtId="0" fontId="4" fillId="0" borderId="21" xfId="0" applyFont="1" applyFill="1" applyBorder="1" applyAlignment="1">
      <alignment horizontal="center" vertical="top" wrapText="1"/>
    </xf>
    <xf numFmtId="0" fontId="15" fillId="0" borderId="8" xfId="0" applyFont="1" applyFill="1" applyBorder="1" applyAlignment="1">
      <alignment horizontal="center" vertical="top" wrapText="1"/>
    </xf>
    <xf numFmtId="0" fontId="23" fillId="0" borderId="68" xfId="0" applyFont="1" applyFill="1" applyBorder="1"/>
    <xf numFmtId="0" fontId="15" fillId="0" borderId="8" xfId="0" applyFont="1" applyFill="1" applyBorder="1" applyAlignment="1">
      <alignment horizontal="left" vertical="top" wrapText="1" indent="2"/>
    </xf>
    <xf numFmtId="0" fontId="15" fillId="0" borderId="68" xfId="0" applyFont="1" applyFill="1" applyBorder="1" applyAlignment="1">
      <alignment horizontal="left" vertical="top" wrapText="1" indent="2"/>
    </xf>
    <xf numFmtId="0" fontId="4" fillId="0" borderId="68" xfId="0" applyFont="1" applyFill="1" applyBorder="1"/>
    <xf numFmtId="0" fontId="4" fillId="0" borderId="21" xfId="0" applyFont="1" applyFill="1" applyBorder="1"/>
    <xf numFmtId="0" fontId="4" fillId="0" borderId="8" xfId="0" applyFont="1" applyFill="1" applyBorder="1"/>
    <xf numFmtId="0" fontId="15" fillId="0" borderId="68" xfId="0" applyFont="1" applyFill="1" applyBorder="1" applyAlignment="1">
      <alignment horizontal="center" vertical="top" wrapText="1"/>
    </xf>
    <xf numFmtId="166" fontId="0" fillId="0" borderId="23" xfId="0" applyNumberFormat="1" applyFill="1" applyBorder="1"/>
    <xf numFmtId="166" fontId="0" fillId="0" borderId="25" xfId="0" applyNumberFormat="1" applyFill="1" applyBorder="1"/>
    <xf numFmtId="166" fontId="0" fillId="0" borderId="20" xfId="0" applyNumberFormat="1" applyFill="1" applyBorder="1"/>
    <xf numFmtId="0" fontId="12" fillId="11" borderId="73" xfId="0" applyFont="1" applyFill="1" applyBorder="1" applyAlignment="1">
      <alignment horizontal="center" vertical="center" wrapText="1"/>
    </xf>
    <xf numFmtId="0" fontId="12" fillId="11" borderId="73" xfId="0" applyFont="1" applyFill="1" applyBorder="1" applyAlignment="1">
      <alignment horizontal="right" wrapText="1"/>
    </xf>
    <xf numFmtId="0" fontId="0" fillId="11" borderId="73" xfId="0" applyFont="1" applyFill="1" applyBorder="1" applyAlignment="1">
      <alignment horizontal="right" vertical="center"/>
    </xf>
    <xf numFmtId="2" fontId="12" fillId="0" borderId="39" xfId="0" applyNumberFormat="1" applyFont="1" applyBorder="1" applyAlignment="1">
      <alignment horizontal="center" wrapText="1"/>
    </xf>
    <xf numFmtId="2" fontId="12" fillId="0" borderId="70" xfId="0" applyNumberFormat="1" applyFont="1" applyBorder="1" applyAlignment="1">
      <alignment horizontal="center" wrapText="1"/>
    </xf>
    <xf numFmtId="2" fontId="12" fillId="0" borderId="23" xfId="0" applyNumberFormat="1" applyFont="1" applyBorder="1" applyAlignment="1">
      <alignment horizontal="center" wrapText="1"/>
    </xf>
    <xf numFmtId="166" fontId="12" fillId="0" borderId="39" xfId="0" applyNumberFormat="1" applyFont="1" applyBorder="1" applyAlignment="1">
      <alignment horizontal="right" vertical="top" wrapText="1"/>
    </xf>
    <xf numFmtId="166" fontId="12" fillId="0" borderId="39" xfId="0" applyNumberFormat="1" applyFont="1" applyBorder="1" applyAlignment="1">
      <alignment horizontal="right"/>
    </xf>
    <xf numFmtId="166" fontId="12" fillId="0" borderId="8" xfId="0" applyNumberFormat="1" applyFont="1" applyBorder="1" applyAlignment="1"/>
    <xf numFmtId="2" fontId="12" fillId="0" borderId="69" xfId="0" applyNumberFormat="1" applyFont="1" applyBorder="1" applyAlignment="1">
      <alignment horizontal="center" wrapText="1"/>
    </xf>
    <xf numFmtId="2" fontId="12" fillId="0" borderId="65" xfId="0" applyNumberFormat="1" applyFont="1" applyBorder="1" applyAlignment="1">
      <alignment horizontal="center" wrapText="1"/>
    </xf>
    <xf numFmtId="2" fontId="12" fillId="0" borderId="25" xfId="0" applyNumberFormat="1" applyFont="1" applyBorder="1" applyAlignment="1">
      <alignment horizontal="center" wrapText="1"/>
    </xf>
    <xf numFmtId="166" fontId="12" fillId="0" borderId="69" xfId="0" applyNumberFormat="1" applyFont="1" applyBorder="1" applyAlignment="1">
      <alignment horizontal="right" vertical="top" wrapText="1"/>
    </xf>
    <xf numFmtId="166" fontId="12" fillId="0" borderId="69" xfId="0" applyNumberFormat="1" applyFont="1" applyBorder="1" applyAlignment="1">
      <alignment horizontal="right"/>
    </xf>
    <xf numFmtId="166" fontId="12" fillId="0" borderId="68" xfId="0" applyNumberFormat="1" applyFont="1" applyBorder="1" applyAlignment="1"/>
    <xf numFmtId="2" fontId="0" fillId="0" borderId="69" xfId="0" applyNumberFormat="1" applyFont="1" applyFill="1" applyBorder="1" applyAlignment="1">
      <alignment horizontal="center" wrapText="1"/>
    </xf>
    <xf numFmtId="2" fontId="13" fillId="0" borderId="69" xfId="0" applyNumberFormat="1" applyFont="1" applyFill="1" applyBorder="1" applyAlignment="1">
      <alignment horizontal="center" wrapText="1"/>
    </xf>
    <xf numFmtId="2" fontId="26" fillId="0" borderId="69" xfId="0" applyNumberFormat="1" applyFont="1" applyFill="1" applyBorder="1" applyAlignment="1">
      <alignment horizontal="center" wrapText="1"/>
    </xf>
    <xf numFmtId="2" fontId="12" fillId="0" borderId="44" xfId="0" applyNumberFormat="1" applyFont="1" applyBorder="1" applyAlignment="1">
      <alignment horizontal="center" wrapText="1"/>
    </xf>
    <xf numFmtId="2" fontId="12" fillId="0" borderId="67" xfId="0" applyNumberFormat="1" applyFont="1" applyBorder="1" applyAlignment="1">
      <alignment horizontal="center" wrapText="1"/>
    </xf>
    <xf numFmtId="2" fontId="12" fillId="0" borderId="20" xfId="0" applyNumberFormat="1" applyFont="1" applyBorder="1" applyAlignment="1">
      <alignment horizontal="center" wrapText="1"/>
    </xf>
    <xf numFmtId="166" fontId="12" fillId="0" borderId="44" xfId="0" applyNumberFormat="1" applyFont="1" applyBorder="1" applyAlignment="1">
      <alignment horizontal="right" vertical="top" wrapText="1"/>
    </xf>
    <xf numFmtId="166" fontId="12" fillId="0" borderId="44" xfId="0" applyNumberFormat="1" applyFont="1" applyBorder="1" applyAlignment="1">
      <alignment horizontal="right"/>
    </xf>
    <xf numFmtId="166" fontId="12" fillId="0" borderId="21" xfId="0" applyNumberFormat="1" applyFont="1" applyBorder="1" applyAlignment="1"/>
    <xf numFmtId="2" fontId="26" fillId="0" borderId="44" xfId="0" applyNumberFormat="1" applyFont="1" applyFill="1" applyBorder="1" applyAlignment="1">
      <alignment horizontal="center" wrapText="1"/>
    </xf>
    <xf numFmtId="2" fontId="13" fillId="0" borderId="39" xfId="0" applyNumberFormat="1" applyFont="1" applyFill="1" applyBorder="1" applyAlignment="1">
      <alignment horizontal="center" wrapText="1"/>
    </xf>
    <xf numFmtId="2" fontId="26" fillId="0" borderId="39" xfId="0" applyNumberFormat="1" applyFont="1" applyFill="1" applyBorder="1" applyAlignment="1">
      <alignment horizontal="center" wrapText="1"/>
    </xf>
    <xf numFmtId="2" fontId="0" fillId="0" borderId="69" xfId="0" applyNumberFormat="1" applyFont="1" applyFill="1" applyBorder="1" applyAlignment="1">
      <alignment wrapText="1"/>
    </xf>
    <xf numFmtId="166" fontId="12" fillId="0" borderId="70" xfId="0" applyNumberFormat="1" applyFont="1" applyBorder="1" applyAlignment="1">
      <alignment horizontal="right"/>
    </xf>
    <xf numFmtId="2" fontId="0" fillId="0" borderId="39" xfId="0" applyNumberFormat="1" applyFont="1" applyFill="1" applyBorder="1" applyAlignment="1">
      <alignment horizontal="center" vertical="center"/>
    </xf>
    <xf numFmtId="166" fontId="12" fillId="0" borderId="65" xfId="0" applyNumberFormat="1" applyFont="1" applyBorder="1" applyAlignment="1">
      <alignment horizontal="right"/>
    </xf>
    <xf numFmtId="166" fontId="12" fillId="0" borderId="44" xfId="0" applyNumberFormat="1" applyFont="1" applyBorder="1" applyAlignment="1">
      <alignment horizontal="right" wrapText="1"/>
    </xf>
    <xf numFmtId="166" fontId="12" fillId="0" borderId="67" xfId="0" applyNumberFormat="1" applyFont="1" applyBorder="1" applyAlignment="1">
      <alignment horizontal="right"/>
    </xf>
    <xf numFmtId="2" fontId="12" fillId="0" borderId="23" xfId="0" applyNumberFormat="1" applyFont="1" applyBorder="1" applyAlignment="1">
      <alignment horizontal="center" vertical="top" wrapText="1"/>
    </xf>
    <xf numFmtId="2" fontId="12" fillId="0" borderId="25" xfId="0" applyNumberFormat="1" applyFont="1" applyBorder="1" applyAlignment="1">
      <alignment horizontal="center" vertical="top" wrapText="1"/>
    </xf>
    <xf numFmtId="2" fontId="12" fillId="0" borderId="20" xfId="0" applyNumberFormat="1" applyFont="1" applyBorder="1" applyAlignment="1">
      <alignment horizontal="center" vertical="top" wrapText="1"/>
    </xf>
    <xf numFmtId="2" fontId="12" fillId="0" borderId="39" xfId="0" applyNumberFormat="1" applyFont="1" applyBorder="1" applyAlignment="1">
      <alignment horizontal="center" vertical="top" wrapText="1"/>
    </xf>
    <xf numFmtId="2" fontId="12" fillId="0" borderId="70" xfId="0" applyNumberFormat="1" applyFont="1" applyBorder="1" applyAlignment="1">
      <alignment horizontal="center" vertical="top" wrapText="1"/>
    </xf>
    <xf numFmtId="2" fontId="12" fillId="0" borderId="69" xfId="0" applyNumberFormat="1" applyFont="1" applyBorder="1" applyAlignment="1">
      <alignment horizontal="center" vertical="top" wrapText="1"/>
    </xf>
    <xf numFmtId="2" fontId="12" fillId="0" borderId="65" xfId="0" applyNumberFormat="1" applyFont="1" applyBorder="1" applyAlignment="1">
      <alignment horizontal="center" vertical="top" wrapText="1"/>
    </xf>
    <xf numFmtId="2" fontId="12" fillId="0" borderId="44" xfId="0" applyNumberFormat="1" applyFont="1" applyBorder="1" applyAlignment="1">
      <alignment horizontal="center" vertical="top" wrapText="1"/>
    </xf>
    <xf numFmtId="2" fontId="12" fillId="0" borderId="67" xfId="0" applyNumberFormat="1" applyFont="1" applyBorder="1" applyAlignment="1">
      <alignment horizontal="center" vertical="top" wrapText="1"/>
    </xf>
    <xf numFmtId="2" fontId="0" fillId="0" borderId="23" xfId="0" applyNumberFormat="1" applyFill="1" applyBorder="1" applyAlignment="1">
      <alignment horizontal="right"/>
    </xf>
    <xf numFmtId="2" fontId="0" fillId="0" borderId="25" xfId="0" applyNumberFormat="1" applyFill="1" applyBorder="1" applyAlignment="1">
      <alignment horizontal="right"/>
    </xf>
    <xf numFmtId="2" fontId="0" fillId="0" borderId="69" xfId="0" applyNumberFormat="1" applyFill="1" applyBorder="1" applyAlignment="1"/>
    <xf numFmtId="0" fontId="13" fillId="0" borderId="69" xfId="0" applyFont="1" applyFill="1" applyBorder="1" applyAlignment="1">
      <alignment wrapText="1"/>
    </xf>
    <xf numFmtId="0" fontId="0" fillId="0" borderId="69" xfId="0" applyFill="1" applyBorder="1" applyAlignment="1"/>
    <xf numFmtId="0" fontId="0" fillId="0" borderId="68" xfId="0" applyFill="1" applyBorder="1" applyAlignment="1"/>
    <xf numFmtId="2" fontId="0" fillId="0" borderId="69" xfId="0" applyNumberFormat="1" applyFont="1" applyFill="1" applyBorder="1" applyAlignment="1">
      <alignment horizontal="right" wrapText="1"/>
    </xf>
    <xf numFmtId="0" fontId="13" fillId="0" borderId="69" xfId="0" applyFont="1" applyFill="1" applyBorder="1" applyAlignment="1">
      <alignment horizontal="center" wrapText="1"/>
    </xf>
    <xf numFmtId="2" fontId="0" fillId="0" borderId="20" xfId="0" applyNumberFormat="1" applyFill="1" applyBorder="1" applyAlignment="1">
      <alignment horizontal="right"/>
    </xf>
    <xf numFmtId="0" fontId="13" fillId="0" borderId="44" xfId="0" applyFont="1" applyFill="1" applyBorder="1" applyAlignment="1">
      <alignment horizontal="center" vertical="top" wrapText="1"/>
    </xf>
    <xf numFmtId="0" fontId="13" fillId="0" borderId="39" xfId="0" applyFont="1" applyFill="1" applyBorder="1" applyAlignment="1">
      <alignment horizontal="center" vertical="top" wrapText="1"/>
    </xf>
    <xf numFmtId="0" fontId="13" fillId="0" borderId="69" xfId="0" applyFont="1" applyFill="1" applyBorder="1" applyAlignment="1">
      <alignment horizontal="center" vertical="top" wrapText="1"/>
    </xf>
    <xf numFmtId="0" fontId="14" fillId="0" borderId="69" xfId="0" applyFont="1" applyFill="1" applyBorder="1" applyAlignment="1">
      <alignment horizontal="center" vertical="top" wrapText="1"/>
    </xf>
    <xf numFmtId="2" fontId="12" fillId="0" borderId="69" xfId="0" applyNumberFormat="1" applyFont="1" applyFill="1" applyBorder="1" applyAlignment="1">
      <alignment horizontal="center" vertical="center"/>
    </xf>
    <xf numFmtId="0" fontId="12" fillId="0" borderId="69" xfId="0" applyFont="1" applyFill="1" applyBorder="1" applyAlignment="1">
      <alignment horizontal="center" vertical="center"/>
    </xf>
    <xf numFmtId="166" fontId="25" fillId="0" borderId="23" xfId="0" applyNumberFormat="1" applyFont="1" applyFill="1" applyBorder="1"/>
    <xf numFmtId="166" fontId="25" fillId="0" borderId="39" xfId="0" applyNumberFormat="1" applyFont="1" applyFill="1" applyBorder="1"/>
    <xf numFmtId="0" fontId="13" fillId="0" borderId="39" xfId="0" applyFont="1" applyFill="1" applyBorder="1" applyAlignment="1">
      <alignment horizontal="center" vertical="center" wrapText="1"/>
    </xf>
    <xf numFmtId="0" fontId="13" fillId="0" borderId="8" xfId="0" applyFont="1" applyFill="1" applyBorder="1" applyAlignment="1">
      <alignment horizontal="center" vertical="center" wrapText="1"/>
    </xf>
    <xf numFmtId="166" fontId="25" fillId="0" borderId="25" xfId="0" applyNumberFormat="1" applyFont="1" applyFill="1" applyBorder="1"/>
    <xf numFmtId="166" fontId="25" fillId="0" borderId="69" xfId="0" applyNumberFormat="1" applyFont="1" applyFill="1" applyBorder="1"/>
    <xf numFmtId="0" fontId="13" fillId="0" borderId="69" xfId="0" applyFont="1" applyFill="1" applyBorder="1" applyAlignment="1">
      <alignment horizontal="center" vertical="center" wrapText="1"/>
    </xf>
    <xf numFmtId="0" fontId="13" fillId="0" borderId="68" xfId="0" applyFont="1" applyFill="1" applyBorder="1" applyAlignment="1">
      <alignment horizontal="center" vertical="center" wrapText="1"/>
    </xf>
    <xf numFmtId="0" fontId="13" fillId="0" borderId="69" xfId="0" applyFont="1" applyFill="1" applyBorder="1" applyAlignment="1">
      <alignment horizontal="center" vertical="center"/>
    </xf>
    <xf numFmtId="0" fontId="13" fillId="0" borderId="68" xfId="0" applyFont="1" applyFill="1" applyBorder="1" applyAlignment="1">
      <alignment horizontal="center" vertical="center"/>
    </xf>
    <xf numFmtId="166" fontId="25" fillId="0" borderId="20" xfId="0" applyNumberFormat="1" applyFont="1" applyFill="1" applyBorder="1"/>
    <xf numFmtId="166" fontId="25" fillId="0" borderId="44" xfId="0" applyNumberFormat="1" applyFont="1" applyFill="1" applyBorder="1"/>
    <xf numFmtId="0" fontId="13" fillId="0" borderId="44" xfId="0" applyFont="1" applyFill="1" applyBorder="1" applyAlignment="1">
      <alignment horizontal="center" vertical="center"/>
    </xf>
    <xf numFmtId="0" fontId="13" fillId="0" borderId="21" xfId="0" applyFont="1" applyFill="1" applyBorder="1" applyAlignment="1">
      <alignment horizontal="center" vertical="center"/>
    </xf>
    <xf numFmtId="0" fontId="25" fillId="0" borderId="39" xfId="0" applyFont="1" applyBorder="1"/>
    <xf numFmtId="0" fontId="25" fillId="0" borderId="8" xfId="0" applyFont="1" applyBorder="1"/>
    <xf numFmtId="0" fontId="25" fillId="0" borderId="23" xfId="0" applyFont="1" applyBorder="1"/>
    <xf numFmtId="2" fontId="25" fillId="0" borderId="39" xfId="0" applyNumberFormat="1" applyFont="1" applyFill="1" applyBorder="1"/>
    <xf numFmtId="0" fontId="13" fillId="0" borderId="39" xfId="0" applyFont="1" applyFill="1" applyBorder="1" applyAlignment="1">
      <alignment horizontal="center" vertical="center"/>
    </xf>
    <xf numFmtId="0" fontId="13" fillId="0" borderId="8" xfId="0" applyFont="1" applyFill="1" applyBorder="1" applyAlignment="1">
      <alignment horizontal="center" vertical="center"/>
    </xf>
    <xf numFmtId="2" fontId="12" fillId="0" borderId="68" xfId="0" applyNumberFormat="1" applyFont="1" applyBorder="1" applyAlignment="1">
      <alignment horizontal="right" vertical="top" wrapText="1"/>
    </xf>
    <xf numFmtId="2" fontId="25" fillId="0" borderId="68" xfId="0" applyNumberFormat="1" applyFont="1" applyBorder="1" applyAlignment="1"/>
    <xf numFmtId="2" fontId="25" fillId="0" borderId="66" xfId="0" applyNumberFormat="1" applyFont="1" applyFill="1" applyBorder="1"/>
    <xf numFmtId="2" fontId="25" fillId="0" borderId="69" xfId="0" applyNumberFormat="1" applyFont="1" applyFill="1" applyBorder="1"/>
    <xf numFmtId="0" fontId="12" fillId="0" borderId="68" xfId="0" applyFont="1" applyFill="1" applyBorder="1" applyAlignment="1">
      <alignment horizontal="center" vertical="center"/>
    </xf>
    <xf numFmtId="2" fontId="12" fillId="0" borderId="21" xfId="0" applyNumberFormat="1" applyFont="1" applyBorder="1" applyAlignment="1">
      <alignment horizontal="right" vertical="top" wrapText="1"/>
    </xf>
    <xf numFmtId="2" fontId="25" fillId="0" borderId="21" xfId="0" applyNumberFormat="1" applyFont="1" applyBorder="1" applyAlignment="1"/>
    <xf numFmtId="2" fontId="25" fillId="0" borderId="45" xfId="0" applyNumberFormat="1" applyFont="1" applyFill="1" applyBorder="1"/>
    <xf numFmtId="2" fontId="25" fillId="0" borderId="44" xfId="0" applyNumberFormat="1" applyFont="1" applyFill="1" applyBorder="1"/>
    <xf numFmtId="2" fontId="25" fillId="0" borderId="8" xfId="0" applyNumberFormat="1" applyFont="1" applyBorder="1" applyAlignment="1"/>
    <xf numFmtId="0" fontId="25" fillId="0" borderId="71" xfId="0" applyFont="1" applyFill="1" applyBorder="1"/>
    <xf numFmtId="0" fontId="25" fillId="0" borderId="39" xfId="0" applyFont="1" applyFill="1" applyBorder="1"/>
    <xf numFmtId="0" fontId="25" fillId="0" borderId="8" xfId="0" applyFont="1" applyFill="1" applyBorder="1"/>
    <xf numFmtId="0" fontId="25" fillId="0" borderId="66" xfId="0" applyFont="1" applyFill="1" applyBorder="1"/>
    <xf numFmtId="0" fontId="25" fillId="0" borderId="69" xfId="0" applyFont="1" applyFill="1" applyBorder="1"/>
    <xf numFmtId="0" fontId="25" fillId="0" borderId="68" xfId="0" applyFont="1" applyFill="1" applyBorder="1"/>
    <xf numFmtId="0" fontId="25" fillId="0" borderId="45" xfId="0" applyFont="1" applyFill="1" applyBorder="1"/>
    <xf numFmtId="0" fontId="25" fillId="0" borderId="44" xfId="0" applyFont="1" applyFill="1" applyBorder="1"/>
    <xf numFmtId="0" fontId="25" fillId="0" borderId="21" xfId="0" applyFont="1" applyFill="1" applyBorder="1"/>
    <xf numFmtId="166" fontId="0" fillId="0" borderId="25" xfId="0" applyNumberFormat="1" applyFont="1" applyFill="1" applyBorder="1"/>
    <xf numFmtId="166" fontId="12" fillId="0" borderId="8" xfId="0" applyNumberFormat="1" applyFont="1" applyBorder="1" applyAlignment="1">
      <alignment horizontal="right"/>
    </xf>
    <xf numFmtId="2" fontId="16" fillId="0" borderId="25" xfId="0" applyNumberFormat="1" applyFont="1" applyBorder="1" applyAlignment="1">
      <alignment horizontal="center" wrapText="1"/>
    </xf>
    <xf numFmtId="166" fontId="12" fillId="0" borderId="68" xfId="0" applyNumberFormat="1" applyFont="1" applyBorder="1" applyAlignment="1">
      <alignment horizontal="right"/>
    </xf>
    <xf numFmtId="2" fontId="16" fillId="0" borderId="20" xfId="0" applyNumberFormat="1" applyFont="1" applyBorder="1" applyAlignment="1">
      <alignment horizontal="center" wrapText="1"/>
    </xf>
    <xf numFmtId="166" fontId="12" fillId="0" borderId="21" xfId="0" applyNumberFormat="1" applyFont="1" applyBorder="1" applyAlignment="1">
      <alignment horizontal="right"/>
    </xf>
    <xf numFmtId="2" fontId="16" fillId="0" borderId="23" xfId="0" applyNumberFormat="1" applyFont="1" applyBorder="1" applyAlignment="1">
      <alignment horizontal="center" wrapText="1"/>
    </xf>
    <xf numFmtId="2" fontId="17" fillId="0" borderId="44" xfId="0" applyNumberFormat="1" applyFont="1" applyFill="1" applyBorder="1" applyAlignment="1">
      <alignment horizontal="center" wrapText="1"/>
    </xf>
    <xf numFmtId="2" fontId="14" fillId="0" borderId="39" xfId="0" applyNumberFormat="1" applyFont="1" applyFill="1" applyBorder="1" applyAlignment="1">
      <alignment horizontal="center" vertical="top" wrapText="1"/>
    </xf>
    <xf numFmtId="2" fontId="26" fillId="0" borderId="69" xfId="0" applyNumberFormat="1" applyFont="1" applyFill="1" applyBorder="1" applyAlignment="1">
      <alignment horizontal="center" vertical="center"/>
    </xf>
    <xf numFmtId="2" fontId="16" fillId="0" borderId="23" xfId="0" applyNumberFormat="1" applyFont="1" applyBorder="1" applyAlignment="1">
      <alignment horizontal="center" vertical="top" wrapText="1"/>
    </xf>
    <xf numFmtId="2" fontId="16" fillId="0" borderId="25" xfId="0" applyNumberFormat="1" applyFont="1" applyBorder="1" applyAlignment="1">
      <alignment horizontal="center" vertical="top" wrapText="1"/>
    </xf>
    <xf numFmtId="2" fontId="16" fillId="0" borderId="20" xfId="0" applyNumberFormat="1" applyFont="1" applyBorder="1" applyAlignment="1">
      <alignment horizontal="center" vertical="top" wrapText="1"/>
    </xf>
    <xf numFmtId="0" fontId="16" fillId="11" borderId="12" xfId="0" applyFont="1" applyFill="1" applyBorder="1" applyAlignment="1">
      <alignment vertical="center"/>
    </xf>
    <xf numFmtId="2" fontId="0" fillId="0" borderId="69" xfId="0" applyNumberFormat="1" applyFill="1" applyBorder="1" applyAlignment="1">
      <alignment horizontal="center" vertical="center"/>
    </xf>
    <xf numFmtId="2" fontId="0" fillId="0" borderId="69" xfId="0" applyNumberFormat="1" applyFill="1" applyBorder="1" applyAlignment="1">
      <alignment wrapText="1"/>
    </xf>
    <xf numFmtId="2" fontId="13" fillId="0" borderId="69" xfId="0" applyNumberFormat="1" applyFont="1" applyFill="1" applyBorder="1" applyAlignment="1">
      <alignment horizontal="center" vertical="center"/>
    </xf>
    <xf numFmtId="166" fontId="0" fillId="0" borderId="39" xfId="0" applyNumberFormat="1" applyFill="1" applyBorder="1"/>
    <xf numFmtId="166" fontId="0" fillId="0" borderId="69" xfId="0" applyNumberFormat="1" applyFill="1" applyBorder="1"/>
    <xf numFmtId="166" fontId="0" fillId="0" borderId="44" xfId="0" applyNumberFormat="1" applyFill="1" applyBorder="1"/>
    <xf numFmtId="0" fontId="14" fillId="0" borderId="44" xfId="0" applyFont="1" applyFill="1" applyBorder="1" applyAlignment="1">
      <alignment horizontal="left" vertical="top" wrapText="1" indent="2"/>
    </xf>
    <xf numFmtId="2" fontId="12" fillId="0" borderId="39" xfId="0" applyNumberFormat="1" applyFont="1" applyFill="1" applyBorder="1" applyAlignment="1">
      <alignment horizontal="center" wrapText="1"/>
    </xf>
    <xf numFmtId="0" fontId="13" fillId="0" borderId="39" xfId="0" applyFont="1" applyFill="1" applyBorder="1"/>
    <xf numFmtId="2" fontId="26" fillId="0" borderId="8" xfId="0" applyNumberFormat="1" applyFont="1" applyFill="1" applyBorder="1" applyAlignment="1">
      <alignment horizontal="center" wrapText="1"/>
    </xf>
    <xf numFmtId="0" fontId="13" fillId="0" borderId="69" xfId="0" applyFont="1" applyFill="1" applyBorder="1"/>
    <xf numFmtId="2" fontId="26" fillId="0" borderId="68" xfId="0" applyNumberFormat="1" applyFont="1" applyFill="1" applyBorder="1" applyAlignment="1">
      <alignment horizontal="center" wrapText="1"/>
    </xf>
    <xf numFmtId="0" fontId="14" fillId="0" borderId="44" xfId="0" applyFont="1" applyFill="1" applyBorder="1" applyAlignment="1">
      <alignment horizontal="center" vertical="top" wrapText="1"/>
    </xf>
    <xf numFmtId="2" fontId="26" fillId="0" borderId="21" xfId="0" applyNumberFormat="1" applyFont="1" applyFill="1" applyBorder="1" applyAlignment="1">
      <alignment horizontal="center" vertical="center"/>
    </xf>
    <xf numFmtId="0" fontId="13" fillId="0" borderId="39" xfId="0" applyFont="1" applyFill="1" applyBorder="1" applyAlignment="1">
      <alignment horizontal="center"/>
    </xf>
    <xf numFmtId="2" fontId="26" fillId="0" borderId="8" xfId="0" applyNumberFormat="1" applyFont="1" applyFill="1" applyBorder="1" applyAlignment="1">
      <alignment horizontal="center" vertical="center"/>
    </xf>
    <xf numFmtId="0" fontId="12" fillId="0" borderId="11" xfId="0" applyFont="1" applyBorder="1" applyAlignment="1">
      <alignment vertical="top" wrapText="1"/>
    </xf>
    <xf numFmtId="2" fontId="12" fillId="0" borderId="71" xfId="0" applyNumberFormat="1" applyFont="1" applyBorder="1" applyAlignment="1">
      <alignment horizontal="right" vertical="top" wrapText="1"/>
    </xf>
    <xf numFmtId="2" fontId="12" fillId="0" borderId="8" xfId="0" applyNumberFormat="1" applyFont="1" applyBorder="1"/>
    <xf numFmtId="2" fontId="12" fillId="0" borderId="23" xfId="0" applyNumberFormat="1" applyFont="1" applyFill="1" applyBorder="1"/>
    <xf numFmtId="2" fontId="12" fillId="0" borderId="39" xfId="0" applyNumberFormat="1" applyFont="1" applyFill="1" applyBorder="1"/>
    <xf numFmtId="0" fontId="12" fillId="0" borderId="71" xfId="0" applyFont="1" applyFill="1" applyBorder="1"/>
    <xf numFmtId="0" fontId="12" fillId="0" borderId="39" xfId="0" applyFont="1" applyFill="1" applyBorder="1"/>
    <xf numFmtId="0" fontId="12" fillId="0" borderId="42" xfId="0" applyFont="1" applyBorder="1" applyAlignment="1">
      <alignment vertical="top" wrapText="1"/>
    </xf>
    <xf numFmtId="2" fontId="12" fillId="0" borderId="68" xfId="0" applyNumberFormat="1" applyFont="1" applyBorder="1"/>
    <xf numFmtId="2" fontId="12" fillId="0" borderId="25" xfId="0" applyNumberFormat="1" applyFont="1" applyFill="1" applyBorder="1"/>
    <xf numFmtId="2" fontId="12" fillId="0" borderId="69" xfId="0" applyNumberFormat="1" applyFont="1" applyFill="1" applyBorder="1"/>
    <xf numFmtId="0" fontId="12" fillId="0" borderId="66" xfId="0" applyFont="1" applyFill="1" applyBorder="1"/>
    <xf numFmtId="0" fontId="12" fillId="0" borderId="69" xfId="0" applyFont="1" applyFill="1" applyBorder="1"/>
    <xf numFmtId="0" fontId="12" fillId="0" borderId="13" xfId="0" applyFont="1" applyBorder="1" applyAlignment="1">
      <alignment vertical="top" wrapText="1"/>
    </xf>
    <xf numFmtId="2" fontId="12" fillId="0" borderId="45" xfId="0" applyNumberFormat="1" applyFont="1" applyBorder="1" applyAlignment="1">
      <alignment horizontal="right" vertical="top" wrapText="1"/>
    </xf>
    <xf numFmtId="2" fontId="12" fillId="0" borderId="21" xfId="0" applyNumberFormat="1" applyFont="1" applyBorder="1"/>
    <xf numFmtId="2" fontId="12" fillId="0" borderId="20" xfId="0" applyNumberFormat="1" applyFont="1" applyFill="1" applyBorder="1"/>
    <xf numFmtId="2" fontId="12" fillId="0" borderId="44" xfId="0" applyNumberFormat="1" applyFont="1" applyFill="1" applyBorder="1"/>
    <xf numFmtId="0" fontId="12" fillId="0" borderId="45" xfId="0" applyFont="1" applyFill="1" applyBorder="1"/>
    <xf numFmtId="0" fontId="12" fillId="0" borderId="44" xfId="0" applyFont="1" applyFill="1" applyBorder="1"/>
    <xf numFmtId="2" fontId="21" fillId="0" borderId="47" xfId="0" applyNumberFormat="1" applyFont="1" applyBorder="1" applyAlignment="1">
      <alignment horizontal="right" vertical="center" wrapText="1"/>
    </xf>
    <xf numFmtId="2" fontId="21" fillId="0" borderId="72" xfId="0" applyNumberFormat="1" applyFont="1" applyBorder="1" applyAlignment="1">
      <alignment horizontal="right" vertical="center" wrapText="1"/>
    </xf>
    <xf numFmtId="2" fontId="12" fillId="0" borderId="70" xfId="0" applyNumberFormat="1" applyFont="1" applyFill="1" applyBorder="1"/>
    <xf numFmtId="2" fontId="12" fillId="0" borderId="65" xfId="0" applyNumberFormat="1" applyFont="1" applyFill="1" applyBorder="1"/>
    <xf numFmtId="0" fontId="12" fillId="0" borderId="42" xfId="0" applyFont="1" applyBorder="1" applyAlignment="1">
      <alignment wrapText="1"/>
    </xf>
    <xf numFmtId="0" fontId="12" fillId="0" borderId="13" xfId="0" applyFont="1" applyBorder="1" applyAlignment="1">
      <alignment wrapText="1"/>
    </xf>
    <xf numFmtId="2" fontId="12" fillId="0" borderId="67" xfId="0" applyNumberFormat="1" applyFont="1" applyFill="1" applyBorder="1"/>
    <xf numFmtId="0" fontId="0" fillId="0" borderId="7" xfId="0" applyFont="1" applyBorder="1" applyAlignment="1">
      <alignment horizontal="center" vertical="center"/>
    </xf>
    <xf numFmtId="9" fontId="0" fillId="0" borderId="4" xfId="4" applyFont="1" applyBorder="1" applyAlignment="1">
      <alignment horizontal="center" vertical="center"/>
    </xf>
    <xf numFmtId="0" fontId="0" fillId="0" borderId="69" xfId="0" applyFont="1" applyBorder="1" applyAlignment="1">
      <alignment horizontal="center" vertical="center"/>
    </xf>
    <xf numFmtId="0" fontId="0" fillId="0" borderId="65" xfId="0" applyFont="1" applyFill="1" applyBorder="1" applyAlignment="1">
      <alignment horizontal="center" vertical="center"/>
    </xf>
    <xf numFmtId="0" fontId="0" fillId="0" borderId="0" xfId="0"/>
    <xf numFmtId="0" fontId="0" fillId="0" borderId="1" xfId="0" applyBorder="1" applyAlignment="1">
      <alignment horizontal="center"/>
    </xf>
    <xf numFmtId="0" fontId="0" fillId="0" borderId="69" xfId="0" applyFont="1" applyBorder="1" applyAlignment="1">
      <alignment horizontal="center" vertical="center"/>
    </xf>
    <xf numFmtId="9" fontId="10" fillId="0" borderId="4" xfId="4" applyFont="1" applyBorder="1" applyAlignment="1">
      <alignment horizontal="center" vertical="center"/>
    </xf>
    <xf numFmtId="10" fontId="0" fillId="11" borderId="0" xfId="4" applyNumberFormat="1" applyFont="1" applyFill="1"/>
    <xf numFmtId="9" fontId="16" fillId="19" borderId="0" xfId="4" applyFont="1" applyFill="1" applyBorder="1" applyAlignment="1">
      <alignment horizontal="right" wrapText="1"/>
    </xf>
    <xf numFmtId="9" fontId="0" fillId="0" borderId="1" xfId="4" applyFont="1" applyFill="1" applyBorder="1" applyAlignment="1">
      <alignment horizontal="center" vertical="center"/>
    </xf>
    <xf numFmtId="9" fontId="0" fillId="0" borderId="1" xfId="0" applyNumberFormat="1" applyFill="1" applyBorder="1" applyAlignment="1">
      <alignment horizontal="center" vertical="center"/>
    </xf>
    <xf numFmtId="10" fontId="0" fillId="0" borderId="1" xfId="0" applyNumberFormat="1" applyFill="1" applyBorder="1"/>
    <xf numFmtId="10" fontId="0" fillId="0" borderId="7" xfId="0" applyNumberFormat="1" applyFill="1" applyBorder="1"/>
    <xf numFmtId="10" fontId="0" fillId="0" borderId="2" xfId="0" applyNumberFormat="1" applyFill="1" applyBorder="1"/>
    <xf numFmtId="10" fontId="0" fillId="0" borderId="31" xfId="0" applyNumberFormat="1" applyFill="1" applyBorder="1"/>
    <xf numFmtId="10" fontId="0" fillId="0" borderId="27" xfId="0" applyNumberFormat="1" applyFill="1" applyBorder="1"/>
    <xf numFmtId="10" fontId="0" fillId="0" borderId="41" xfId="0" applyNumberFormat="1" applyFill="1" applyBorder="1"/>
    <xf numFmtId="10" fontId="0" fillId="0" borderId="28" xfId="0" applyNumberFormat="1" applyFill="1" applyBorder="1"/>
    <xf numFmtId="0" fontId="0" fillId="0" borderId="62" xfId="0" applyFill="1" applyBorder="1"/>
    <xf numFmtId="10" fontId="0" fillId="0" borderId="1" xfId="0" applyNumberForma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/>
    <xf numFmtId="2" fontId="0" fillId="0" borderId="1" xfId="0" applyNumberFormat="1" applyBorder="1" applyAlignment="1"/>
    <xf numFmtId="2" fontId="0" fillId="0" borderId="1" xfId="0" applyNumberFormat="1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2" fontId="0" fillId="0" borderId="1" xfId="0" applyNumberFormat="1" applyBorder="1" applyAlignment="1">
      <alignment horizontal="center"/>
    </xf>
    <xf numFmtId="0" fontId="0" fillId="0" borderId="0" xfId="0"/>
    <xf numFmtId="0" fontId="12" fillId="0" borderId="29" xfId="0" applyFont="1" applyBorder="1" applyAlignment="1">
      <alignment wrapText="1"/>
    </xf>
    <xf numFmtId="0" fontId="10" fillId="11" borderId="58" xfId="0" applyFont="1" applyFill="1" applyBorder="1"/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vertical="center"/>
    </xf>
    <xf numFmtId="0" fontId="0" fillId="11" borderId="0" xfId="0" applyFill="1" applyBorder="1" applyAlignment="1">
      <alignment horizontal="center" vertical="center" wrapText="1"/>
    </xf>
    <xf numFmtId="169" fontId="12" fillId="11" borderId="0" xfId="1" applyNumberFormat="1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3" xfId="0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0" fontId="0" fillId="0" borderId="1" xfId="4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16" fillId="11" borderId="58" xfId="0" applyFont="1" applyFill="1" applyBorder="1" applyAlignment="1">
      <alignment horizontal="left" wrapText="1"/>
    </xf>
    <xf numFmtId="1" fontId="16" fillId="11" borderId="58" xfId="0" applyNumberFormat="1" applyFont="1" applyFill="1" applyBorder="1" applyAlignment="1">
      <alignment horizontal="right" wrapText="1"/>
    </xf>
    <xf numFmtId="9" fontId="0" fillId="0" borderId="1" xfId="4" applyFont="1" applyBorder="1" applyAlignment="1">
      <alignment horizontal="center" vertical="center"/>
    </xf>
    <xf numFmtId="2" fontId="46" fillId="20" borderId="39" xfId="5" applyNumberFormat="1" applyBorder="1" applyAlignment="1">
      <alignment horizontal="right" wrapText="1"/>
    </xf>
    <xf numFmtId="2" fontId="0" fillId="0" borderId="47" xfId="0" applyNumberFormat="1" applyFill="1" applyBorder="1"/>
    <xf numFmtId="2" fontId="0" fillId="0" borderId="72" xfId="0" applyNumberFormat="1" applyFill="1" applyBorder="1"/>
    <xf numFmtId="2" fontId="0" fillId="0" borderId="60" xfId="0" applyNumberFormat="1" applyFill="1" applyBorder="1"/>
    <xf numFmtId="43" fontId="0" fillId="0" borderId="39" xfId="1" applyNumberFormat="1" applyFont="1" applyFill="1" applyBorder="1" applyAlignment="1">
      <alignment horizontal="right" vertical="center"/>
    </xf>
    <xf numFmtId="0" fontId="12" fillId="0" borderId="20" xfId="0" applyFont="1" applyFill="1" applyBorder="1" applyAlignment="1">
      <alignment vertical="top" wrapText="1"/>
    </xf>
    <xf numFmtId="2" fontId="12" fillId="0" borderId="67" xfId="0" applyNumberFormat="1" applyFont="1" applyFill="1" applyBorder="1" applyAlignment="1">
      <alignment horizontal="right" vertical="top" wrapText="1"/>
    </xf>
    <xf numFmtId="2" fontId="0" fillId="0" borderId="69" xfId="0" applyNumberFormat="1" applyFill="1" applyBorder="1" applyAlignment="1">
      <alignment horizontal="right" vertical="center"/>
    </xf>
    <xf numFmtId="0" fontId="0" fillId="0" borderId="71" xfId="0" applyBorder="1"/>
    <xf numFmtId="2" fontId="12" fillId="0" borderId="45" xfId="0" applyNumberFormat="1" applyFont="1" applyBorder="1" applyAlignment="1">
      <alignment horizontal="right" vertical="center" wrapText="1"/>
    </xf>
    <xf numFmtId="0" fontId="0" fillId="0" borderId="39" xfId="0" applyBorder="1" applyAlignment="1">
      <alignment horizontal="center"/>
    </xf>
    <xf numFmtId="2" fontId="0" fillId="0" borderId="45" xfId="0" applyNumberFormat="1" applyFont="1" applyFill="1" applyBorder="1"/>
    <xf numFmtId="2" fontId="0" fillId="0" borderId="65" xfId="0" applyNumberFormat="1" applyFont="1" applyFill="1" applyBorder="1"/>
    <xf numFmtId="2" fontId="0" fillId="0" borderId="67" xfId="0" applyNumberFormat="1" applyFont="1" applyFill="1" applyBorder="1"/>
    <xf numFmtId="0" fontId="0" fillId="0" borderId="39" xfId="0" applyFont="1" applyBorder="1"/>
    <xf numFmtId="0" fontId="0" fillId="0" borderId="70" xfId="0" applyFont="1" applyBorder="1"/>
    <xf numFmtId="0" fontId="0" fillId="0" borderId="38" xfId="0" applyBorder="1"/>
    <xf numFmtId="0" fontId="12" fillId="0" borderId="23" xfId="0" applyFont="1" applyBorder="1" applyAlignment="1">
      <alignment horizontal="left"/>
    </xf>
    <xf numFmtId="0" fontId="12" fillId="0" borderId="25" xfId="0" applyFont="1" applyBorder="1" applyAlignment="1">
      <alignment horizontal="left" wrapText="1"/>
    </xf>
    <xf numFmtId="2" fontId="12" fillId="0" borderId="72" xfId="0" applyNumberFormat="1" applyFont="1" applyFill="1" applyBorder="1" applyAlignment="1">
      <alignment horizontal="center" wrapText="1"/>
    </xf>
    <xf numFmtId="2" fontId="0" fillId="0" borderId="60" xfId="0" applyNumberFormat="1" applyFont="1" applyFill="1" applyBorder="1"/>
    <xf numFmtId="2" fontId="0" fillId="0" borderId="47" xfId="0" applyNumberFormat="1" applyFont="1" applyFill="1" applyBorder="1"/>
    <xf numFmtId="2" fontId="0" fillId="0" borderId="72" xfId="0" applyNumberFormat="1" applyFont="1" applyFill="1" applyBorder="1"/>
    <xf numFmtId="2" fontId="2" fillId="0" borderId="71" xfId="0" applyNumberFormat="1" applyFont="1" applyFill="1" applyBorder="1" applyAlignment="1">
      <alignment horizontal="center" vertical="center" wrapText="1"/>
    </xf>
    <xf numFmtId="2" fontId="2" fillId="0" borderId="66" xfId="0" applyNumberFormat="1" applyFont="1" applyFill="1" applyBorder="1" applyAlignment="1">
      <alignment horizontal="center" vertical="center" wrapText="1"/>
    </xf>
    <xf numFmtId="2" fontId="21" fillId="0" borderId="66" xfId="0" applyNumberFormat="1" applyFont="1" applyFill="1" applyBorder="1" applyAlignment="1">
      <alignment horizontal="center" vertical="center" wrapText="1"/>
    </xf>
    <xf numFmtId="2" fontId="0" fillId="0" borderId="69" xfId="0" applyNumberFormat="1" applyFont="1" applyFill="1" applyBorder="1" applyAlignment="1">
      <alignment horizontal="center" vertical="center"/>
    </xf>
    <xf numFmtId="2" fontId="2" fillId="0" borderId="44" xfId="0" applyNumberFormat="1" applyFont="1" applyFill="1" applyBorder="1" applyAlignment="1">
      <alignment horizontal="center" vertical="center" wrapText="1"/>
    </xf>
    <xf numFmtId="2" fontId="11" fillId="0" borderId="66" xfId="0" applyNumberFormat="1" applyFont="1" applyFill="1" applyBorder="1" applyAlignment="1">
      <alignment horizontal="center" vertical="center"/>
    </xf>
    <xf numFmtId="2" fontId="0" fillId="0" borderId="66" xfId="0" applyNumberFormat="1" applyFont="1" applyFill="1" applyBorder="1" applyAlignment="1">
      <alignment horizontal="center" vertical="center"/>
    </xf>
    <xf numFmtId="2" fontId="0" fillId="0" borderId="45" xfId="0" applyNumberFormat="1" applyFont="1" applyFill="1" applyBorder="1" applyAlignment="1">
      <alignment horizontal="center" vertical="center"/>
    </xf>
    <xf numFmtId="2" fontId="0" fillId="0" borderId="44" xfId="0" applyNumberFormat="1" applyFont="1" applyFill="1" applyBorder="1" applyAlignment="1">
      <alignment horizontal="center" vertical="center"/>
    </xf>
    <xf numFmtId="2" fontId="0" fillId="0" borderId="39" xfId="0" applyNumberFormat="1" applyFill="1" applyBorder="1" applyAlignment="1">
      <alignment horizontal="center" vertical="center"/>
    </xf>
    <xf numFmtId="2" fontId="0" fillId="0" borderId="44" xfId="0" applyNumberFormat="1" applyFill="1" applyBorder="1" applyAlignment="1">
      <alignment horizontal="center" vertical="center"/>
    </xf>
    <xf numFmtId="169" fontId="0" fillId="0" borderId="39" xfId="1" applyNumberFormat="1" applyFont="1" applyFill="1" applyBorder="1" applyAlignment="1">
      <alignment horizontal="center" vertical="center"/>
    </xf>
    <xf numFmtId="169" fontId="0" fillId="0" borderId="69" xfId="1" applyNumberFormat="1" applyFont="1" applyFill="1" applyBorder="1" applyAlignment="1">
      <alignment horizontal="center" vertical="center"/>
    </xf>
    <xf numFmtId="169" fontId="0" fillId="0" borderId="44" xfId="1" applyNumberFormat="1" applyFont="1" applyFill="1" applyBorder="1" applyAlignment="1">
      <alignment horizontal="center" vertical="center"/>
    </xf>
    <xf numFmtId="4" fontId="0" fillId="0" borderId="3" xfId="0" applyNumberFormat="1" applyFont="1" applyFill="1" applyBorder="1" applyAlignment="1">
      <alignment horizontal="center" vertical="center" wrapText="1"/>
    </xf>
    <xf numFmtId="2" fontId="0" fillId="0" borderId="1" xfId="0" applyNumberFormat="1" applyFill="1" applyBorder="1" applyAlignment="1">
      <alignment horizontal="center" vertical="center" wrapText="1"/>
    </xf>
    <xf numFmtId="2" fontId="0" fillId="0" borderId="1" xfId="0" applyNumberFormat="1" applyFill="1" applyBorder="1" applyAlignment="1">
      <alignment horizontal="center" vertical="center"/>
    </xf>
    <xf numFmtId="4" fontId="0" fillId="0" borderId="1" xfId="0" applyNumberFormat="1" applyFont="1" applyFill="1" applyBorder="1" applyAlignment="1">
      <alignment horizontal="center" vertical="center" wrapText="1"/>
    </xf>
    <xf numFmtId="4" fontId="9" fillId="0" borderId="1" xfId="1" applyNumberFormat="1" applyFont="1" applyFill="1" applyBorder="1" applyAlignment="1">
      <alignment horizontal="center" vertical="center" wrapText="1"/>
    </xf>
    <xf numFmtId="4" fontId="11" fillId="0" borderId="1" xfId="0" applyNumberFormat="1" applyFont="1" applyFill="1" applyBorder="1" applyAlignment="1">
      <alignment horizontal="center" vertical="center" wrapText="1"/>
    </xf>
    <xf numFmtId="4" fontId="0" fillId="0" borderId="1" xfId="0" applyNumberFormat="1" applyFill="1" applyBorder="1"/>
    <xf numFmtId="4" fontId="0" fillId="0" borderId="27" xfId="0" applyNumberFormat="1" applyFill="1" applyBorder="1"/>
    <xf numFmtId="170" fontId="0" fillId="0" borderId="1" xfId="1" applyNumberFormat="1" applyFont="1" applyFill="1" applyBorder="1" applyAlignment="1">
      <alignment horizontal="center" vertical="center" wrapText="1"/>
    </xf>
    <xf numFmtId="4" fontId="0" fillId="0" borderId="4" xfId="0" applyNumberFormat="1" applyFont="1" applyFill="1" applyBorder="1" applyAlignment="1">
      <alignment horizontal="center" vertical="center" wrapText="1"/>
    </xf>
    <xf numFmtId="4" fontId="0" fillId="0" borderId="1" xfId="0" applyNumberFormat="1" applyFill="1" applyBorder="1" applyAlignment="1">
      <alignment horizontal="center" vertical="center"/>
    </xf>
    <xf numFmtId="4" fontId="0" fillId="0" borderId="27" xfId="0" applyNumberFormat="1" applyFill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0" fillId="0" borderId="58" xfId="0" applyFill="1" applyBorder="1"/>
    <xf numFmtId="0" fontId="0" fillId="0" borderId="64" xfId="0" applyFill="1" applyBorder="1"/>
    <xf numFmtId="0" fontId="0" fillId="0" borderId="75" xfId="0" applyFill="1" applyBorder="1"/>
    <xf numFmtId="0" fontId="0" fillId="0" borderId="76" xfId="0" applyFill="1" applyBorder="1"/>
    <xf numFmtId="0" fontId="0" fillId="0" borderId="77" xfId="0" applyFill="1" applyBorder="1"/>
    <xf numFmtId="0" fontId="0" fillId="0" borderId="78" xfId="0" applyFill="1" applyBorder="1"/>
    <xf numFmtId="0" fontId="0" fillId="10" borderId="38" xfId="0" applyFill="1" applyBorder="1"/>
    <xf numFmtId="0" fontId="48" fillId="0" borderId="1" xfId="0" applyFont="1" applyBorder="1" applyAlignment="1">
      <alignment horizontal="center" vertical="center" wrapText="1"/>
    </xf>
    <xf numFmtId="0" fontId="0" fillId="11" borderId="1" xfId="0" applyFont="1" applyFill="1" applyBorder="1"/>
    <xf numFmtId="0" fontId="0" fillId="10" borderId="1" xfId="0" applyFont="1" applyFill="1" applyBorder="1"/>
    <xf numFmtId="0" fontId="48" fillId="0" borderId="1" xfId="0" applyFont="1" applyBorder="1"/>
    <xf numFmtId="0" fontId="0" fillId="11" borderId="4" xfId="0" applyFont="1" applyFill="1" applyBorder="1"/>
    <xf numFmtId="0" fontId="48" fillId="0" borderId="53" xfId="0" applyFont="1" applyBorder="1" applyAlignment="1">
      <alignment horizontal="center" vertical="center" wrapText="1"/>
    </xf>
    <xf numFmtId="0" fontId="48" fillId="0" borderId="54" xfId="0" applyFont="1" applyBorder="1" applyAlignment="1">
      <alignment horizontal="center" vertical="center" wrapText="1"/>
    </xf>
    <xf numFmtId="0" fontId="48" fillId="0" borderId="55" xfId="0" applyFont="1" applyBorder="1" applyAlignment="1">
      <alignment horizontal="center"/>
    </xf>
    <xf numFmtId="0" fontId="48" fillId="0" borderId="55" xfId="0" applyFont="1" applyBorder="1"/>
    <xf numFmtId="0" fontId="48" fillId="0" borderId="57" xfId="0" applyFont="1" applyBorder="1" applyAlignment="1">
      <alignment horizontal="center" vertical="center" wrapText="1"/>
    </xf>
    <xf numFmtId="0" fontId="0" fillId="10" borderId="79" xfId="0" applyFont="1" applyFill="1" applyBorder="1"/>
    <xf numFmtId="0" fontId="48" fillId="0" borderId="0" xfId="0" applyFont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27" xfId="0" applyFont="1" applyFill="1" applyBorder="1" applyAlignment="1">
      <alignment horizontal="center" vertical="center"/>
    </xf>
    <xf numFmtId="0" fontId="0" fillId="10" borderId="16" xfId="0" applyFill="1" applyBorder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2" fontId="11" fillId="0" borderId="69" xfId="0" applyNumberFormat="1" applyFont="1" applyFill="1" applyBorder="1" applyAlignment="1">
      <alignment horizontal="center"/>
    </xf>
    <xf numFmtId="2" fontId="14" fillId="0" borderId="44" xfId="0" applyNumberFormat="1" applyFont="1" applyFill="1" applyBorder="1" applyAlignment="1">
      <alignment horizontal="center" vertical="center" wrapText="1"/>
    </xf>
    <xf numFmtId="2" fontId="13" fillId="0" borderId="39" xfId="0" applyNumberFormat="1" applyFont="1" applyFill="1" applyBorder="1" applyAlignment="1">
      <alignment horizontal="center" vertical="center"/>
    </xf>
    <xf numFmtId="2" fontId="13" fillId="0" borderId="69" xfId="0" applyNumberFormat="1" applyFont="1" applyFill="1" applyBorder="1" applyAlignment="1">
      <alignment horizontal="center" vertical="center" wrapText="1"/>
    </xf>
    <xf numFmtId="2" fontId="13" fillId="0" borderId="44" xfId="0" applyNumberFormat="1" applyFont="1" applyFill="1" applyBorder="1" applyAlignment="1">
      <alignment horizontal="center" vertical="center" wrapText="1"/>
    </xf>
    <xf numFmtId="2" fontId="13" fillId="0" borderId="39" xfId="0" applyNumberFormat="1" applyFont="1" applyFill="1" applyBorder="1" applyAlignment="1">
      <alignment horizontal="center" vertical="center" wrapText="1"/>
    </xf>
    <xf numFmtId="2" fontId="14" fillId="0" borderId="69" xfId="0" applyNumberFormat="1" applyFont="1" applyFill="1" applyBorder="1" applyAlignment="1">
      <alignment horizontal="center" vertical="center" wrapText="1"/>
    </xf>
    <xf numFmtId="169" fontId="0" fillId="0" borderId="43" xfId="1" applyNumberFormat="1" applyFont="1" applyBorder="1" applyAlignment="1">
      <alignment horizontal="right" vertical="center"/>
    </xf>
    <xf numFmtId="169" fontId="0" fillId="0" borderId="48" xfId="1" applyNumberFormat="1" applyFont="1" applyBorder="1" applyAlignment="1">
      <alignment horizontal="right" vertical="center"/>
    </xf>
    <xf numFmtId="169" fontId="0" fillId="0" borderId="49" xfId="1" applyNumberFormat="1" applyFont="1" applyBorder="1" applyAlignment="1">
      <alignment horizontal="right" vertical="center"/>
    </xf>
    <xf numFmtId="3" fontId="22" fillId="4" borderId="1" xfId="0" applyNumberFormat="1" applyFont="1" applyFill="1" applyBorder="1" applyAlignment="1">
      <alignment horizontal="center" vertical="center"/>
    </xf>
    <xf numFmtId="169" fontId="22" fillId="4" borderId="3" xfId="1" applyNumberFormat="1" applyFont="1" applyFill="1" applyBorder="1" applyAlignment="1">
      <alignment horizontal="center" vertical="center"/>
    </xf>
    <xf numFmtId="3" fontId="22" fillId="4" borderId="27" xfId="0" applyNumberFormat="1" applyFont="1" applyFill="1" applyBorder="1" applyAlignment="1">
      <alignment horizontal="center" vertical="center"/>
    </xf>
    <xf numFmtId="169" fontId="0" fillId="0" borderId="74" xfId="1" applyNumberFormat="1" applyFont="1" applyFill="1" applyBorder="1"/>
    <xf numFmtId="169" fontId="0" fillId="0" borderId="64" xfId="1" applyNumberFormat="1" applyFont="1" applyFill="1" applyBorder="1"/>
    <xf numFmtId="169" fontId="0" fillId="0" borderId="64" xfId="1" applyNumberFormat="1" applyFont="1" applyFill="1" applyBorder="1" applyAlignment="1">
      <alignment horizontal="center"/>
    </xf>
    <xf numFmtId="169" fontId="0" fillId="0" borderId="64" xfId="1" applyNumberFormat="1" applyFont="1" applyFill="1" applyBorder="1" applyAlignment="1">
      <alignment horizontal="right"/>
    </xf>
    <xf numFmtId="169" fontId="9" fillId="0" borderId="64" xfId="1" applyNumberFormat="1" applyFont="1" applyFill="1" applyBorder="1"/>
    <xf numFmtId="169" fontId="12" fillId="0" borderId="64" xfId="1" applyNumberFormat="1" applyFont="1" applyFill="1" applyBorder="1" applyAlignment="1">
      <alignment horizontal="center" vertical="center"/>
    </xf>
    <xf numFmtId="169" fontId="0" fillId="0" borderId="75" xfId="1" applyNumberFormat="1" applyFont="1" applyFill="1" applyBorder="1"/>
    <xf numFmtId="0" fontId="2" fillId="21" borderId="30" xfId="3" applyFont="1" applyFill="1" applyBorder="1" applyAlignment="1">
      <alignment horizontal="left" wrapText="1"/>
    </xf>
    <xf numFmtId="166" fontId="2" fillId="21" borderId="1" xfId="0" applyNumberFormat="1" applyFont="1" applyFill="1" applyBorder="1" applyAlignment="1">
      <alignment horizontal="right" vertical="center"/>
    </xf>
    <xf numFmtId="166" fontId="2" fillId="21" borderId="2" xfId="0" applyNumberFormat="1" applyFont="1" applyFill="1" applyBorder="1" applyAlignment="1">
      <alignment horizontal="right" vertical="center"/>
    </xf>
    <xf numFmtId="166" fontId="2" fillId="21" borderId="30" xfId="0" applyNumberFormat="1" applyFont="1" applyFill="1" applyBorder="1" applyAlignment="1">
      <alignment horizontal="right" vertical="center"/>
    </xf>
    <xf numFmtId="166" fontId="12" fillId="21" borderId="1" xfId="0" applyNumberFormat="1" applyFont="1" applyFill="1" applyBorder="1" applyAlignment="1">
      <alignment horizontal="right" vertical="center"/>
    </xf>
    <xf numFmtId="166" fontId="12" fillId="21" borderId="26" xfId="0" applyNumberFormat="1" applyFont="1" applyFill="1" applyBorder="1" applyAlignment="1">
      <alignment horizontal="right" vertical="center"/>
    </xf>
    <xf numFmtId="165" fontId="0" fillId="21" borderId="30" xfId="0" applyNumberFormat="1" applyFill="1" applyBorder="1"/>
    <xf numFmtId="166" fontId="0" fillId="21" borderId="1" xfId="0" applyNumberFormat="1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 vertical="center"/>
    </xf>
    <xf numFmtId="166" fontId="2" fillId="21" borderId="1" xfId="1" applyNumberFormat="1" applyFont="1" applyFill="1" applyBorder="1" applyAlignment="1">
      <alignment horizontal="right" vertical="center"/>
    </xf>
    <xf numFmtId="166" fontId="2" fillId="21" borderId="2" xfId="1" applyNumberFormat="1" applyFont="1" applyFill="1" applyBorder="1" applyAlignment="1">
      <alignment horizontal="right" vertical="center"/>
    </xf>
    <xf numFmtId="166" fontId="2" fillId="21" borderId="30" xfId="1" applyNumberFormat="1" applyFont="1" applyFill="1" applyBorder="1" applyAlignment="1">
      <alignment horizontal="right" vertical="center"/>
    </xf>
    <xf numFmtId="166" fontId="12" fillId="21" borderId="1" xfId="1" applyNumberFormat="1" applyFont="1" applyFill="1" applyBorder="1" applyAlignment="1">
      <alignment horizontal="right" vertical="center"/>
    </xf>
    <xf numFmtId="166" fontId="12" fillId="21" borderId="26" xfId="0" applyNumberFormat="1" applyFont="1" applyFill="1" applyBorder="1" applyAlignment="1">
      <alignment horizontal="right"/>
    </xf>
    <xf numFmtId="166" fontId="0" fillId="21" borderId="30" xfId="0" applyNumberFormat="1" applyFill="1" applyBorder="1"/>
    <xf numFmtId="1" fontId="0" fillId="21" borderId="30" xfId="0" applyNumberFormat="1" applyFill="1" applyBorder="1"/>
    <xf numFmtId="0" fontId="12" fillId="21" borderId="30" xfId="0" applyFont="1" applyFill="1" applyBorder="1"/>
    <xf numFmtId="165" fontId="12" fillId="21" borderId="1" xfId="0" applyNumberFormat="1" applyFont="1" applyFill="1" applyBorder="1" applyAlignment="1">
      <alignment horizontal="right" vertical="center"/>
    </xf>
    <xf numFmtId="165" fontId="12" fillId="21" borderId="26" xfId="0" applyNumberFormat="1" applyFont="1" applyFill="1" applyBorder="1" applyAlignment="1">
      <alignment horizontal="right" vertical="center"/>
    </xf>
    <xf numFmtId="165" fontId="12" fillId="21" borderId="6" xfId="0" applyNumberFormat="1" applyFont="1" applyFill="1" applyBorder="1" applyAlignment="1">
      <alignment horizontal="right"/>
    </xf>
    <xf numFmtId="165" fontId="12" fillId="21" borderId="1" xfId="0" applyNumberFormat="1" applyFont="1" applyFill="1" applyBorder="1" applyAlignment="1">
      <alignment horizontal="right"/>
    </xf>
    <xf numFmtId="165" fontId="12" fillId="21" borderId="26" xfId="0" applyNumberFormat="1" applyFont="1" applyFill="1" applyBorder="1" applyAlignment="1">
      <alignment horizontal="right"/>
    </xf>
    <xf numFmtId="0" fontId="12" fillId="21" borderId="31" xfId="0" applyFont="1" applyFill="1" applyBorder="1"/>
    <xf numFmtId="167" fontId="12" fillId="21" borderId="1" xfId="0" applyNumberFormat="1" applyFont="1" applyFill="1" applyBorder="1" applyAlignment="1">
      <alignment horizontal="right"/>
    </xf>
    <xf numFmtId="167" fontId="12" fillId="21" borderId="2" xfId="0" applyNumberFormat="1" applyFont="1" applyFill="1" applyBorder="1" applyAlignment="1">
      <alignment horizontal="right"/>
    </xf>
    <xf numFmtId="166" fontId="12" fillId="21" borderId="30" xfId="0" applyNumberFormat="1" applyFont="1" applyFill="1" applyBorder="1" applyAlignment="1">
      <alignment horizontal="right"/>
    </xf>
    <xf numFmtId="166" fontId="12" fillId="21" borderId="1" xfId="0" applyNumberFormat="1" applyFont="1" applyFill="1" applyBorder="1" applyAlignment="1">
      <alignment horizontal="right"/>
    </xf>
    <xf numFmtId="166" fontId="0" fillId="21" borderId="1" xfId="0" applyNumberFormat="1" applyFont="1" applyFill="1" applyBorder="1"/>
    <xf numFmtId="167" fontId="12" fillId="21" borderId="1" xfId="0" applyNumberFormat="1" applyFont="1" applyFill="1" applyBorder="1"/>
    <xf numFmtId="168" fontId="12" fillId="21" borderId="1" xfId="0" applyNumberFormat="1" applyFont="1" applyFill="1" applyBorder="1"/>
    <xf numFmtId="167" fontId="12" fillId="21" borderId="2" xfId="0" applyNumberFormat="1" applyFont="1" applyFill="1" applyBorder="1"/>
    <xf numFmtId="166" fontId="12" fillId="21" borderId="30" xfId="0" applyNumberFormat="1" applyFont="1" applyFill="1" applyBorder="1" applyAlignment="1">
      <alignment horizontal="right" vertical="center"/>
    </xf>
    <xf numFmtId="0" fontId="0" fillId="0" borderId="0" xfId="0"/>
    <xf numFmtId="0" fontId="0" fillId="0" borderId="7" xfId="0" applyFont="1" applyBorder="1" applyAlignment="1">
      <alignment horizontal="center" vertical="center"/>
    </xf>
    <xf numFmtId="0" fontId="0" fillId="0" borderId="69" xfId="0" applyFont="1" applyBorder="1" applyAlignment="1">
      <alignment horizontal="center" vertical="center"/>
    </xf>
    <xf numFmtId="169" fontId="0" fillId="3" borderId="0" xfId="1" applyNumberFormat="1" applyFont="1" applyFill="1" applyAlignment="1"/>
    <xf numFmtId="169" fontId="0" fillId="3" borderId="0" xfId="0" applyNumberFormat="1" applyFill="1" applyAlignment="1"/>
    <xf numFmtId="169" fontId="43" fillId="3" borderId="0" xfId="1" applyNumberFormat="1" applyFont="1" applyFill="1" applyAlignment="1">
      <alignment vertical="center"/>
    </xf>
    <xf numFmtId="169" fontId="43" fillId="3" borderId="0" xfId="0" applyNumberFormat="1" applyFont="1" applyFill="1" applyAlignment="1">
      <alignment vertical="center"/>
    </xf>
    <xf numFmtId="169" fontId="0" fillId="11" borderId="0" xfId="1" applyNumberFormat="1" applyFont="1" applyFill="1" applyAlignment="1"/>
    <xf numFmtId="169" fontId="0" fillId="11" borderId="0" xfId="0" applyNumberFormat="1" applyFill="1" applyAlignment="1"/>
    <xf numFmtId="169" fontId="10" fillId="17" borderId="16" xfId="1" applyNumberFormat="1" applyFont="1" applyFill="1" applyBorder="1" applyAlignment="1"/>
    <xf numFmtId="169" fontId="10" fillId="17" borderId="16" xfId="0" applyNumberFormat="1" applyFont="1" applyFill="1" applyBorder="1" applyAlignment="1"/>
    <xf numFmtId="169" fontId="0" fillId="11" borderId="58" xfId="1" applyNumberFormat="1" applyFont="1" applyFill="1" applyBorder="1"/>
    <xf numFmtId="169" fontId="0" fillId="11" borderId="58" xfId="0" applyNumberFormat="1" applyFill="1" applyBorder="1"/>
    <xf numFmtId="169" fontId="0" fillId="0" borderId="0" xfId="1" applyNumberFormat="1" applyFont="1"/>
    <xf numFmtId="169" fontId="0" fillId="0" borderId="0" xfId="0" applyNumberFormat="1"/>
    <xf numFmtId="2" fontId="0" fillId="0" borderId="44" xfId="0" applyNumberFormat="1" applyFill="1" applyBorder="1" applyAlignment="1">
      <alignment horizontal="center" vertical="center" wrapText="1"/>
    </xf>
    <xf numFmtId="166" fontId="4" fillId="0" borderId="4" xfId="0" applyNumberFormat="1" applyFont="1" applyFill="1" applyBorder="1" applyAlignment="1">
      <alignment horizontal="right" wrapText="1"/>
    </xf>
    <xf numFmtId="166" fontId="4" fillId="0" borderId="1" xfId="0" applyNumberFormat="1" applyFont="1" applyFill="1" applyBorder="1" applyAlignment="1">
      <alignment horizontal="right" wrapText="1"/>
    </xf>
    <xf numFmtId="166" fontId="2" fillId="0" borderId="1" xfId="0" applyNumberFormat="1" applyFont="1" applyFill="1" applyBorder="1" applyAlignment="1">
      <alignment horizontal="right" wrapText="1"/>
    </xf>
    <xf numFmtId="0" fontId="10" fillId="0" borderId="65" xfId="0" applyFont="1" applyBorder="1" applyAlignment="1">
      <alignment horizontal="left" vertical="center"/>
    </xf>
    <xf numFmtId="0" fontId="16" fillId="0" borderId="66" xfId="0" applyFont="1" applyFill="1" applyBorder="1" applyAlignment="1">
      <alignment horizontal="left" vertical="center"/>
    </xf>
    <xf numFmtId="0" fontId="0" fillId="0" borderId="4" xfId="4" applyNumberFormat="1" applyFont="1" applyBorder="1" applyAlignment="1">
      <alignment horizontal="center" vertical="center"/>
    </xf>
    <xf numFmtId="2" fontId="12" fillId="0" borderId="1" xfId="0" applyNumberFormat="1" applyFont="1" applyFill="1" applyBorder="1" applyAlignment="1">
      <alignment horizontal="right" vertical="center"/>
    </xf>
    <xf numFmtId="2" fontId="12" fillId="0" borderId="26" xfId="0" applyNumberFormat="1" applyFont="1" applyFill="1" applyBorder="1" applyAlignment="1">
      <alignment horizontal="right" vertical="center"/>
    </xf>
    <xf numFmtId="2" fontId="12" fillId="0" borderId="6" xfId="0" applyNumberFormat="1" applyFont="1" applyBorder="1" applyAlignment="1">
      <alignment horizontal="right"/>
    </xf>
    <xf numFmtId="2" fontId="12" fillId="0" borderId="26" xfId="0" applyNumberFormat="1" applyFont="1" applyBorder="1" applyAlignment="1">
      <alignment horizontal="right"/>
    </xf>
    <xf numFmtId="2" fontId="12" fillId="21" borderId="1" xfId="0" applyNumberFormat="1" applyFont="1" applyFill="1" applyBorder="1" applyAlignment="1">
      <alignment horizontal="right" vertical="center"/>
    </xf>
    <xf numFmtId="2" fontId="12" fillId="21" borderId="26" xfId="0" applyNumberFormat="1" applyFont="1" applyFill="1" applyBorder="1" applyAlignment="1">
      <alignment horizontal="right" vertical="center"/>
    </xf>
    <xf numFmtId="2" fontId="12" fillId="21" borderId="6" xfId="0" applyNumberFormat="1" applyFont="1" applyFill="1" applyBorder="1" applyAlignment="1">
      <alignment horizontal="right"/>
    </xf>
    <xf numFmtId="2" fontId="12" fillId="21" borderId="1" xfId="0" applyNumberFormat="1" applyFont="1" applyFill="1" applyBorder="1" applyAlignment="1">
      <alignment horizontal="right"/>
    </xf>
    <xf numFmtId="2" fontId="12" fillId="21" borderId="26" xfId="0" applyNumberFormat="1" applyFont="1" applyFill="1" applyBorder="1" applyAlignment="1">
      <alignment horizontal="right"/>
    </xf>
    <xf numFmtId="2" fontId="0" fillId="21" borderId="30" xfId="0" applyNumberFormat="1" applyFill="1" applyBorder="1"/>
    <xf numFmtId="2" fontId="0" fillId="21" borderId="1" xfId="0" applyNumberFormat="1" applyFill="1" applyBorder="1"/>
    <xf numFmtId="2" fontId="12" fillId="0" borderId="56" xfId="0" applyNumberFormat="1" applyFont="1" applyBorder="1" applyAlignment="1">
      <alignment horizontal="right"/>
    </xf>
    <xf numFmtId="2" fontId="12" fillId="0" borderId="7" xfId="0" applyNumberFormat="1" applyFont="1" applyBorder="1" applyAlignment="1">
      <alignment horizontal="right"/>
    </xf>
    <xf numFmtId="2" fontId="12" fillId="0" borderId="34" xfId="0" applyNumberFormat="1" applyFont="1" applyBorder="1" applyAlignment="1">
      <alignment horizontal="right"/>
    </xf>
    <xf numFmtId="2" fontId="12" fillId="21" borderId="27" xfId="0" applyNumberFormat="1" applyFont="1" applyFill="1" applyBorder="1" applyAlignment="1">
      <alignment horizontal="right" vertical="center"/>
    </xf>
    <xf numFmtId="2" fontId="12" fillId="21" borderId="28" xfId="0" applyNumberFormat="1" applyFont="1" applyFill="1" applyBorder="1" applyAlignment="1">
      <alignment horizontal="right" vertical="center"/>
    </xf>
    <xf numFmtId="2" fontId="12" fillId="21" borderId="56" xfId="0" applyNumberFormat="1" applyFont="1" applyFill="1" applyBorder="1" applyAlignment="1">
      <alignment horizontal="right"/>
    </xf>
    <xf numFmtId="2" fontId="12" fillId="21" borderId="7" xfId="0" applyNumberFormat="1" applyFont="1" applyFill="1" applyBorder="1" applyAlignment="1">
      <alignment horizontal="right"/>
    </xf>
    <xf numFmtId="2" fontId="12" fillId="21" borderId="34" xfId="0" applyNumberFormat="1" applyFont="1" applyFill="1" applyBorder="1" applyAlignment="1">
      <alignment horizontal="right"/>
    </xf>
    <xf numFmtId="2" fontId="12" fillId="0" borderId="30" xfId="0" applyNumberFormat="1" applyFont="1" applyFill="1" applyBorder="1" applyAlignment="1">
      <alignment horizontal="right" vertical="center"/>
    </xf>
    <xf numFmtId="2" fontId="12" fillId="21" borderId="1" xfId="0" applyNumberFormat="1" applyFont="1" applyFill="1" applyBorder="1"/>
    <xf numFmtId="2" fontId="12" fillId="21" borderId="2" xfId="0" applyNumberFormat="1" applyFont="1" applyFill="1" applyBorder="1"/>
    <xf numFmtId="2" fontId="12" fillId="21" borderId="30" xfId="0" applyNumberFormat="1" applyFont="1" applyFill="1" applyBorder="1" applyAlignment="1">
      <alignment horizontal="right" vertical="center"/>
    </xf>
    <xf numFmtId="2" fontId="12" fillId="0" borderId="37" xfId="0" applyNumberFormat="1" applyFont="1" applyBorder="1" applyAlignment="1">
      <alignment horizontal="center" vertical="center"/>
    </xf>
    <xf numFmtId="2" fontId="12" fillId="0" borderId="7" xfId="0" applyNumberFormat="1" applyFont="1" applyBorder="1" applyAlignment="1">
      <alignment horizontal="center" vertical="center"/>
    </xf>
    <xf numFmtId="2" fontId="12" fillId="0" borderId="34" xfId="0" applyNumberFormat="1" applyFont="1" applyBorder="1" applyAlignment="1">
      <alignment horizontal="center" vertical="center"/>
    </xf>
    <xf numFmtId="2" fontId="12" fillId="21" borderId="7" xfId="0" applyNumberFormat="1" applyFont="1" applyFill="1" applyBorder="1"/>
    <xf numFmtId="2" fontId="12" fillId="21" borderId="22" xfId="0" applyNumberFormat="1" applyFont="1" applyFill="1" applyBorder="1"/>
    <xf numFmtId="2" fontId="12" fillId="21" borderId="37" xfId="0" applyNumberFormat="1" applyFont="1" applyFill="1" applyBorder="1" applyAlignment="1">
      <alignment horizontal="right" vertical="center"/>
    </xf>
    <xf numFmtId="2" fontId="12" fillId="21" borderId="7" xfId="0" applyNumberFormat="1" applyFont="1" applyFill="1" applyBorder="1" applyAlignment="1">
      <alignment horizontal="right" vertical="center"/>
    </xf>
    <xf numFmtId="2" fontId="12" fillId="21" borderId="34" xfId="0" applyNumberFormat="1" applyFont="1" applyFill="1" applyBorder="1" applyAlignment="1">
      <alignment horizontal="right" vertical="center"/>
    </xf>
    <xf numFmtId="2" fontId="12" fillId="21" borderId="2" xfId="0" applyNumberFormat="1" applyFont="1" applyFill="1" applyBorder="1" applyAlignment="1">
      <alignment horizontal="right"/>
    </xf>
    <xf numFmtId="2" fontId="12" fillId="21" borderId="30" xfId="0" applyNumberFormat="1" applyFont="1" applyFill="1" applyBorder="1" applyAlignment="1">
      <alignment horizontal="right"/>
    </xf>
    <xf numFmtId="2" fontId="0" fillId="0" borderId="2" xfId="0" applyNumberFormat="1" applyFill="1" applyBorder="1"/>
    <xf numFmtId="2" fontId="12" fillId="0" borderId="22" xfId="0" applyNumberFormat="1" applyFont="1" applyBorder="1" applyAlignment="1">
      <alignment horizontal="right"/>
    </xf>
    <xf numFmtId="2" fontId="12" fillId="0" borderId="37" xfId="0" applyNumberFormat="1" applyFont="1" applyBorder="1" applyAlignment="1">
      <alignment horizontal="center"/>
    </xf>
    <xf numFmtId="2" fontId="12" fillId="0" borderId="7" xfId="0" applyNumberFormat="1" applyFont="1" applyBorder="1" applyAlignment="1">
      <alignment horizontal="center"/>
    </xf>
    <xf numFmtId="2" fontId="12" fillId="21" borderId="27" xfId="0" applyNumberFormat="1" applyFont="1" applyFill="1" applyBorder="1" applyAlignment="1">
      <alignment horizontal="right"/>
    </xf>
    <xf numFmtId="2" fontId="12" fillId="21" borderId="41" xfId="0" applyNumberFormat="1" applyFont="1" applyFill="1" applyBorder="1" applyAlignment="1">
      <alignment horizontal="right"/>
    </xf>
    <xf numFmtId="2" fontId="12" fillId="21" borderId="31" xfId="0" applyNumberFormat="1" applyFont="1" applyFill="1" applyBorder="1" applyAlignment="1">
      <alignment horizontal="right"/>
    </xf>
    <xf numFmtId="2" fontId="12" fillId="21" borderId="28" xfId="0" applyNumberFormat="1" applyFont="1" applyFill="1" applyBorder="1" applyAlignment="1">
      <alignment horizontal="right"/>
    </xf>
    <xf numFmtId="2" fontId="2" fillId="21" borderId="1" xfId="0" applyNumberFormat="1" applyFont="1" applyFill="1" applyBorder="1" applyAlignment="1">
      <alignment horizontal="right" vertical="center"/>
    </xf>
    <xf numFmtId="2" fontId="2" fillId="21" borderId="2" xfId="0" applyNumberFormat="1" applyFont="1" applyFill="1" applyBorder="1" applyAlignment="1">
      <alignment horizontal="right" vertical="center"/>
    </xf>
    <xf numFmtId="2" fontId="2" fillId="21" borderId="30" xfId="0" applyNumberFormat="1" applyFont="1" applyFill="1" applyBorder="1" applyAlignment="1">
      <alignment horizontal="right" vertical="center"/>
    </xf>
    <xf numFmtId="2" fontId="2" fillId="0" borderId="1" xfId="0" applyNumberFormat="1" applyFont="1" applyBorder="1" applyAlignment="1">
      <alignment horizontal="right" vertical="center"/>
    </xf>
    <xf numFmtId="2" fontId="2" fillId="0" borderId="2" xfId="0" applyNumberFormat="1" applyFont="1" applyBorder="1" applyAlignment="1">
      <alignment horizontal="right" vertical="center"/>
    </xf>
    <xf numFmtId="2" fontId="2" fillId="0" borderId="30" xfId="0" applyNumberFormat="1" applyFont="1" applyBorder="1" applyAlignment="1">
      <alignment horizontal="right" vertical="center"/>
    </xf>
    <xf numFmtId="2" fontId="2" fillId="21" borderId="27" xfId="0" applyNumberFormat="1" applyFont="1" applyFill="1" applyBorder="1" applyAlignment="1">
      <alignment horizontal="right" vertical="center"/>
    </xf>
    <xf numFmtId="2" fontId="2" fillId="21" borderId="41" xfId="0" applyNumberFormat="1" applyFont="1" applyFill="1" applyBorder="1" applyAlignment="1">
      <alignment horizontal="right" vertical="center"/>
    </xf>
    <xf numFmtId="2" fontId="2" fillId="21" borderId="31" xfId="0" applyNumberFormat="1" applyFont="1" applyFill="1" applyBorder="1" applyAlignment="1">
      <alignment horizontal="right" vertical="center"/>
    </xf>
    <xf numFmtId="2" fontId="2" fillId="21" borderId="1" xfId="1" applyNumberFormat="1" applyFont="1" applyFill="1" applyBorder="1" applyAlignment="1">
      <alignment horizontal="right" vertical="center"/>
    </xf>
    <xf numFmtId="2" fontId="2" fillId="21" borderId="2" xfId="1" applyNumberFormat="1" applyFont="1" applyFill="1" applyBorder="1" applyAlignment="1">
      <alignment horizontal="right" vertical="center"/>
    </xf>
    <xf numFmtId="2" fontId="2" fillId="21" borderId="30" xfId="1" applyNumberFormat="1" applyFont="1" applyFill="1" applyBorder="1" applyAlignment="1">
      <alignment horizontal="right" vertical="center"/>
    </xf>
    <xf numFmtId="2" fontId="12" fillId="21" borderId="1" xfId="1" applyNumberFormat="1" applyFont="1" applyFill="1" applyBorder="1" applyAlignment="1">
      <alignment horizontal="right" vertical="center"/>
    </xf>
    <xf numFmtId="2" fontId="2" fillId="0" borderId="1" xfId="1" applyNumberFormat="1" applyFont="1" applyBorder="1" applyAlignment="1">
      <alignment horizontal="right" vertical="center"/>
    </xf>
    <xf numFmtId="2" fontId="2" fillId="0" borderId="2" xfId="1" applyNumberFormat="1" applyFont="1" applyBorder="1" applyAlignment="1">
      <alignment horizontal="right" vertical="center"/>
    </xf>
    <xf numFmtId="2" fontId="2" fillId="0" borderId="30" xfId="1" applyNumberFormat="1" applyFont="1" applyBorder="1" applyAlignment="1">
      <alignment horizontal="right" vertical="center"/>
    </xf>
    <xf numFmtId="2" fontId="12" fillId="0" borderId="1" xfId="1" applyNumberFormat="1" applyFont="1" applyBorder="1" applyAlignment="1">
      <alignment horizontal="right" vertical="center"/>
    </xf>
    <xf numFmtId="2" fontId="2" fillId="21" borderId="7" xfId="1" applyNumberFormat="1" applyFont="1" applyFill="1" applyBorder="1" applyAlignment="1">
      <alignment horizontal="right" vertical="center"/>
    </xf>
    <xf numFmtId="2" fontId="2" fillId="21" borderId="22" xfId="1" applyNumberFormat="1" applyFont="1" applyFill="1" applyBorder="1" applyAlignment="1">
      <alignment horizontal="right" vertical="center"/>
    </xf>
    <xf numFmtId="2" fontId="2" fillId="21" borderId="37" xfId="1" applyNumberFormat="1" applyFont="1" applyFill="1" applyBorder="1" applyAlignment="1">
      <alignment horizontal="right" vertical="center"/>
    </xf>
    <xf numFmtId="2" fontId="12" fillId="21" borderId="7" xfId="1" applyNumberFormat="1" applyFont="1" applyFill="1" applyBorder="1" applyAlignment="1">
      <alignment horizontal="right" vertical="center"/>
    </xf>
    <xf numFmtId="2" fontId="16" fillId="21" borderId="1" xfId="0" applyNumberFormat="1" applyFont="1" applyFill="1" applyBorder="1" applyAlignment="1">
      <alignment horizontal="center" wrapText="1"/>
    </xf>
    <xf numFmtId="2" fontId="12" fillId="0" borderId="3" xfId="0" applyNumberFormat="1" applyFont="1" applyFill="1" applyBorder="1" applyAlignment="1">
      <alignment horizontal="right" vertical="center"/>
    </xf>
    <xf numFmtId="2" fontId="12" fillId="0" borderId="24" xfId="0" applyNumberFormat="1" applyFont="1" applyFill="1" applyBorder="1" applyAlignment="1">
      <alignment horizontal="right" vertical="center"/>
    </xf>
    <xf numFmtId="2" fontId="12" fillId="0" borderId="32" xfId="0" applyNumberFormat="1" applyFont="1" applyBorder="1" applyAlignment="1">
      <alignment horizontal="right" vertical="center"/>
    </xf>
    <xf numFmtId="2" fontId="12" fillId="0" borderId="6" xfId="0" applyNumberFormat="1" applyFont="1" applyBorder="1" applyAlignment="1">
      <alignment horizontal="right" vertical="center"/>
    </xf>
    <xf numFmtId="2" fontId="12" fillId="0" borderId="27" xfId="0" applyNumberFormat="1" applyFont="1" applyBorder="1" applyAlignment="1">
      <alignment horizontal="right"/>
    </xf>
    <xf numFmtId="2" fontId="12" fillId="0" borderId="28" xfId="0" applyNumberFormat="1" applyFont="1" applyBorder="1" applyAlignment="1">
      <alignment horizontal="right"/>
    </xf>
    <xf numFmtId="2" fontId="12" fillId="0" borderId="33" xfId="0" applyNumberFormat="1" applyFont="1" applyBorder="1" applyAlignment="1">
      <alignment horizontal="right" vertical="center"/>
    </xf>
    <xf numFmtId="2" fontId="12" fillId="0" borderId="9" xfId="0" applyNumberFormat="1" applyFont="1" applyBorder="1" applyAlignment="1">
      <alignment horizontal="right" vertical="center"/>
    </xf>
    <xf numFmtId="2" fontId="12" fillId="0" borderId="4" xfId="0" applyNumberFormat="1" applyFont="1" applyBorder="1" applyAlignment="1">
      <alignment horizontal="right" vertical="center"/>
    </xf>
    <xf numFmtId="2" fontId="12" fillId="0" borderId="36" xfId="0" applyNumberFormat="1" applyFont="1" applyBorder="1" applyAlignment="1">
      <alignment horizontal="right" vertical="center"/>
    </xf>
    <xf numFmtId="2" fontId="0" fillId="0" borderId="35" xfId="0" applyNumberFormat="1" applyFill="1" applyBorder="1"/>
    <xf numFmtId="2" fontId="0" fillId="0" borderId="4" xfId="0" applyNumberFormat="1" applyFill="1" applyBorder="1"/>
    <xf numFmtId="2" fontId="12" fillId="0" borderId="26" xfId="0" applyNumberFormat="1" applyFont="1" applyBorder="1" applyAlignment="1">
      <alignment horizontal="right" wrapText="1"/>
    </xf>
    <xf numFmtId="2" fontId="12" fillId="0" borderId="28" xfId="0" applyNumberFormat="1" applyFont="1" applyBorder="1" applyAlignment="1">
      <alignment horizontal="right" wrapText="1"/>
    </xf>
    <xf numFmtId="2" fontId="12" fillId="0" borderId="56" xfId="0" applyNumberFormat="1" applyFont="1" applyBorder="1" applyAlignment="1">
      <alignment horizontal="right" vertical="center"/>
    </xf>
    <xf numFmtId="2" fontId="12" fillId="0" borderId="7" xfId="0" applyNumberFormat="1" applyFont="1" applyBorder="1" applyAlignment="1">
      <alignment horizontal="right" vertical="center"/>
    </xf>
    <xf numFmtId="2" fontId="12" fillId="0" borderId="34" xfId="0" applyNumberFormat="1" applyFont="1" applyBorder="1" applyAlignment="1">
      <alignment horizontal="right" vertical="center"/>
    </xf>
    <xf numFmtId="2" fontId="12" fillId="0" borderId="3" xfId="0" applyNumberFormat="1" applyFont="1" applyBorder="1"/>
    <xf numFmtId="2" fontId="12" fillId="0" borderId="24" xfId="0" applyNumberFormat="1" applyFont="1" applyBorder="1"/>
    <xf numFmtId="2" fontId="12" fillId="0" borderId="32" xfId="0" applyNumberFormat="1" applyFont="1" applyBorder="1" applyAlignment="1">
      <alignment horizontal="right"/>
    </xf>
    <xf numFmtId="2" fontId="12" fillId="0" borderId="3" xfId="0" applyNumberFormat="1" applyFont="1" applyBorder="1" applyAlignment="1">
      <alignment horizontal="right"/>
    </xf>
    <xf numFmtId="2" fontId="12" fillId="0" borderId="24" xfId="0" applyNumberFormat="1" applyFont="1" applyBorder="1" applyAlignment="1">
      <alignment horizontal="right"/>
    </xf>
    <xf numFmtId="2" fontId="12" fillId="0" borderId="26" xfId="0" applyNumberFormat="1" applyFont="1" applyBorder="1"/>
    <xf numFmtId="2" fontId="12" fillId="0" borderId="33" xfId="0" applyNumberFormat="1" applyFont="1" applyBorder="1" applyAlignment="1">
      <alignment horizontal="right"/>
    </xf>
    <xf numFmtId="2" fontId="12" fillId="0" borderId="6" xfId="0" applyNumberFormat="1" applyFont="1" applyBorder="1"/>
    <xf numFmtId="2" fontId="0" fillId="0" borderId="1" xfId="0" applyNumberFormat="1" applyFont="1" applyFill="1" applyBorder="1" applyAlignment="1">
      <alignment horizontal="center" wrapText="1"/>
    </xf>
    <xf numFmtId="2" fontId="12" fillId="0" borderId="28" xfId="0" applyNumberFormat="1" applyFont="1" applyBorder="1"/>
    <xf numFmtId="2" fontId="0" fillId="0" borderId="1" xfId="0" applyNumberFormat="1" applyFont="1" applyFill="1" applyBorder="1" applyAlignment="1">
      <alignment wrapText="1"/>
    </xf>
    <xf numFmtId="2" fontId="12" fillId="0" borderId="9" xfId="0" applyNumberFormat="1" applyFont="1" applyBorder="1"/>
    <xf numFmtId="2" fontId="12" fillId="0" borderId="4" xfId="0" applyNumberFormat="1" applyFont="1" applyBorder="1"/>
    <xf numFmtId="2" fontId="12" fillId="0" borderId="36" xfId="0" applyNumberFormat="1" applyFont="1" applyBorder="1"/>
    <xf numFmtId="0" fontId="0" fillId="0" borderId="0" xfId="0"/>
    <xf numFmtId="2" fontId="0" fillId="0" borderId="31" xfId="0" applyNumberFormat="1" applyFill="1" applyBorder="1"/>
    <xf numFmtId="43" fontId="12" fillId="0" borderId="1" xfId="1" applyFont="1" applyFill="1" applyBorder="1"/>
    <xf numFmtId="43" fontId="12" fillId="0" borderId="2" xfId="1" applyFont="1" applyFill="1" applyBorder="1"/>
    <xf numFmtId="43" fontId="12" fillId="0" borderId="30" xfId="1" applyFont="1" applyFill="1" applyBorder="1"/>
    <xf numFmtId="43" fontId="12" fillId="0" borderId="1" xfId="1" applyFont="1" applyFill="1" applyBorder="1" applyAlignment="1">
      <alignment horizontal="right"/>
    </xf>
    <xf numFmtId="43" fontId="12" fillId="0" borderId="26" xfId="1" applyFont="1" applyFill="1" applyBorder="1"/>
    <xf numFmtId="43" fontId="12" fillId="0" borderId="6" xfId="1" applyFont="1" applyFill="1" applyBorder="1" applyAlignment="1">
      <alignment horizontal="right" wrapText="1"/>
    </xf>
    <xf numFmtId="43" fontId="2" fillId="0" borderId="1" xfId="1" applyFont="1" applyFill="1" applyBorder="1" applyAlignment="1">
      <alignment horizontal="right" wrapText="1"/>
    </xf>
    <xf numFmtId="43" fontId="2" fillId="0" borderId="2" xfId="1" applyFont="1" applyFill="1" applyBorder="1" applyAlignment="1">
      <alignment horizontal="right" wrapText="1"/>
    </xf>
    <xf numFmtId="43" fontId="2" fillId="0" borderId="30" xfId="1" applyFont="1" applyFill="1" applyBorder="1" applyAlignment="1">
      <alignment horizontal="right" wrapText="1"/>
    </xf>
    <xf numFmtId="43" fontId="12" fillId="0" borderId="7" xfId="1" applyFont="1" applyFill="1" applyBorder="1"/>
    <xf numFmtId="43" fontId="12" fillId="0" borderId="22" xfId="1" applyFont="1" applyFill="1" applyBorder="1"/>
    <xf numFmtId="43" fontId="12" fillId="0" borderId="37" xfId="1" applyFont="1" applyFill="1" applyBorder="1"/>
    <xf numFmtId="43" fontId="12" fillId="0" borderId="7" xfId="1" applyFont="1" applyFill="1" applyBorder="1" applyAlignment="1">
      <alignment horizontal="right"/>
    </xf>
    <xf numFmtId="43" fontId="12" fillId="0" borderId="34" xfId="1" applyFont="1" applyFill="1" applyBorder="1"/>
    <xf numFmtId="43" fontId="0" fillId="0" borderId="56" xfId="1" applyFont="1" applyFill="1" applyBorder="1"/>
    <xf numFmtId="0" fontId="0" fillId="0" borderId="0" xfId="0"/>
    <xf numFmtId="0" fontId="10" fillId="17" borderId="16" xfId="0" applyFont="1" applyFill="1" applyBorder="1" applyAlignment="1">
      <alignment horizontal="center"/>
    </xf>
    <xf numFmtId="0" fontId="0" fillId="0" borderId="7" xfId="0" applyFont="1" applyBorder="1" applyAlignment="1">
      <alignment horizontal="center" vertical="center"/>
    </xf>
    <xf numFmtId="0" fontId="0" fillId="0" borderId="69" xfId="0" applyFont="1" applyBorder="1" applyAlignment="1">
      <alignment horizontal="center" vertical="center"/>
    </xf>
    <xf numFmtId="0" fontId="16" fillId="7" borderId="0" xfId="0" applyFont="1" applyFill="1" applyBorder="1" applyAlignment="1">
      <alignment horizontal="center"/>
    </xf>
    <xf numFmtId="0" fontId="16" fillId="17" borderId="16" xfId="0" applyFont="1" applyFill="1" applyBorder="1" applyAlignment="1">
      <alignment horizontal="center" vertical="center"/>
    </xf>
    <xf numFmtId="0" fontId="3" fillId="14" borderId="38" xfId="0" applyFont="1" applyFill="1" applyBorder="1" applyAlignment="1">
      <alignment horizontal="center" vertical="center"/>
    </xf>
    <xf numFmtId="0" fontId="3" fillId="14" borderId="63" xfId="0" applyFont="1" applyFill="1" applyBorder="1" applyAlignment="1">
      <alignment horizontal="center" vertical="center"/>
    </xf>
    <xf numFmtId="43" fontId="12" fillId="0" borderId="64" xfId="1" applyFont="1" applyFill="1" applyBorder="1"/>
    <xf numFmtId="43" fontId="3" fillId="11" borderId="0" xfId="1" applyFont="1" applyFill="1" applyBorder="1" applyAlignment="1">
      <alignment horizontal="center" vertical="center" wrapText="1"/>
    </xf>
    <xf numFmtId="43" fontId="10" fillId="11" borderId="0" xfId="1" applyFont="1" applyFill="1" applyBorder="1" applyAlignment="1">
      <alignment horizontal="center" vertical="center"/>
    </xf>
    <xf numFmtId="43" fontId="0" fillId="11" borderId="0" xfId="1" applyFont="1" applyFill="1"/>
    <xf numFmtId="43" fontId="0" fillId="11" borderId="66" xfId="1" applyFont="1" applyFill="1" applyBorder="1"/>
    <xf numFmtId="43" fontId="12" fillId="12" borderId="23" xfId="1" applyFont="1" applyFill="1" applyBorder="1" applyAlignment="1">
      <alignment horizontal="center" vertical="center" wrapText="1"/>
    </xf>
    <xf numFmtId="43" fontId="12" fillId="12" borderId="39" xfId="1" applyFont="1" applyFill="1" applyBorder="1" applyAlignment="1">
      <alignment horizontal="right" wrapText="1"/>
    </xf>
    <xf numFmtId="43" fontId="12" fillId="12" borderId="70" xfId="1" applyFont="1" applyFill="1" applyBorder="1" applyAlignment="1">
      <alignment horizontal="right" wrapText="1"/>
    </xf>
    <xf numFmtId="43" fontId="12" fillId="12" borderId="23" xfId="1" applyFont="1" applyFill="1" applyBorder="1" applyAlignment="1">
      <alignment horizontal="right" wrapText="1"/>
    </xf>
    <xf numFmtId="43" fontId="12" fillId="12" borderId="8" xfId="1" applyFont="1" applyFill="1" applyBorder="1" applyAlignment="1">
      <alignment horizontal="right" wrapText="1"/>
    </xf>
    <xf numFmtId="43" fontId="12" fillId="12" borderId="38" xfId="1" applyFont="1" applyFill="1" applyBorder="1" applyAlignment="1">
      <alignment horizontal="right" wrapText="1"/>
    </xf>
    <xf numFmtId="43" fontId="12" fillId="12" borderId="71" xfId="1" applyFont="1" applyFill="1" applyBorder="1" applyAlignment="1">
      <alignment horizontal="right" wrapText="1"/>
    </xf>
    <xf numFmtId="43" fontId="2" fillId="0" borderId="30" xfId="1" applyFont="1" applyFill="1" applyBorder="1" applyAlignment="1">
      <alignment wrapText="1"/>
    </xf>
    <xf numFmtId="43" fontId="12" fillId="0" borderId="26" xfId="1" applyFont="1" applyFill="1" applyBorder="1" applyAlignment="1">
      <alignment horizontal="right" wrapText="1"/>
    </xf>
    <xf numFmtId="43" fontId="2" fillId="0" borderId="30" xfId="1" applyFont="1" applyBorder="1" applyAlignment="1">
      <alignment wrapText="1"/>
    </xf>
    <xf numFmtId="43" fontId="2" fillId="0" borderId="37" xfId="1" applyFont="1" applyFill="1" applyBorder="1" applyAlignment="1">
      <alignment wrapText="1"/>
    </xf>
    <xf numFmtId="43" fontId="0" fillId="0" borderId="34" xfId="1" applyFont="1" applyFill="1" applyBorder="1"/>
    <xf numFmtId="43" fontId="0" fillId="11" borderId="0" xfId="1" applyFont="1" applyFill="1" applyBorder="1" applyAlignment="1">
      <alignment wrapText="1"/>
    </xf>
    <xf numFmtId="43" fontId="0" fillId="11" borderId="0" xfId="1" applyFont="1" applyFill="1" applyBorder="1"/>
    <xf numFmtId="43" fontId="0" fillId="11" borderId="0" xfId="1" applyFont="1" applyFill="1" applyBorder="1" applyAlignment="1">
      <alignment horizontal="right"/>
    </xf>
    <xf numFmtId="43" fontId="10" fillId="11" borderId="0" xfId="1" applyFont="1" applyFill="1"/>
    <xf numFmtId="43" fontId="12" fillId="12" borderId="46" xfId="1" applyFont="1" applyFill="1" applyBorder="1" applyAlignment="1">
      <alignment horizontal="center" vertical="center" wrapText="1"/>
    </xf>
    <xf numFmtId="43" fontId="12" fillId="12" borderId="18" xfId="1" applyFont="1" applyFill="1" applyBorder="1" applyAlignment="1">
      <alignment horizontal="right" wrapText="1"/>
    </xf>
    <xf numFmtId="43" fontId="12" fillId="12" borderId="51" xfId="1" applyFont="1" applyFill="1" applyBorder="1" applyAlignment="1">
      <alignment horizontal="right" wrapText="1"/>
    </xf>
    <xf numFmtId="43" fontId="12" fillId="12" borderId="46" xfId="1" applyFont="1" applyFill="1" applyBorder="1" applyAlignment="1">
      <alignment horizontal="right" wrapText="1"/>
    </xf>
    <xf numFmtId="43" fontId="12" fillId="12" borderId="19" xfId="1" applyFont="1" applyFill="1" applyBorder="1" applyAlignment="1">
      <alignment horizontal="right" wrapText="1"/>
    </xf>
    <xf numFmtId="43" fontId="12" fillId="0" borderId="69" xfId="1" applyFont="1" applyFill="1" applyBorder="1" applyAlignment="1">
      <alignment horizontal="right" wrapText="1"/>
    </xf>
    <xf numFmtId="43" fontId="12" fillId="0" borderId="65" xfId="1" applyFont="1" applyFill="1" applyBorder="1" applyAlignment="1">
      <alignment horizontal="right" wrapText="1"/>
    </xf>
    <xf numFmtId="43" fontId="12" fillId="0" borderId="25" xfId="1" applyFont="1" applyFill="1" applyBorder="1" applyAlignment="1">
      <alignment horizontal="right" wrapText="1"/>
    </xf>
    <xf numFmtId="43" fontId="12" fillId="0" borderId="29" xfId="1" applyFont="1" applyFill="1" applyBorder="1" applyAlignment="1">
      <alignment horizontal="right" wrapText="1"/>
    </xf>
    <xf numFmtId="43" fontId="12" fillId="0" borderId="24" xfId="1" applyFont="1" applyFill="1" applyBorder="1" applyAlignment="1">
      <alignment horizontal="right" wrapText="1"/>
    </xf>
    <xf numFmtId="43" fontId="2" fillId="0" borderId="1" xfId="1" applyFont="1" applyBorder="1" applyAlignment="1">
      <alignment horizontal="right" wrapText="1"/>
    </xf>
    <xf numFmtId="43" fontId="2" fillId="0" borderId="2" xfId="1" applyFont="1" applyBorder="1" applyAlignment="1">
      <alignment horizontal="right" wrapText="1"/>
    </xf>
    <xf numFmtId="43" fontId="2" fillId="0" borderId="30" xfId="1" applyFont="1" applyBorder="1" applyAlignment="1">
      <alignment horizontal="right" wrapText="1"/>
    </xf>
    <xf numFmtId="43" fontId="12" fillId="0" borderId="1" xfId="1" applyFont="1" applyBorder="1"/>
    <xf numFmtId="43" fontId="12" fillId="0" borderId="2" xfId="1" applyFont="1" applyBorder="1"/>
    <xf numFmtId="43" fontId="0" fillId="0" borderId="30" xfId="1" applyFont="1" applyFill="1" applyBorder="1" applyAlignment="1">
      <alignment horizontal="right"/>
    </xf>
    <xf numFmtId="43" fontId="0" fillId="0" borderId="26" xfId="1" applyFont="1" applyFill="1" applyBorder="1"/>
    <xf numFmtId="43" fontId="0" fillId="0" borderId="30" xfId="1" applyFont="1" applyFill="1" applyBorder="1" applyAlignment="1">
      <alignment horizontal="right" wrapText="1"/>
    </xf>
    <xf numFmtId="43" fontId="0" fillId="0" borderId="1" xfId="1" applyFont="1" applyFill="1" applyBorder="1" applyAlignment="1">
      <alignment horizontal="right" wrapText="1"/>
    </xf>
    <xf numFmtId="43" fontId="12" fillId="0" borderId="30" xfId="1" applyFont="1" applyBorder="1"/>
    <xf numFmtId="43" fontId="12" fillId="0" borderId="7" xfId="1" applyFont="1" applyBorder="1"/>
    <xf numFmtId="43" fontId="12" fillId="0" borderId="22" xfId="1" applyFont="1" applyBorder="1"/>
    <xf numFmtId="43" fontId="12" fillId="0" borderId="37" xfId="1" applyFont="1" applyBorder="1"/>
    <xf numFmtId="43" fontId="0" fillId="0" borderId="31" xfId="1" applyFont="1" applyFill="1" applyBorder="1" applyAlignment="1">
      <alignment horizontal="right" wrapText="1"/>
    </xf>
    <xf numFmtId="43" fontId="0" fillId="0" borderId="27" xfId="1" applyFont="1" applyFill="1" applyBorder="1" applyAlignment="1">
      <alignment horizontal="center" wrapText="1"/>
    </xf>
    <xf numFmtId="43" fontId="0" fillId="0" borderId="28" xfId="1" applyFont="1" applyFill="1" applyBorder="1"/>
    <xf numFmtId="43" fontId="12" fillId="11" borderId="0" xfId="1" applyFont="1" applyFill="1" applyBorder="1" applyAlignment="1">
      <alignment horizontal="right" wrapText="1"/>
    </xf>
    <xf numFmtId="43" fontId="0" fillId="11" borderId="0" xfId="1" applyFont="1" applyFill="1" applyBorder="1" applyAlignment="1">
      <alignment horizontal="center" wrapText="1"/>
    </xf>
    <xf numFmtId="43" fontId="12" fillId="11" borderId="0" xfId="1" applyFont="1" applyFill="1" applyBorder="1" applyAlignment="1">
      <alignment horizontal="center" wrapText="1"/>
    </xf>
    <xf numFmtId="43" fontId="12" fillId="12" borderId="16" xfId="1" applyFont="1" applyFill="1" applyBorder="1" applyAlignment="1">
      <alignment horizontal="right" wrapText="1"/>
    </xf>
    <xf numFmtId="43" fontId="12" fillId="0" borderId="35" xfId="1" applyFont="1" applyBorder="1" applyAlignment="1">
      <alignment horizontal="left" readingOrder="1"/>
    </xf>
    <xf numFmtId="43" fontId="12" fillId="0" borderId="4" xfId="1" applyFont="1" applyBorder="1"/>
    <xf numFmtId="43" fontId="12" fillId="0" borderId="40" xfId="1" applyFont="1" applyBorder="1"/>
    <xf numFmtId="43" fontId="12" fillId="0" borderId="35" xfId="1" applyFont="1" applyBorder="1" applyAlignment="1">
      <alignment horizontal="right"/>
    </xf>
    <xf numFmtId="43" fontId="12" fillId="0" borderId="4" xfId="1" applyFont="1" applyFill="1" applyBorder="1"/>
    <xf numFmtId="43" fontId="12" fillId="0" borderId="36" xfId="1" applyFont="1" applyBorder="1"/>
    <xf numFmtId="43" fontId="0" fillId="0" borderId="35" xfId="1" applyFont="1" applyFill="1" applyBorder="1" applyAlignment="1">
      <alignment horizontal="right" wrapText="1"/>
    </xf>
    <xf numFmtId="43" fontId="0" fillId="0" borderId="4" xfId="1" applyFont="1" applyFill="1" applyBorder="1" applyAlignment="1">
      <alignment horizontal="right" vertical="center" wrapText="1"/>
    </xf>
    <xf numFmtId="43" fontId="11" fillId="0" borderId="36" xfId="1" applyFont="1" applyFill="1" applyBorder="1" applyAlignment="1">
      <alignment horizontal="center" vertical="center" wrapText="1"/>
    </xf>
    <xf numFmtId="43" fontId="12" fillId="0" borderId="26" xfId="1" applyFont="1" applyBorder="1"/>
    <xf numFmtId="43" fontId="0" fillId="0" borderId="1" xfId="1" applyFont="1" applyFill="1" applyBorder="1" applyAlignment="1">
      <alignment horizontal="right" vertical="center" wrapText="1"/>
    </xf>
    <xf numFmtId="43" fontId="11" fillId="0" borderId="26" xfId="1" applyFont="1" applyFill="1" applyBorder="1" applyAlignment="1">
      <alignment horizontal="center" vertical="center" wrapText="1"/>
    </xf>
    <xf numFmtId="43" fontId="12" fillId="0" borderId="30" xfId="1" applyFont="1" applyBorder="1" applyAlignment="1">
      <alignment horizontal="left" readingOrder="1"/>
    </xf>
    <xf numFmtId="43" fontId="12" fillId="0" borderId="30" xfId="1" applyFont="1" applyBorder="1" applyAlignment="1">
      <alignment horizontal="right"/>
    </xf>
    <xf numFmtId="43" fontId="9" fillId="0" borderId="30" xfId="1" applyFont="1" applyFill="1" applyBorder="1" applyAlignment="1">
      <alignment horizontal="right" wrapText="1"/>
    </xf>
    <xf numFmtId="43" fontId="9" fillId="0" borderId="1" xfId="1" applyFont="1" applyFill="1" applyBorder="1" applyAlignment="1">
      <alignment horizontal="right" vertical="center" wrapText="1"/>
    </xf>
    <xf numFmtId="43" fontId="12" fillId="0" borderId="30" xfId="1" applyFont="1" applyFill="1" applyBorder="1" applyAlignment="1">
      <alignment horizontal="right" wrapText="1"/>
    </xf>
    <xf numFmtId="43" fontId="11" fillId="0" borderId="1" xfId="1" applyFont="1" applyFill="1" applyBorder="1" applyAlignment="1">
      <alignment horizontal="right" vertical="center" wrapText="1"/>
    </xf>
    <xf numFmtId="43" fontId="0" fillId="0" borderId="1" xfId="1" applyFont="1" applyFill="1" applyBorder="1" applyAlignment="1">
      <alignment horizontal="right"/>
    </xf>
    <xf numFmtId="43" fontId="0" fillId="0" borderId="1" xfId="1" applyFont="1" applyFill="1" applyBorder="1" applyAlignment="1">
      <alignment horizontal="center" vertical="center"/>
    </xf>
    <xf numFmtId="43" fontId="0" fillId="0" borderId="31" xfId="1" applyFont="1" applyFill="1" applyBorder="1" applyAlignment="1">
      <alignment horizontal="right"/>
    </xf>
    <xf numFmtId="43" fontId="0" fillId="0" borderId="27" xfId="1" applyFont="1" applyFill="1" applyBorder="1" applyAlignment="1">
      <alignment horizontal="right"/>
    </xf>
    <xf numFmtId="43" fontId="0" fillId="0" borderId="27" xfId="1" applyFont="1" applyFill="1" applyBorder="1" applyAlignment="1">
      <alignment horizontal="center" vertical="center"/>
    </xf>
    <xf numFmtId="43" fontId="10" fillId="11" borderId="0" xfId="1" applyFont="1" applyFill="1" applyBorder="1" applyAlignment="1">
      <alignment wrapText="1"/>
    </xf>
    <xf numFmtId="43" fontId="10" fillId="11" borderId="0" xfId="1" applyFont="1" applyFill="1" applyBorder="1"/>
    <xf numFmtId="43" fontId="0" fillId="11" borderId="0" xfId="1" applyFont="1" applyFill="1" applyBorder="1" applyAlignment="1">
      <alignment horizontal="right" wrapText="1"/>
    </xf>
    <xf numFmtId="43" fontId="12" fillId="0" borderId="29" xfId="1" applyFont="1" applyBorder="1"/>
    <xf numFmtId="43" fontId="12" fillId="0" borderId="3" xfId="1" applyFont="1" applyBorder="1"/>
    <xf numFmtId="43" fontId="12" fillId="0" borderId="24" xfId="1" applyFont="1" applyBorder="1"/>
    <xf numFmtId="43" fontId="12" fillId="0" borderId="9" xfId="1" applyFont="1" applyBorder="1" applyAlignment="1">
      <alignment horizontal="right"/>
    </xf>
    <xf numFmtId="43" fontId="12" fillId="0" borderId="40" xfId="1" applyFont="1" applyBorder="1" applyAlignment="1">
      <alignment horizontal="right" vertical="center"/>
    </xf>
    <xf numFmtId="43" fontId="0" fillId="0" borderId="35" xfId="1" applyFont="1" applyFill="1" applyBorder="1" applyAlignment="1">
      <alignment horizontal="right"/>
    </xf>
    <xf numFmtId="43" fontId="0" fillId="0" borderId="4" xfId="1" applyFont="1" applyFill="1" applyBorder="1"/>
    <xf numFmtId="43" fontId="0" fillId="0" borderId="36" xfId="1" applyFont="1" applyFill="1" applyBorder="1"/>
    <xf numFmtId="43" fontId="12" fillId="0" borderId="6" xfId="1" applyFont="1" applyBorder="1" applyAlignment="1">
      <alignment horizontal="right"/>
    </xf>
    <xf numFmtId="43" fontId="12" fillId="0" borderId="2" xfId="1" applyFont="1" applyBorder="1" applyAlignment="1">
      <alignment horizontal="right" vertical="center"/>
    </xf>
    <xf numFmtId="43" fontId="12" fillId="0" borderId="30" xfId="1" applyFont="1" applyBorder="1" applyAlignment="1">
      <alignment wrapText="1"/>
    </xf>
    <xf numFmtId="43" fontId="12" fillId="0" borderId="1" xfId="1" applyFont="1" applyBorder="1" applyAlignment="1">
      <alignment horizontal="right"/>
    </xf>
    <xf numFmtId="43" fontId="12" fillId="0" borderId="26" xfId="1" applyFont="1" applyBorder="1" applyAlignment="1">
      <alignment horizontal="right" vertical="center"/>
    </xf>
    <xf numFmtId="43" fontId="12" fillId="0" borderId="31" xfId="1" applyFont="1" applyBorder="1" applyAlignment="1">
      <alignment wrapText="1"/>
    </xf>
    <xf numFmtId="43" fontId="12" fillId="0" borderId="27" xfId="1" applyFont="1" applyBorder="1" applyAlignment="1">
      <alignment horizontal="right"/>
    </xf>
    <xf numFmtId="43" fontId="12" fillId="0" borderId="27" xfId="1" applyFont="1" applyBorder="1"/>
    <xf numFmtId="43" fontId="12" fillId="0" borderId="28" xfId="1" applyFont="1" applyBorder="1" applyAlignment="1">
      <alignment horizontal="right" vertical="center"/>
    </xf>
    <xf numFmtId="43" fontId="12" fillId="0" borderId="56" xfId="1" applyFont="1" applyBorder="1" applyAlignment="1">
      <alignment horizontal="right"/>
    </xf>
    <xf numFmtId="43" fontId="12" fillId="0" borderId="22" xfId="1" applyFont="1" applyBorder="1" applyAlignment="1">
      <alignment horizontal="right" vertical="center"/>
    </xf>
    <xf numFmtId="43" fontId="12" fillId="11" borderId="0" xfId="1" applyFont="1" applyFill="1" applyBorder="1" applyAlignment="1">
      <alignment horizontal="right"/>
    </xf>
    <xf numFmtId="43" fontId="12" fillId="11" borderId="0" xfId="1" applyFont="1" applyFill="1" applyBorder="1"/>
    <xf numFmtId="43" fontId="12" fillId="0" borderId="35" xfId="1" applyFont="1" applyBorder="1" applyAlignment="1">
      <alignment wrapText="1"/>
    </xf>
    <xf numFmtId="43" fontId="12" fillId="0" borderId="29" xfId="1" applyFont="1" applyBorder="1" applyAlignment="1">
      <alignment horizontal="right"/>
    </xf>
    <xf numFmtId="43" fontId="12" fillId="0" borderId="24" xfId="1" applyFont="1" applyBorder="1" applyAlignment="1">
      <alignment horizontal="center" vertical="center"/>
    </xf>
    <xf numFmtId="43" fontId="0" fillId="0" borderId="35" xfId="1" applyFont="1" applyFill="1" applyBorder="1" applyAlignment="1">
      <alignment horizontal="center"/>
    </xf>
    <xf numFmtId="43" fontId="12" fillId="0" borderId="26" xfId="1" applyFont="1" applyBorder="1" applyAlignment="1">
      <alignment horizontal="center" vertical="center"/>
    </xf>
    <xf numFmtId="43" fontId="0" fillId="0" borderId="30" xfId="1" applyFont="1" applyFill="1" applyBorder="1" applyAlignment="1">
      <alignment horizontal="center"/>
    </xf>
    <xf numFmtId="43" fontId="12" fillId="0" borderId="2" xfId="1" applyFont="1" applyBorder="1" applyAlignment="1">
      <alignment horizontal="center" vertical="center"/>
    </xf>
    <xf numFmtId="43" fontId="0" fillId="0" borderId="30" xfId="1" applyFont="1" applyFill="1" applyBorder="1" applyAlignment="1">
      <alignment horizontal="center" wrapText="1"/>
    </xf>
    <xf numFmtId="43" fontId="12" fillId="0" borderId="30" xfId="1" applyFont="1" applyFill="1" applyBorder="1" applyAlignment="1">
      <alignment horizontal="center"/>
    </xf>
    <xf numFmtId="43" fontId="12" fillId="0" borderId="1" xfId="1" applyFont="1" applyFill="1" applyBorder="1" applyAlignment="1"/>
    <xf numFmtId="43" fontId="12" fillId="0" borderId="26" xfId="1" applyFont="1" applyFill="1" applyBorder="1" applyAlignment="1">
      <alignment horizontal="center" vertical="center"/>
    </xf>
    <xf numFmtId="43" fontId="11" fillId="0" borderId="26" xfId="1" applyFont="1" applyFill="1" applyBorder="1" applyAlignment="1">
      <alignment horizontal="center" vertical="center"/>
    </xf>
    <xf numFmtId="43" fontId="12" fillId="0" borderId="26" xfId="1" applyFont="1" applyFill="1" applyBorder="1" applyAlignment="1">
      <alignment horizontal="center" vertical="center" wrapText="1"/>
    </xf>
    <xf numFmtId="43" fontId="12" fillId="0" borderId="30" xfId="1" applyFont="1" applyFill="1" applyBorder="1" applyAlignment="1">
      <alignment horizontal="center" vertical="center" wrapText="1"/>
    </xf>
    <xf numFmtId="43" fontId="12" fillId="0" borderId="37" xfId="1" applyFont="1" applyBorder="1" applyAlignment="1">
      <alignment wrapText="1"/>
    </xf>
    <xf numFmtId="43" fontId="12" fillId="0" borderId="31" xfId="1" applyFont="1" applyBorder="1" applyAlignment="1">
      <alignment horizontal="right"/>
    </xf>
    <xf numFmtId="43" fontId="12" fillId="0" borderId="28" xfId="1" applyFont="1" applyBorder="1" applyAlignment="1">
      <alignment horizontal="center" vertical="center"/>
    </xf>
    <xf numFmtId="43" fontId="0" fillId="0" borderId="31" xfId="1" applyFont="1" applyFill="1" applyBorder="1" applyAlignment="1">
      <alignment horizontal="center"/>
    </xf>
    <xf numFmtId="43" fontId="12" fillId="0" borderId="27" xfId="1" applyFont="1" applyFill="1" applyBorder="1"/>
    <xf numFmtId="43" fontId="12" fillId="0" borderId="28" xfId="1" applyFont="1" applyFill="1" applyBorder="1"/>
    <xf numFmtId="43" fontId="12" fillId="11" borderId="0" xfId="1" applyFont="1" applyFill="1" applyBorder="1" applyAlignment="1">
      <alignment wrapText="1"/>
    </xf>
    <xf numFmtId="43" fontId="12" fillId="4" borderId="35" xfId="1" applyFont="1" applyFill="1" applyBorder="1"/>
    <xf numFmtId="43" fontId="12" fillId="3" borderId="1" xfId="1" applyFont="1" applyFill="1" applyBorder="1" applyAlignment="1">
      <alignment horizontal="right" vertical="center"/>
    </xf>
    <xf numFmtId="43" fontId="0" fillId="3" borderId="1" xfId="1" applyFont="1" applyFill="1" applyBorder="1" applyAlignment="1">
      <alignment horizontal="right" vertical="center"/>
    </xf>
    <xf numFmtId="43" fontId="12" fillId="3" borderId="2" xfId="1" applyFont="1" applyFill="1" applyBorder="1" applyAlignment="1">
      <alignment horizontal="right" vertical="center"/>
    </xf>
    <xf numFmtId="43" fontId="0" fillId="3" borderId="29" xfId="1" applyFont="1" applyFill="1" applyBorder="1" applyAlignment="1">
      <alignment horizontal="right" vertical="center"/>
    </xf>
    <xf numFmtId="43" fontId="0" fillId="3" borderId="3" xfId="1" applyFont="1" applyFill="1" applyBorder="1" applyAlignment="1">
      <alignment horizontal="right" vertical="center"/>
    </xf>
    <xf numFmtId="43" fontId="0" fillId="0" borderId="3" xfId="1" applyFont="1" applyBorder="1" applyAlignment="1">
      <alignment horizontal="right" vertical="center"/>
    </xf>
    <xf numFmtId="43" fontId="0" fillId="0" borderId="24" xfId="1" applyFont="1" applyBorder="1" applyAlignment="1">
      <alignment horizontal="right" vertical="center"/>
    </xf>
    <xf numFmtId="43" fontId="0" fillId="0" borderId="30" xfId="1" applyFont="1" applyBorder="1" applyAlignment="1">
      <alignment horizontal="right" vertical="center"/>
    </xf>
    <xf numFmtId="43" fontId="22" fillId="4" borderId="73" xfId="1" applyFont="1" applyFill="1" applyBorder="1" applyAlignment="1">
      <alignment horizontal="center" vertical="center"/>
    </xf>
    <xf numFmtId="43" fontId="0" fillId="0" borderId="3" xfId="1" applyFont="1" applyFill="1" applyBorder="1" applyAlignment="1">
      <alignment horizontal="right"/>
    </xf>
    <xf numFmtId="43" fontId="49" fillId="4" borderId="60" xfId="1" applyFont="1" applyFill="1" applyBorder="1" applyAlignment="1">
      <alignment horizontal="center" vertical="center"/>
    </xf>
    <xf numFmtId="43" fontId="12" fillId="4" borderId="30" xfId="1" applyFont="1" applyFill="1" applyBorder="1"/>
    <xf numFmtId="43" fontId="0" fillId="3" borderId="30" xfId="1" applyFont="1" applyFill="1" applyBorder="1" applyAlignment="1">
      <alignment horizontal="right" vertical="center"/>
    </xf>
    <xf numFmtId="43" fontId="0" fillId="0" borderId="1" xfId="1" applyFont="1" applyBorder="1" applyAlignment="1">
      <alignment horizontal="right" vertical="center"/>
    </xf>
    <xf numFmtId="43" fontId="0" fillId="0" borderId="26" xfId="1" applyFont="1" applyBorder="1" applyAlignment="1">
      <alignment horizontal="right" vertical="center"/>
    </xf>
    <xf numFmtId="43" fontId="22" fillId="4" borderId="14" xfId="1" applyFont="1" applyFill="1" applyBorder="1" applyAlignment="1">
      <alignment horizontal="center" vertical="center"/>
    </xf>
    <xf numFmtId="43" fontId="0" fillId="3" borderId="26" xfId="1" applyFont="1" applyFill="1" applyBorder="1" applyAlignment="1">
      <alignment horizontal="right" vertical="center"/>
    </xf>
    <xf numFmtId="43" fontId="9" fillId="0" borderId="1" xfId="1" applyFont="1" applyFill="1" applyBorder="1" applyAlignment="1">
      <alignment horizontal="right"/>
    </xf>
    <xf numFmtId="43" fontId="12" fillId="0" borderId="1" xfId="1" applyFont="1" applyFill="1" applyBorder="1" applyAlignment="1">
      <alignment horizontal="right" vertical="center"/>
    </xf>
    <xf numFmtId="43" fontId="12" fillId="4" borderId="37" xfId="1" applyFont="1" applyFill="1" applyBorder="1"/>
    <xf numFmtId="43" fontId="0" fillId="3" borderId="31" xfId="1" applyFont="1" applyFill="1" applyBorder="1" applyAlignment="1">
      <alignment horizontal="right" vertical="center"/>
    </xf>
    <xf numFmtId="43" fontId="0" fillId="3" borderId="27" xfId="1" applyFont="1" applyFill="1" applyBorder="1" applyAlignment="1">
      <alignment horizontal="right" vertical="center"/>
    </xf>
    <xf numFmtId="43" fontId="0" fillId="0" borderId="27" xfId="1" applyFont="1" applyBorder="1" applyAlignment="1">
      <alignment horizontal="right" vertical="center"/>
    </xf>
    <xf numFmtId="43" fontId="0" fillId="0" borderId="28" xfId="1" applyFont="1" applyBorder="1" applyAlignment="1">
      <alignment horizontal="right" vertical="center"/>
    </xf>
    <xf numFmtId="43" fontId="0" fillId="0" borderId="31" xfId="1" applyFont="1" applyBorder="1" applyAlignment="1">
      <alignment horizontal="right" vertical="center"/>
    </xf>
    <xf numFmtId="2" fontId="0" fillId="0" borderId="38" xfId="0" applyNumberFormat="1" applyFill="1" applyBorder="1"/>
    <xf numFmtId="2" fontId="0" fillId="0" borderId="63" xfId="0" applyNumberFormat="1" applyFill="1" applyBorder="1"/>
    <xf numFmtId="0" fontId="0" fillId="12" borderId="51" xfId="0" applyFont="1" applyFill="1" applyBorder="1" applyAlignment="1">
      <alignment horizontal="right"/>
    </xf>
    <xf numFmtId="2" fontId="0" fillId="0" borderId="15" xfId="0" applyNumberFormat="1" applyFill="1" applyBorder="1"/>
    <xf numFmtId="2" fontId="0" fillId="0" borderId="14" xfId="0" applyNumberFormat="1" applyFill="1" applyBorder="1"/>
    <xf numFmtId="2" fontId="0" fillId="0" borderId="5" xfId="0" applyNumberFormat="1" applyFill="1" applyBorder="1"/>
    <xf numFmtId="2" fontId="0" fillId="0" borderId="65" xfId="0" applyNumberFormat="1" applyFill="1" applyBorder="1" applyAlignment="1">
      <alignment horizontal="right" vertical="center"/>
    </xf>
    <xf numFmtId="43" fontId="0" fillId="0" borderId="70" xfId="1" applyNumberFormat="1" applyFont="1" applyFill="1" applyBorder="1" applyAlignment="1">
      <alignment horizontal="right" vertical="center"/>
    </xf>
    <xf numFmtId="43" fontId="0" fillId="0" borderId="65" xfId="1" applyNumberFormat="1" applyFont="1" applyFill="1" applyBorder="1" applyAlignment="1">
      <alignment horizontal="right" vertical="center"/>
    </xf>
    <xf numFmtId="43" fontId="0" fillId="0" borderId="42" xfId="1" applyNumberFormat="1" applyFont="1" applyFill="1" applyBorder="1" applyAlignment="1">
      <alignment horizontal="right" vertical="center"/>
    </xf>
    <xf numFmtId="43" fontId="0" fillId="0" borderId="67" xfId="1" applyNumberFormat="1" applyFont="1" applyFill="1" applyBorder="1" applyAlignment="1">
      <alignment horizontal="right" vertical="center"/>
    </xf>
    <xf numFmtId="2" fontId="0" fillId="0" borderId="6" xfId="0" applyNumberFormat="1" applyFill="1" applyBorder="1"/>
    <xf numFmtId="0" fontId="50" fillId="4" borderId="41" xfId="0" applyFont="1" applyFill="1" applyBorder="1" applyAlignment="1">
      <alignment horizontal="right"/>
    </xf>
    <xf numFmtId="0" fontId="0" fillId="12" borderId="8" xfId="0" applyFont="1" applyFill="1" applyBorder="1" applyAlignment="1">
      <alignment horizontal="right"/>
    </xf>
    <xf numFmtId="166" fontId="0" fillId="0" borderId="41" xfId="0" applyNumberFormat="1" applyFill="1" applyBorder="1"/>
    <xf numFmtId="166" fontId="0" fillId="0" borderId="27" xfId="0" applyNumberFormat="1" applyFont="1" applyFill="1" applyBorder="1"/>
    <xf numFmtId="2" fontId="0" fillId="21" borderId="1" xfId="0" applyNumberFormat="1" applyFont="1" applyFill="1" applyBorder="1"/>
    <xf numFmtId="0" fontId="16" fillId="16" borderId="44" xfId="0" applyFont="1" applyFill="1" applyBorder="1" applyAlignment="1">
      <alignment horizontal="center" vertical="center" wrapText="1"/>
    </xf>
    <xf numFmtId="169" fontId="0" fillId="0" borderId="70" xfId="1" applyNumberFormat="1" applyFont="1" applyFill="1" applyBorder="1"/>
    <xf numFmtId="169" fontId="0" fillId="0" borderId="65" xfId="1" applyNumberFormat="1" applyFont="1" applyFill="1" applyBorder="1"/>
    <xf numFmtId="169" fontId="0" fillId="0" borderId="67" xfId="1" applyNumberFormat="1" applyFont="1" applyFill="1" applyBorder="1"/>
    <xf numFmtId="171" fontId="0" fillId="0" borderId="70" xfId="1" applyNumberFormat="1" applyFont="1" applyFill="1" applyBorder="1"/>
    <xf numFmtId="171" fontId="0" fillId="0" borderId="65" xfId="1" applyNumberFormat="1" applyFont="1" applyFill="1" applyBorder="1"/>
    <xf numFmtId="171" fontId="0" fillId="0" borderId="67" xfId="1" applyNumberFormat="1" applyFont="1" applyFill="1" applyBorder="1"/>
    <xf numFmtId="2" fontId="0" fillId="0" borderId="11" xfId="0" applyNumberFormat="1" applyFont="1" applyFill="1" applyBorder="1"/>
    <xf numFmtId="2" fontId="0" fillId="0" borderId="42" xfId="0" applyNumberFormat="1" applyFont="1" applyFill="1" applyBorder="1"/>
    <xf numFmtId="0" fontId="0" fillId="0" borderId="42" xfId="0" applyFont="1" applyBorder="1" applyAlignment="1">
      <alignment horizontal="right" vertical="center" wrapText="1"/>
    </xf>
    <xf numFmtId="0" fontId="0" fillId="0" borderId="13" xfId="0" applyFont="1" applyBorder="1" applyAlignment="1">
      <alignment horizontal="right" vertical="center" wrapText="1"/>
    </xf>
    <xf numFmtId="0" fontId="0" fillId="0" borderId="11" xfId="0" applyFont="1" applyBorder="1" applyAlignment="1">
      <alignment horizontal="right" vertical="center" wrapText="1"/>
    </xf>
    <xf numFmtId="0" fontId="47" fillId="0" borderId="42" xfId="0" applyFont="1" applyBorder="1" applyAlignment="1">
      <alignment horizontal="center" vertical="center" wrapText="1"/>
    </xf>
    <xf numFmtId="0" fontId="47" fillId="0" borderId="11" xfId="0" applyFont="1" applyBorder="1" applyAlignment="1">
      <alignment horizontal="center" vertical="center" wrapText="1"/>
    </xf>
    <xf numFmtId="0" fontId="47" fillId="0" borderId="13" xfId="0" applyFont="1" applyBorder="1" applyAlignment="1">
      <alignment horizontal="center" vertical="center" wrapText="1"/>
    </xf>
    <xf numFmtId="2" fontId="11" fillId="0" borderId="71" xfId="0" applyNumberFormat="1" applyFont="1" applyFill="1" applyBorder="1" applyAlignment="1">
      <alignment horizontal="right" vertical="top" wrapText="1"/>
    </xf>
    <xf numFmtId="0" fontId="0" fillId="0" borderId="48" xfId="0" applyFill="1" applyBorder="1"/>
    <xf numFmtId="0" fontId="15" fillId="0" borderId="48" xfId="0" applyFont="1" applyFill="1" applyBorder="1"/>
    <xf numFmtId="2" fontId="2" fillId="0" borderId="48" xfId="0" applyNumberFormat="1" applyFont="1" applyFill="1" applyBorder="1" applyAlignment="1">
      <alignment horizontal="right" vertical="center"/>
    </xf>
    <xf numFmtId="2" fontId="21" fillId="0" borderId="48" xfId="0" applyNumberFormat="1" applyFont="1" applyFill="1" applyBorder="1" applyAlignment="1">
      <alignment horizontal="right" vertical="center"/>
    </xf>
    <xf numFmtId="0" fontId="11" fillId="0" borderId="48" xfId="0" applyFont="1" applyFill="1" applyBorder="1" applyAlignment="1">
      <alignment horizontal="right"/>
    </xf>
    <xf numFmtId="2" fontId="2" fillId="0" borderId="6" xfId="0" applyNumberFormat="1" applyFont="1" applyFill="1" applyBorder="1" applyAlignment="1">
      <alignment horizontal="right" vertical="center"/>
    </xf>
    <xf numFmtId="2" fontId="21" fillId="0" borderId="6" xfId="0" applyNumberFormat="1" applyFont="1" applyFill="1" applyBorder="1" applyAlignment="1">
      <alignment horizontal="right" vertical="center"/>
    </xf>
    <xf numFmtId="0" fontId="11" fillId="0" borderId="6" xfId="0" applyFont="1" applyFill="1" applyBorder="1" applyAlignment="1">
      <alignment horizontal="right"/>
    </xf>
    <xf numFmtId="0" fontId="0" fillId="0" borderId="43" xfId="0" applyFill="1" applyBorder="1"/>
    <xf numFmtId="0" fontId="0" fillId="0" borderId="49" xfId="0" applyFill="1" applyBorder="1"/>
    <xf numFmtId="166" fontId="7" fillId="0" borderId="2" xfId="3" applyNumberFormat="1" applyFont="1" applyFill="1" applyBorder="1" applyAlignment="1">
      <alignment horizontal="left" wrapText="1"/>
    </xf>
    <xf numFmtId="166" fontId="5" fillId="0" borderId="2" xfId="1" applyNumberFormat="1" applyFont="1" applyFill="1" applyBorder="1" applyAlignment="1">
      <alignment horizontal="center" vertical="center"/>
    </xf>
    <xf numFmtId="166" fontId="9" fillId="0" borderId="2" xfId="1" applyNumberFormat="1" applyFont="1" applyFill="1" applyBorder="1" applyAlignment="1">
      <alignment horizontal="center" vertical="center"/>
    </xf>
    <xf numFmtId="166" fontId="11" fillId="0" borderId="2" xfId="0" applyNumberFormat="1" applyFont="1" applyFill="1" applyBorder="1"/>
    <xf numFmtId="166" fontId="0" fillId="0" borderId="2" xfId="0" applyNumberFormat="1" applyFont="1" applyFill="1" applyBorder="1"/>
    <xf numFmtId="2" fontId="16" fillId="0" borderId="65" xfId="0" applyNumberFormat="1" applyFont="1" applyFill="1" applyBorder="1" applyAlignment="1">
      <alignment horizontal="center" wrapText="1"/>
    </xf>
    <xf numFmtId="166" fontId="16" fillId="0" borderId="2" xfId="0" applyNumberFormat="1" applyFont="1" applyFill="1" applyBorder="1" applyAlignment="1">
      <alignment horizontal="center" wrapText="1"/>
    </xf>
    <xf numFmtId="166" fontId="0" fillId="0" borderId="1" xfId="0" applyNumberFormat="1" applyFont="1" applyFill="1" applyBorder="1" applyAlignment="1">
      <alignment horizontal="center" wrapText="1"/>
    </xf>
    <xf numFmtId="0" fontId="0" fillId="11" borderId="0" xfId="0" applyFont="1" applyFill="1" applyBorder="1" applyAlignment="1">
      <alignment horizontal="center" wrapText="1"/>
    </xf>
    <xf numFmtId="2" fontId="12" fillId="0" borderId="44" xfId="0" applyNumberFormat="1" applyFont="1" applyFill="1" applyBorder="1" applyAlignment="1">
      <alignment horizontal="center" wrapText="1"/>
    </xf>
    <xf numFmtId="2" fontId="0" fillId="0" borderId="44" xfId="0" applyNumberFormat="1" applyFont="1" applyFill="1" applyBorder="1" applyAlignment="1">
      <alignment horizontal="center" vertical="top" wrapText="1"/>
    </xf>
    <xf numFmtId="2" fontId="12" fillId="0" borderId="44" xfId="0" applyNumberFormat="1" applyFont="1" applyFill="1" applyBorder="1" applyAlignment="1">
      <alignment horizontal="center" vertical="top" wrapText="1"/>
    </xf>
    <xf numFmtId="2" fontId="12" fillId="0" borderId="39" xfId="0" applyNumberFormat="1" applyFont="1" applyFill="1" applyBorder="1" applyAlignment="1">
      <alignment horizontal="center" vertical="top" wrapText="1"/>
    </xf>
    <xf numFmtId="2" fontId="12" fillId="0" borderId="69" xfId="0" applyNumberFormat="1" applyFont="1" applyFill="1" applyBorder="1" applyAlignment="1">
      <alignment horizontal="center" vertical="top" wrapText="1"/>
    </xf>
    <xf numFmtId="2" fontId="0" fillId="0" borderId="69" xfId="0" applyNumberFormat="1" applyFont="1" applyFill="1" applyBorder="1" applyAlignment="1">
      <alignment horizontal="center" vertical="top" wrapText="1"/>
    </xf>
    <xf numFmtId="0" fontId="0" fillId="3" borderId="0" xfId="0" applyFont="1" applyFill="1" applyAlignment="1">
      <alignment horizontal="center"/>
    </xf>
    <xf numFmtId="0" fontId="0" fillId="11" borderId="0" xfId="0" applyFont="1" applyFill="1" applyAlignment="1">
      <alignment horizontal="center"/>
    </xf>
    <xf numFmtId="0" fontId="12" fillId="11" borderId="73" xfId="0" applyFont="1" applyFill="1" applyBorder="1" applyAlignment="1">
      <alignment horizontal="center" wrapText="1"/>
    </xf>
    <xf numFmtId="2" fontId="0" fillId="0" borderId="69" xfId="0" applyNumberFormat="1" applyFont="1" applyFill="1" applyBorder="1" applyAlignment="1">
      <alignment horizontal="center"/>
    </xf>
    <xf numFmtId="2" fontId="0" fillId="0" borderId="44" xfId="0" applyNumberFormat="1" applyFont="1" applyFill="1" applyBorder="1" applyAlignment="1">
      <alignment horizontal="center"/>
    </xf>
    <xf numFmtId="2" fontId="0" fillId="0" borderId="39" xfId="0" applyNumberFormat="1" applyFont="1" applyFill="1" applyBorder="1" applyAlignment="1">
      <alignment horizontal="center"/>
    </xf>
    <xf numFmtId="1" fontId="16" fillId="11" borderId="0" xfId="0" applyNumberFormat="1" applyFont="1" applyFill="1" applyBorder="1" applyAlignment="1">
      <alignment horizontal="center" vertical="center" wrapText="1"/>
    </xf>
    <xf numFmtId="169" fontId="16" fillId="11" borderId="0" xfId="1" applyNumberFormat="1" applyFont="1" applyFill="1" applyBorder="1" applyAlignment="1">
      <alignment horizontal="center" vertical="center" wrapText="1"/>
    </xf>
    <xf numFmtId="10" fontId="16" fillId="11" borderId="0" xfId="4" applyNumberFormat="1" applyFont="1" applyFill="1" applyBorder="1" applyAlignment="1">
      <alignment horizontal="center" vertical="center" wrapText="1"/>
    </xf>
    <xf numFmtId="0" fontId="0" fillId="11" borderId="0" xfId="0" applyFont="1" applyFill="1" applyBorder="1" applyAlignment="1">
      <alignment horizontal="center"/>
    </xf>
    <xf numFmtId="2" fontId="25" fillId="0" borderId="39" xfId="0" applyNumberFormat="1" applyFont="1" applyFill="1" applyBorder="1" applyAlignment="1">
      <alignment horizontal="center"/>
    </xf>
    <xf numFmtId="2" fontId="25" fillId="0" borderId="69" xfId="0" applyNumberFormat="1" applyFont="1" applyFill="1" applyBorder="1" applyAlignment="1">
      <alignment horizontal="center"/>
    </xf>
    <xf numFmtId="2" fontId="25" fillId="0" borderId="44" xfId="0" applyNumberFormat="1" applyFont="1" applyFill="1" applyBorder="1" applyAlignment="1">
      <alignment horizontal="center"/>
    </xf>
    <xf numFmtId="0" fontId="25" fillId="11" borderId="0" xfId="0" applyFont="1" applyFill="1" applyBorder="1" applyAlignment="1">
      <alignment horizontal="center"/>
    </xf>
    <xf numFmtId="0" fontId="12" fillId="12" borderId="18" xfId="0" applyFont="1" applyFill="1" applyBorder="1" applyAlignment="1">
      <alignment horizontal="center" wrapText="1"/>
    </xf>
    <xf numFmtId="166" fontId="0" fillId="0" borderId="4" xfId="0" applyNumberFormat="1" applyFont="1" applyFill="1" applyBorder="1" applyAlignment="1">
      <alignment horizontal="center"/>
    </xf>
    <xf numFmtId="166" fontId="0" fillId="0" borderId="1" xfId="0" applyNumberFormat="1" applyFont="1" applyFill="1" applyBorder="1" applyAlignment="1">
      <alignment horizontal="center"/>
    </xf>
    <xf numFmtId="166" fontId="0" fillId="21" borderId="1" xfId="0" applyNumberFormat="1" applyFont="1" applyFill="1" applyBorder="1" applyAlignment="1">
      <alignment horizontal="center"/>
    </xf>
    <xf numFmtId="166" fontId="0" fillId="21" borderId="1" xfId="0" applyNumberFormat="1" applyFont="1" applyFill="1" applyBorder="1" applyAlignment="1">
      <alignment horizontal="center" wrapText="1"/>
    </xf>
    <xf numFmtId="2" fontId="0" fillId="21" borderId="1" xfId="0" applyNumberFormat="1" applyFont="1" applyFill="1" applyBorder="1" applyAlignment="1">
      <alignment horizontal="center"/>
    </xf>
    <xf numFmtId="2" fontId="0" fillId="0" borderId="1" xfId="0" applyNumberFormat="1" applyFont="1" applyFill="1" applyBorder="1" applyAlignment="1">
      <alignment horizontal="center"/>
    </xf>
    <xf numFmtId="2" fontId="0" fillId="0" borderId="4" xfId="0" applyNumberFormat="1" applyFont="1" applyFill="1" applyBorder="1" applyAlignment="1">
      <alignment horizontal="center"/>
    </xf>
    <xf numFmtId="0" fontId="0" fillId="11" borderId="5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3" fillId="5" borderId="45" xfId="0" applyFont="1" applyFill="1" applyBorder="1" applyAlignment="1">
      <alignment horizontal="center" vertical="center" wrapText="1"/>
    </xf>
    <xf numFmtId="0" fontId="12" fillId="11" borderId="17" xfId="0" applyFont="1" applyFill="1" applyBorder="1" applyAlignment="1">
      <alignment horizontal="right" wrapText="1"/>
    </xf>
    <xf numFmtId="2" fontId="13" fillId="0" borderId="70" xfId="0" applyNumberFormat="1" applyFont="1" applyFill="1" applyBorder="1" applyAlignment="1">
      <alignment wrapText="1"/>
    </xf>
    <xf numFmtId="2" fontId="13" fillId="0" borderId="65" xfId="0" applyNumberFormat="1" applyFont="1" applyFill="1" applyBorder="1" applyAlignment="1">
      <alignment horizontal="center" wrapText="1"/>
    </xf>
    <xf numFmtId="2" fontId="13" fillId="0" borderId="67" xfId="0" applyNumberFormat="1" applyFont="1" applyFill="1" applyBorder="1" applyAlignment="1">
      <alignment horizontal="center" wrapText="1"/>
    </xf>
    <xf numFmtId="2" fontId="13" fillId="0" borderId="70" xfId="0" applyNumberFormat="1" applyFont="1" applyFill="1" applyBorder="1" applyAlignment="1">
      <alignment horizontal="center" wrapText="1"/>
    </xf>
    <xf numFmtId="2" fontId="14" fillId="0" borderId="67" xfId="0" applyNumberFormat="1" applyFont="1" applyFill="1" applyBorder="1" applyAlignment="1">
      <alignment horizontal="center" vertical="top" wrapText="1"/>
    </xf>
    <xf numFmtId="2" fontId="0" fillId="0" borderId="70" xfId="0" applyNumberFormat="1" applyFont="1" applyFill="1" applyBorder="1" applyAlignment="1">
      <alignment horizontal="center" vertical="center"/>
    </xf>
    <xf numFmtId="2" fontId="13" fillId="0" borderId="65" xfId="0" applyNumberFormat="1" applyFont="1" applyFill="1" applyBorder="1" applyAlignment="1">
      <alignment wrapText="1"/>
    </xf>
    <xf numFmtId="2" fontId="13" fillId="0" borderId="67" xfId="0" applyNumberFormat="1" applyFont="1" applyFill="1" applyBorder="1" applyAlignment="1">
      <alignment horizontal="center" vertical="top" wrapText="1"/>
    </xf>
    <xf numFmtId="2" fontId="13" fillId="0" borderId="70" xfId="0" applyNumberFormat="1" applyFont="1" applyFill="1" applyBorder="1" applyAlignment="1">
      <alignment horizontal="center" vertical="top" wrapText="1"/>
    </xf>
    <xf numFmtId="2" fontId="13" fillId="0" borderId="65" xfId="0" applyNumberFormat="1" applyFont="1" applyFill="1" applyBorder="1" applyAlignment="1">
      <alignment horizontal="center" vertical="top" wrapText="1"/>
    </xf>
    <xf numFmtId="2" fontId="14" fillId="0" borderId="65" xfId="0" applyNumberFormat="1" applyFont="1" applyFill="1" applyBorder="1" applyAlignment="1">
      <alignment horizontal="center" vertical="top" wrapText="1"/>
    </xf>
    <xf numFmtId="2" fontId="12" fillId="0" borderId="65" xfId="0" applyNumberFormat="1" applyFont="1" applyFill="1" applyBorder="1" applyAlignment="1">
      <alignment horizontal="center" vertical="center"/>
    </xf>
    <xf numFmtId="2" fontId="13" fillId="0" borderId="70" xfId="0" applyNumberFormat="1" applyFont="1" applyFill="1" applyBorder="1" applyAlignment="1">
      <alignment horizontal="center" vertical="center" wrapText="1"/>
    </xf>
    <xf numFmtId="2" fontId="13" fillId="0" borderId="65" xfId="0" applyNumberFormat="1" applyFont="1" applyFill="1" applyBorder="1" applyAlignment="1">
      <alignment horizontal="center" vertical="center" wrapText="1"/>
    </xf>
    <xf numFmtId="2" fontId="13" fillId="0" borderId="65" xfId="0" applyNumberFormat="1" applyFont="1" applyFill="1" applyBorder="1" applyAlignment="1">
      <alignment horizontal="center" vertical="center"/>
    </xf>
    <xf numFmtId="2" fontId="13" fillId="0" borderId="67" xfId="0" applyNumberFormat="1" applyFont="1" applyFill="1" applyBorder="1" applyAlignment="1">
      <alignment horizontal="center" vertical="center"/>
    </xf>
    <xf numFmtId="2" fontId="13" fillId="0" borderId="70" xfId="0" applyNumberFormat="1" applyFont="1" applyFill="1" applyBorder="1" applyAlignment="1">
      <alignment horizontal="center" vertical="center"/>
    </xf>
    <xf numFmtId="2" fontId="12" fillId="0" borderId="67" xfId="0" applyNumberFormat="1" applyFont="1" applyFill="1" applyBorder="1" applyAlignment="1">
      <alignment horizontal="center" vertical="center"/>
    </xf>
    <xf numFmtId="2" fontId="25" fillId="0" borderId="70" xfId="0" applyNumberFormat="1" applyFont="1" applyFill="1" applyBorder="1"/>
    <xf numFmtId="2" fontId="25" fillId="0" borderId="65" xfId="0" applyNumberFormat="1" applyFont="1" applyFill="1" applyBorder="1"/>
    <xf numFmtId="2" fontId="25" fillId="0" borderId="67" xfId="0" applyNumberFormat="1" applyFont="1" applyFill="1" applyBorder="1"/>
    <xf numFmtId="166" fontId="12" fillId="0" borderId="40" xfId="0" applyNumberFormat="1" applyFont="1" applyFill="1" applyBorder="1" applyAlignment="1">
      <alignment horizontal="center" vertical="center"/>
    </xf>
    <xf numFmtId="2" fontId="11" fillId="0" borderId="6" xfId="0" applyNumberFormat="1" applyFont="1" applyFill="1" applyBorder="1" applyAlignment="1">
      <alignment horizontal="right" vertical="center"/>
    </xf>
    <xf numFmtId="2" fontId="17" fillId="0" borderId="67" xfId="0" applyNumberFormat="1" applyFont="1" applyFill="1" applyBorder="1" applyAlignment="1">
      <alignment horizontal="center" wrapText="1"/>
    </xf>
    <xf numFmtId="2" fontId="14" fillId="0" borderId="70" xfId="0" applyNumberFormat="1" applyFont="1" applyFill="1" applyBorder="1" applyAlignment="1">
      <alignment horizontal="center" vertical="top" wrapText="1"/>
    </xf>
    <xf numFmtId="2" fontId="13" fillId="0" borderId="65" xfId="0" applyNumberFormat="1" applyFont="1" applyFill="1" applyBorder="1" applyAlignment="1">
      <alignment horizontal="center"/>
    </xf>
    <xf numFmtId="2" fontId="13" fillId="0" borderId="65" xfId="0" applyNumberFormat="1" applyFont="1" applyFill="1" applyBorder="1" applyAlignment="1">
      <alignment vertical="top" wrapText="1"/>
    </xf>
    <xf numFmtId="2" fontId="14" fillId="0" borderId="67" xfId="0" applyNumberFormat="1" applyFont="1" applyFill="1" applyBorder="1" applyAlignment="1">
      <alignment horizontal="left" vertical="top" wrapText="1" indent="2"/>
    </xf>
    <xf numFmtId="2" fontId="13" fillId="0" borderId="70" xfId="0" applyNumberFormat="1" applyFont="1" applyFill="1" applyBorder="1"/>
    <xf numFmtId="2" fontId="13" fillId="0" borderId="65" xfId="0" applyNumberFormat="1" applyFont="1" applyFill="1" applyBorder="1"/>
    <xf numFmtId="2" fontId="13" fillId="0" borderId="70" xfId="0" applyNumberFormat="1" applyFont="1" applyFill="1" applyBorder="1" applyAlignment="1">
      <alignment horizontal="center"/>
    </xf>
    <xf numFmtId="166" fontId="4" fillId="0" borderId="40" xfId="0" applyNumberFormat="1" applyFont="1" applyFill="1" applyBorder="1" applyAlignment="1">
      <alignment horizontal="center" wrapText="1"/>
    </xf>
    <xf numFmtId="166" fontId="4" fillId="0" borderId="2" xfId="0" applyNumberFormat="1" applyFont="1" applyFill="1" applyBorder="1" applyAlignment="1">
      <alignment horizontal="center" wrapText="1"/>
    </xf>
    <xf numFmtId="166" fontId="2" fillId="0" borderId="2" xfId="0" applyNumberFormat="1" applyFont="1" applyFill="1" applyBorder="1" applyAlignment="1">
      <alignment horizontal="center" wrapText="1"/>
    </xf>
    <xf numFmtId="166" fontId="12" fillId="0" borderId="2" xfId="0" applyNumberFormat="1" applyFont="1" applyFill="1" applyBorder="1" applyAlignment="1">
      <alignment horizontal="right" wrapText="1"/>
    </xf>
    <xf numFmtId="166" fontId="12" fillId="0" borderId="2" xfId="0" applyNumberFormat="1" applyFont="1" applyFill="1" applyBorder="1" applyAlignment="1">
      <alignment horizontal="right" vertical="center" wrapText="1"/>
    </xf>
    <xf numFmtId="166" fontId="12" fillId="0" borderId="2" xfId="0" applyNumberFormat="1" applyFont="1" applyFill="1" applyBorder="1"/>
    <xf numFmtId="43" fontId="12" fillId="12" borderId="0" xfId="1" applyFont="1" applyFill="1" applyBorder="1" applyAlignment="1">
      <alignment horizontal="right" wrapText="1"/>
    </xf>
    <xf numFmtId="43" fontId="12" fillId="0" borderId="0" xfId="1" applyFont="1" applyFill="1" applyBorder="1" applyAlignment="1">
      <alignment horizontal="right" wrapText="1"/>
    </xf>
    <xf numFmtId="0" fontId="12" fillId="0" borderId="0" xfId="0" applyFont="1" applyFill="1" applyBorder="1" applyAlignment="1">
      <alignment horizontal="right" wrapText="1"/>
    </xf>
    <xf numFmtId="0" fontId="0" fillId="0" borderId="0" xfId="0" applyFont="1" applyFill="1" applyBorder="1" applyAlignment="1">
      <alignment horizontal="right" vertical="center"/>
    </xf>
    <xf numFmtId="2" fontId="11" fillId="0" borderId="0" xfId="0" applyNumberFormat="1" applyFont="1" applyFill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/>
    </xf>
    <xf numFmtId="0" fontId="0" fillId="0" borderId="69" xfId="0" applyFont="1" applyBorder="1" applyAlignment="1">
      <alignment horizontal="center" vertical="center"/>
    </xf>
    <xf numFmtId="0" fontId="3" fillId="5" borderId="20" xfId="0" applyFont="1" applyFill="1" applyBorder="1" applyAlignment="1">
      <alignment horizontal="center" vertical="center" wrapText="1"/>
    </xf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3" fillId="14" borderId="67" xfId="0" applyFont="1" applyFill="1" applyBorder="1" applyAlignment="1">
      <alignment horizontal="center" vertical="center" wrapText="1"/>
    </xf>
    <xf numFmtId="2" fontId="0" fillId="0" borderId="0" xfId="0" applyNumberFormat="1"/>
    <xf numFmtId="2" fontId="2" fillId="11" borderId="0" xfId="0" applyNumberFormat="1" applyFont="1" applyFill="1" applyBorder="1" applyAlignment="1">
      <alignment horizontal="center" vertical="center"/>
    </xf>
    <xf numFmtId="2" fontId="0" fillId="11" borderId="0" xfId="0" applyNumberFormat="1" applyFont="1" applyFill="1"/>
    <xf numFmtId="0" fontId="10" fillId="17" borderId="16" xfId="0" applyFont="1" applyFill="1" applyBorder="1" applyAlignment="1">
      <alignment horizontal="center"/>
    </xf>
    <xf numFmtId="0" fontId="3" fillId="5" borderId="20" xfId="0" applyFont="1" applyFill="1" applyBorder="1" applyAlignment="1">
      <alignment horizontal="center" vertical="center" wrapText="1"/>
    </xf>
    <xf numFmtId="2" fontId="12" fillId="0" borderId="65" xfId="0" applyNumberFormat="1" applyFont="1" applyFill="1" applyBorder="1" applyAlignment="1">
      <alignment horizontal="right" vertical="center" wrapText="1"/>
    </xf>
    <xf numFmtId="2" fontId="2" fillId="0" borderId="39" xfId="0" applyNumberFormat="1" applyFont="1" applyFill="1" applyBorder="1" applyAlignment="1">
      <alignment horizontal="center"/>
    </xf>
    <xf numFmtId="2" fontId="21" fillId="0" borderId="69" xfId="0" applyNumberFormat="1" applyFont="1" applyFill="1" applyBorder="1" applyAlignment="1">
      <alignment horizontal="center" wrapText="1"/>
    </xf>
    <xf numFmtId="0" fontId="0" fillId="0" borderId="39" xfId="0" applyFont="1" applyFill="1" applyBorder="1"/>
    <xf numFmtId="0" fontId="0" fillId="0" borderId="8" xfId="0" applyFont="1" applyFill="1" applyBorder="1"/>
    <xf numFmtId="0" fontId="0" fillId="0" borderId="69" xfId="0" applyFont="1" applyFill="1" applyBorder="1"/>
    <xf numFmtId="0" fontId="0" fillId="0" borderId="68" xfId="0" applyFont="1" applyFill="1" applyBorder="1"/>
    <xf numFmtId="0" fontId="0" fillId="0" borderId="42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0" fontId="0" fillId="0" borderId="44" xfId="0" applyFont="1" applyFill="1" applyBorder="1"/>
    <xf numFmtId="0" fontId="0" fillId="0" borderId="21" xfId="0" applyFont="1" applyFill="1" applyBorder="1"/>
    <xf numFmtId="0" fontId="0" fillId="0" borderId="42" xfId="0" applyFont="1" applyBorder="1"/>
    <xf numFmtId="2" fontId="21" fillId="0" borderId="39" xfId="0" applyNumberFormat="1" applyFont="1" applyFill="1" applyBorder="1" applyAlignment="1">
      <alignment horizontal="center"/>
    </xf>
    <xf numFmtId="2" fontId="2" fillId="0" borderId="69" xfId="0" applyNumberFormat="1" applyFont="1" applyFill="1" applyBorder="1" applyAlignment="1">
      <alignment horizontal="center"/>
    </xf>
    <xf numFmtId="2" fontId="2" fillId="0" borderId="44" xfId="0" applyNumberFormat="1" applyFont="1" applyFill="1" applyBorder="1" applyAlignment="1">
      <alignment horizontal="center"/>
    </xf>
    <xf numFmtId="0" fontId="21" fillId="0" borderId="69" xfId="0" applyFont="1" applyFill="1" applyBorder="1" applyAlignment="1">
      <alignment horizontal="center" vertical="top" wrapText="1"/>
    </xf>
    <xf numFmtId="0" fontId="0" fillId="3" borderId="66" xfId="0" applyFont="1" applyFill="1" applyBorder="1"/>
    <xf numFmtId="0" fontId="2" fillId="0" borderId="39" xfId="0" applyFont="1" applyFill="1" applyBorder="1" applyAlignment="1">
      <alignment horizontal="center" wrapText="1"/>
    </xf>
    <xf numFmtId="2" fontId="0" fillId="3" borderId="25" xfId="0" applyNumberFormat="1" applyFont="1" applyFill="1" applyBorder="1"/>
    <xf numFmtId="2" fontId="0" fillId="3" borderId="69" xfId="0" applyNumberFormat="1" applyFont="1" applyFill="1" applyBorder="1" applyAlignment="1">
      <alignment horizontal="center" vertical="center"/>
    </xf>
    <xf numFmtId="2" fontId="2" fillId="0" borderId="67" xfId="0" applyNumberFormat="1" applyFont="1" applyFill="1" applyBorder="1" applyAlignment="1">
      <alignment vertical="top" wrapText="1"/>
    </xf>
    <xf numFmtId="0" fontId="2" fillId="0" borderId="44" xfId="0" applyFont="1" applyFill="1" applyBorder="1" applyAlignment="1">
      <alignment vertical="top" wrapText="1"/>
    </xf>
    <xf numFmtId="0" fontId="2" fillId="0" borderId="69" xfId="0" applyFont="1" applyFill="1" applyBorder="1" applyAlignment="1">
      <alignment horizontal="center" vertical="top" wrapText="1"/>
    </xf>
    <xf numFmtId="2" fontId="0" fillId="0" borderId="13" xfId="0" applyNumberFormat="1" applyFont="1" applyFill="1" applyBorder="1"/>
    <xf numFmtId="0" fontId="0" fillId="0" borderId="3" xfId="0" applyFont="1" applyFill="1" applyBorder="1"/>
    <xf numFmtId="2" fontId="12" fillId="0" borderId="1" xfId="0" applyNumberFormat="1" applyFont="1" applyFill="1" applyBorder="1" applyAlignment="1">
      <alignment horizontal="center"/>
    </xf>
    <xf numFmtId="0" fontId="0" fillId="0" borderId="27" xfId="0" applyFont="1" applyFill="1" applyBorder="1"/>
    <xf numFmtId="0" fontId="0" fillId="11" borderId="9" xfId="0" applyFont="1" applyFill="1" applyBorder="1"/>
    <xf numFmtId="2" fontId="11" fillId="0" borderId="36" xfId="0" applyNumberFormat="1" applyFont="1" applyFill="1" applyBorder="1" applyAlignment="1">
      <alignment horizontal="right" wrapText="1"/>
    </xf>
    <xf numFmtId="2" fontId="11" fillId="0" borderId="26" xfId="0" applyNumberFormat="1" applyFont="1" applyFill="1" applyBorder="1" applyAlignment="1">
      <alignment horizontal="right" wrapText="1"/>
    </xf>
    <xf numFmtId="2" fontId="11" fillId="0" borderId="36" xfId="0" applyNumberFormat="1" applyFont="1" applyFill="1" applyBorder="1" applyAlignment="1">
      <alignment vertical="center" wrapText="1"/>
    </xf>
    <xf numFmtId="2" fontId="11" fillId="0" borderId="26" xfId="0" applyNumberFormat="1" applyFont="1" applyFill="1" applyBorder="1" applyAlignment="1">
      <alignment vertical="center" wrapText="1"/>
    </xf>
    <xf numFmtId="0" fontId="0" fillId="0" borderId="26" xfId="0" applyFill="1" applyBorder="1" applyAlignment="1"/>
    <xf numFmtId="0" fontId="0" fillId="0" borderId="28" xfId="0" applyFill="1" applyBorder="1" applyAlignment="1"/>
    <xf numFmtId="0" fontId="12" fillId="0" borderId="4" xfId="0" applyFont="1" applyFill="1" applyBorder="1" applyAlignment="1">
      <alignment horizontal="right" wrapText="1"/>
    </xf>
    <xf numFmtId="0" fontId="12" fillId="0" borderId="36" xfId="0" applyFont="1" applyFill="1" applyBorder="1" applyAlignment="1">
      <alignment horizontal="right" wrapText="1"/>
    </xf>
    <xf numFmtId="0" fontId="0" fillId="12" borderId="22" xfId="0" applyFont="1" applyFill="1" applyBorder="1" applyAlignment="1">
      <alignment horizontal="right" vertical="center"/>
    </xf>
    <xf numFmtId="0" fontId="10" fillId="17" borderId="12" xfId="1" applyNumberFormat="1" applyFont="1" applyFill="1" applyBorder="1" applyAlignment="1"/>
    <xf numFmtId="43" fontId="0" fillId="0" borderId="31" xfId="1" applyFont="1" applyFill="1" applyBorder="1"/>
    <xf numFmtId="0" fontId="0" fillId="0" borderId="66" xfId="0" applyFont="1" applyFill="1" applyBorder="1" applyAlignment="1">
      <alignment horizontal="right"/>
    </xf>
    <xf numFmtId="0" fontId="0" fillId="0" borderId="45" xfId="0" applyFont="1" applyFill="1" applyBorder="1" applyAlignment="1">
      <alignment horizontal="right"/>
    </xf>
    <xf numFmtId="2" fontId="26" fillId="0" borderId="66" xfId="0" applyNumberFormat="1" applyFont="1" applyFill="1" applyBorder="1" applyAlignment="1">
      <alignment horizontal="right"/>
    </xf>
    <xf numFmtId="2" fontId="0" fillId="0" borderId="66" xfId="0" applyNumberFormat="1" applyFont="1" applyFill="1" applyBorder="1" applyAlignment="1">
      <alignment horizontal="right"/>
    </xf>
    <xf numFmtId="2" fontId="0" fillId="0" borderId="45" xfId="0" applyNumberFormat="1" applyFont="1" applyFill="1" applyBorder="1" applyAlignment="1">
      <alignment horizontal="right"/>
    </xf>
    <xf numFmtId="2" fontId="2" fillId="0" borderId="71" xfId="0" applyNumberFormat="1" applyFont="1" applyFill="1" applyBorder="1" applyAlignment="1">
      <alignment horizontal="right" wrapText="1"/>
    </xf>
    <xf numFmtId="2" fontId="2" fillId="0" borderId="66" xfId="0" applyNumberFormat="1" applyFont="1" applyFill="1" applyBorder="1" applyAlignment="1">
      <alignment horizontal="right" vertical="top" wrapText="1"/>
    </xf>
    <xf numFmtId="2" fontId="21" fillId="0" borderId="66" xfId="0" applyNumberFormat="1" applyFont="1" applyFill="1" applyBorder="1" applyAlignment="1">
      <alignment horizontal="right" vertical="top" wrapText="1"/>
    </xf>
    <xf numFmtId="2" fontId="11" fillId="0" borderId="66" xfId="0" applyNumberFormat="1" applyFont="1" applyFill="1" applyBorder="1" applyAlignment="1">
      <alignment horizontal="right"/>
    </xf>
    <xf numFmtId="0" fontId="12" fillId="0" borderId="66" xfId="0" applyFont="1" applyFill="1" applyBorder="1" applyAlignment="1">
      <alignment horizontal="right" vertical="center"/>
    </xf>
    <xf numFmtId="0" fontId="0" fillId="0" borderId="66" xfId="0" applyFill="1" applyBorder="1" applyAlignment="1">
      <alignment horizontal="right"/>
    </xf>
    <xf numFmtId="0" fontId="0" fillId="0" borderId="45" xfId="0" applyFill="1" applyBorder="1" applyAlignment="1">
      <alignment horizontal="right"/>
    </xf>
    <xf numFmtId="0" fontId="12" fillId="0" borderId="71" xfId="0" applyFont="1" applyFill="1" applyBorder="1" applyAlignment="1">
      <alignment horizontal="right" vertical="top" wrapText="1"/>
    </xf>
    <xf numFmtId="0" fontId="12" fillId="0" borderId="66" xfId="0" applyFont="1" applyFill="1" applyBorder="1" applyAlignment="1">
      <alignment horizontal="right" vertical="top" wrapText="1"/>
    </xf>
    <xf numFmtId="0" fontId="0" fillId="0" borderId="66" xfId="0" applyFont="1" applyFill="1" applyBorder="1" applyAlignment="1">
      <alignment horizontal="right" vertical="top" wrapText="1"/>
    </xf>
    <xf numFmtId="0" fontId="20" fillId="0" borderId="71" xfId="0" applyFont="1" applyFill="1" applyBorder="1" applyAlignment="1">
      <alignment horizontal="right" vertical="top" wrapText="1"/>
    </xf>
    <xf numFmtId="0" fontId="20" fillId="0" borderId="66" xfId="0" applyFont="1" applyFill="1" applyBorder="1" applyAlignment="1">
      <alignment horizontal="right" vertical="top" wrapText="1"/>
    </xf>
    <xf numFmtId="0" fontId="37" fillId="0" borderId="66" xfId="0" applyFont="1" applyFill="1" applyBorder="1" applyAlignment="1">
      <alignment horizontal="right" vertical="top" wrapText="1"/>
    </xf>
    <xf numFmtId="0" fontId="20" fillId="0" borderId="66" xfId="0" applyFont="1" applyFill="1" applyBorder="1" applyAlignment="1">
      <alignment horizontal="right" vertical="center"/>
    </xf>
    <xf numFmtId="0" fontId="37" fillId="0" borderId="66" xfId="0" applyFont="1" applyFill="1" applyBorder="1" applyAlignment="1">
      <alignment horizontal="right"/>
    </xf>
    <xf numFmtId="0" fontId="37" fillId="0" borderId="45" xfId="0" applyFont="1" applyFill="1" applyBorder="1" applyAlignment="1">
      <alignment horizontal="right"/>
    </xf>
    <xf numFmtId="2" fontId="12" fillId="0" borderId="71" xfId="0" applyNumberFormat="1" applyFont="1" applyFill="1" applyBorder="1"/>
    <xf numFmtId="2" fontId="12" fillId="0" borderId="66" xfId="0" applyNumberFormat="1" applyFont="1" applyFill="1" applyBorder="1"/>
    <xf numFmtId="2" fontId="12" fillId="0" borderId="45" xfId="0" applyNumberFormat="1" applyFont="1" applyFill="1" applyBorder="1"/>
    <xf numFmtId="0" fontId="0" fillId="0" borderId="71" xfId="0" applyFont="1" applyFill="1" applyBorder="1" applyAlignment="1">
      <alignment horizontal="right"/>
    </xf>
    <xf numFmtId="0" fontId="0" fillId="0" borderId="71" xfId="0" applyFill="1" applyBorder="1" applyAlignment="1">
      <alignment horizontal="right"/>
    </xf>
    <xf numFmtId="0" fontId="13" fillId="0" borderId="66" xfId="0" applyFont="1" applyFill="1" applyBorder="1" applyAlignment="1">
      <alignment horizontal="right" wrapText="1"/>
    </xf>
    <xf numFmtId="0" fontId="37" fillId="0" borderId="71" xfId="0" applyFont="1" applyFill="1" applyBorder="1" applyAlignment="1">
      <alignment horizontal="right"/>
    </xf>
    <xf numFmtId="0" fontId="20" fillId="0" borderId="66" xfId="0" applyFont="1" applyFill="1" applyBorder="1" applyAlignment="1">
      <alignment horizontal="right" wrapText="1"/>
    </xf>
    <xf numFmtId="0" fontId="20" fillId="0" borderId="45" xfId="0" applyFont="1" applyFill="1" applyBorder="1" applyAlignment="1">
      <alignment horizontal="right" vertical="top" wrapText="1"/>
    </xf>
    <xf numFmtId="0" fontId="12" fillId="0" borderId="66" xfId="0" applyFont="1" applyFill="1" applyBorder="1" applyAlignment="1">
      <alignment horizontal="right" wrapText="1"/>
    </xf>
    <xf numFmtId="0" fontId="12" fillId="0" borderId="45" xfId="0" applyFont="1" applyFill="1" applyBorder="1" applyAlignment="1">
      <alignment horizontal="right" vertical="top" wrapText="1"/>
    </xf>
    <xf numFmtId="2" fontId="0" fillId="0" borderId="47" xfId="0" applyNumberFormat="1" applyFont="1" applyFill="1" applyBorder="1" applyAlignment="1">
      <alignment horizontal="right"/>
    </xf>
    <xf numFmtId="2" fontId="0" fillId="0" borderId="72" xfId="0" applyNumberFormat="1" applyFont="1" applyFill="1" applyBorder="1" applyAlignment="1">
      <alignment horizontal="right"/>
    </xf>
    <xf numFmtId="2" fontId="0" fillId="0" borderId="60" xfId="0" applyNumberFormat="1" applyFont="1" applyFill="1" applyBorder="1" applyAlignment="1">
      <alignment horizontal="right"/>
    </xf>
    <xf numFmtId="0" fontId="4" fillId="0" borderId="71" xfId="0" applyFont="1" applyFill="1" applyBorder="1" applyAlignment="1">
      <alignment horizontal="right" wrapText="1"/>
    </xf>
    <xf numFmtId="0" fontId="4" fillId="0" borderId="66" xfId="0" applyFont="1" applyFill="1" applyBorder="1" applyAlignment="1">
      <alignment horizontal="right" wrapText="1"/>
    </xf>
    <xf numFmtId="0" fontId="15" fillId="0" borderId="66" xfId="0" applyFont="1" applyFill="1" applyBorder="1" applyAlignment="1">
      <alignment horizontal="right" vertical="top" wrapText="1"/>
    </xf>
    <xf numFmtId="0" fontId="23" fillId="0" borderId="66" xfId="0" applyFont="1" applyFill="1" applyBorder="1" applyAlignment="1">
      <alignment horizontal="right"/>
    </xf>
    <xf numFmtId="0" fontId="12" fillId="0" borderId="45" xfId="0" applyFont="1" applyFill="1" applyBorder="1" applyAlignment="1">
      <alignment horizontal="right" vertical="center"/>
    </xf>
    <xf numFmtId="0" fontId="12" fillId="0" borderId="71" xfId="0" applyFont="1" applyFill="1" applyBorder="1" applyAlignment="1">
      <alignment horizontal="right" vertical="center"/>
    </xf>
    <xf numFmtId="0" fontId="12" fillId="0" borderId="66" xfId="0" applyFont="1" applyFill="1" applyBorder="1" applyAlignment="1">
      <alignment horizontal="right" vertical="center" wrapText="1"/>
    </xf>
    <xf numFmtId="2" fontId="12" fillId="0" borderId="72" xfId="0" applyNumberFormat="1" applyFont="1" applyFill="1" applyBorder="1" applyAlignment="1">
      <alignment horizontal="right" wrapText="1"/>
    </xf>
    <xf numFmtId="0" fontId="4" fillId="0" borderId="45" xfId="0" applyFont="1" applyFill="1" applyBorder="1" applyAlignment="1">
      <alignment horizontal="right" wrapText="1"/>
    </xf>
    <xf numFmtId="0" fontId="12" fillId="0" borderId="71" xfId="0" applyFont="1" applyFill="1" applyBorder="1" applyAlignment="1">
      <alignment horizontal="right" vertical="center" wrapText="1"/>
    </xf>
    <xf numFmtId="0" fontId="0" fillId="3" borderId="0" xfId="0" applyFont="1" applyFill="1" applyAlignment="1">
      <alignment horizontal="right"/>
    </xf>
    <xf numFmtId="0" fontId="0" fillId="11" borderId="0" xfId="0" applyFont="1" applyFill="1" applyAlignment="1">
      <alignment horizontal="right"/>
    </xf>
    <xf numFmtId="0" fontId="10" fillId="11" borderId="0" xfId="0" applyFont="1" applyFill="1" applyAlignment="1">
      <alignment horizontal="right"/>
    </xf>
    <xf numFmtId="0" fontId="0" fillId="11" borderId="58" xfId="0" applyFont="1" applyFill="1" applyBorder="1" applyAlignment="1">
      <alignment horizontal="right"/>
    </xf>
    <xf numFmtId="0" fontId="10" fillId="0" borderId="1" xfId="0" applyFont="1" applyBorder="1" applyAlignment="1">
      <alignment horizontal="right" vertical="center"/>
    </xf>
    <xf numFmtId="0" fontId="0" fillId="0" borderId="7" xfId="0" applyFont="1" applyBorder="1" applyAlignment="1">
      <alignment horizontal="right" vertical="center"/>
    </xf>
    <xf numFmtId="0" fontId="0" fillId="0" borderId="69" xfId="0" applyFont="1" applyBorder="1" applyAlignment="1">
      <alignment horizontal="right" vertical="center"/>
    </xf>
    <xf numFmtId="9" fontId="0" fillId="0" borderId="4" xfId="4" applyFont="1" applyBorder="1" applyAlignment="1">
      <alignment horizontal="right" vertical="center"/>
    </xf>
    <xf numFmtId="0" fontId="10" fillId="0" borderId="1" xfId="0" applyFont="1" applyBorder="1" applyAlignment="1">
      <alignment horizontal="right"/>
    </xf>
    <xf numFmtId="10" fontId="10" fillId="0" borderId="1" xfId="4" applyNumberFormat="1" applyFont="1" applyBorder="1" applyAlignment="1">
      <alignment horizontal="right" vertical="center"/>
    </xf>
    <xf numFmtId="0" fontId="0" fillId="0" borderId="0" xfId="0" applyFont="1" applyFill="1" applyBorder="1" applyAlignment="1">
      <alignment horizontal="right"/>
    </xf>
    <xf numFmtId="0" fontId="0" fillId="0" borderId="0" xfId="0" applyAlignment="1">
      <alignment horizontal="right"/>
    </xf>
    <xf numFmtId="0" fontId="0" fillId="11" borderId="0" xfId="0" applyFont="1" applyFill="1" applyAlignment="1"/>
    <xf numFmtId="0" fontId="10" fillId="14" borderId="21" xfId="0" applyFont="1" applyFill="1" applyBorder="1" applyAlignment="1">
      <alignment vertical="center"/>
    </xf>
    <xf numFmtId="2" fontId="2" fillId="0" borderId="70" xfId="0" applyNumberFormat="1" applyFont="1" applyFill="1" applyBorder="1" applyAlignment="1">
      <alignment wrapText="1"/>
    </xf>
    <xf numFmtId="2" fontId="2" fillId="0" borderId="65" xfId="0" applyNumberFormat="1" applyFont="1" applyFill="1" applyBorder="1" applyAlignment="1">
      <alignment wrapText="1"/>
    </xf>
    <xf numFmtId="2" fontId="2" fillId="0" borderId="67" xfId="0" applyNumberFormat="1" applyFont="1" applyFill="1" applyBorder="1" applyAlignment="1">
      <alignment wrapText="1"/>
    </xf>
    <xf numFmtId="2" fontId="21" fillId="0" borderId="67" xfId="0" applyNumberFormat="1" applyFont="1" applyFill="1" applyBorder="1" applyAlignment="1">
      <alignment vertical="top" wrapText="1"/>
    </xf>
    <xf numFmtId="2" fontId="11" fillId="0" borderId="70" xfId="0" applyNumberFormat="1" applyFont="1" applyFill="1" applyBorder="1" applyAlignment="1"/>
    <xf numFmtId="2" fontId="0" fillId="0" borderId="65" xfId="0" applyNumberFormat="1" applyFont="1" applyFill="1" applyBorder="1" applyAlignment="1"/>
    <xf numFmtId="2" fontId="0" fillId="0" borderId="67" xfId="0" applyNumberFormat="1" applyFont="1" applyFill="1" applyBorder="1" applyAlignment="1"/>
    <xf numFmtId="2" fontId="0" fillId="0" borderId="70" xfId="0" applyNumberFormat="1" applyFont="1" applyFill="1" applyBorder="1" applyAlignment="1"/>
    <xf numFmtId="1" fontId="16" fillId="11" borderId="0" xfId="0" applyNumberFormat="1" applyFont="1" applyFill="1" applyBorder="1" applyAlignment="1">
      <alignment vertical="center" wrapText="1"/>
    </xf>
    <xf numFmtId="169" fontId="16" fillId="11" borderId="0" xfId="1" applyNumberFormat="1" applyFont="1" applyFill="1" applyBorder="1" applyAlignment="1">
      <alignment vertical="center" wrapText="1"/>
    </xf>
    <xf numFmtId="10" fontId="16" fillId="11" borderId="0" xfId="4" applyNumberFormat="1" applyFont="1" applyFill="1" applyBorder="1" applyAlignment="1">
      <alignment vertical="center" wrapText="1"/>
    </xf>
    <xf numFmtId="0" fontId="10" fillId="11" borderId="0" xfId="0" applyFont="1" applyFill="1" applyAlignment="1"/>
    <xf numFmtId="2" fontId="2" fillId="0" borderId="65" xfId="0" applyNumberFormat="1" applyFont="1" applyFill="1" applyBorder="1" applyAlignment="1">
      <alignment vertical="top" wrapText="1"/>
    </xf>
    <xf numFmtId="2" fontId="21" fillId="0" borderId="65" xfId="0" applyNumberFormat="1" applyFont="1" applyFill="1" applyBorder="1" applyAlignment="1">
      <alignment vertical="top" wrapText="1"/>
    </xf>
    <xf numFmtId="2" fontId="11" fillId="0" borderId="65" xfId="0" applyNumberFormat="1" applyFont="1" applyFill="1" applyBorder="1" applyAlignment="1"/>
    <xf numFmtId="2" fontId="10" fillId="0" borderId="65" xfId="0" applyNumberFormat="1" applyFont="1" applyFill="1" applyBorder="1" applyAlignment="1"/>
    <xf numFmtId="2" fontId="21" fillId="0" borderId="70" xfId="0" applyNumberFormat="1" applyFont="1" applyFill="1" applyBorder="1" applyAlignment="1">
      <alignment vertical="top"/>
    </xf>
    <xf numFmtId="2" fontId="2" fillId="0" borderId="65" xfId="0" applyNumberFormat="1" applyFont="1" applyFill="1" applyBorder="1" applyAlignment="1"/>
    <xf numFmtId="2" fontId="2" fillId="0" borderId="67" xfId="0" applyNumberFormat="1" applyFont="1" applyFill="1" applyBorder="1" applyAlignment="1"/>
    <xf numFmtId="2" fontId="2" fillId="0" borderId="70" xfId="0" applyNumberFormat="1" applyFont="1" applyFill="1" applyBorder="1" applyAlignment="1"/>
    <xf numFmtId="1" fontId="3" fillId="11" borderId="0" xfId="0" applyNumberFormat="1" applyFont="1" applyFill="1" applyBorder="1" applyAlignment="1">
      <alignment wrapText="1"/>
    </xf>
    <xf numFmtId="10" fontId="3" fillId="11" borderId="0" xfId="4" applyNumberFormat="1" applyFont="1" applyFill="1" applyBorder="1" applyAlignment="1">
      <alignment wrapText="1"/>
    </xf>
    <xf numFmtId="0" fontId="12" fillId="12" borderId="70" xfId="0" applyFont="1" applyFill="1" applyBorder="1" applyAlignment="1">
      <alignment wrapText="1"/>
    </xf>
    <xf numFmtId="0" fontId="0" fillId="11" borderId="58" xfId="0" applyFont="1" applyFill="1" applyBorder="1" applyAlignment="1"/>
    <xf numFmtId="0" fontId="10" fillId="0" borderId="1" xfId="0" applyFont="1" applyBorder="1" applyAlignment="1">
      <alignment vertical="center"/>
    </xf>
    <xf numFmtId="0" fontId="0" fillId="0" borderId="7" xfId="0" applyFont="1" applyBorder="1" applyAlignment="1">
      <alignment vertical="center"/>
    </xf>
    <xf numFmtId="0" fontId="0" fillId="0" borderId="69" xfId="0" applyFont="1" applyBorder="1" applyAlignment="1">
      <alignment vertical="center"/>
    </xf>
    <xf numFmtId="9" fontId="0" fillId="0" borderId="4" xfId="4" applyFont="1" applyBorder="1" applyAlignment="1">
      <alignment vertical="center"/>
    </xf>
    <xf numFmtId="0" fontId="10" fillId="0" borderId="1" xfId="0" applyFont="1" applyBorder="1" applyAlignment="1"/>
    <xf numFmtId="10" fontId="10" fillId="0" borderId="1" xfId="4" applyNumberFormat="1" applyFont="1" applyBorder="1" applyAlignment="1">
      <alignment vertical="center"/>
    </xf>
    <xf numFmtId="0" fontId="0" fillId="0" borderId="0" xfId="0" applyFont="1" applyFill="1" applyBorder="1" applyAlignment="1"/>
    <xf numFmtId="0" fontId="0" fillId="3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3" fillId="5" borderId="20" xfId="0" applyFont="1" applyFill="1" applyBorder="1" applyAlignment="1">
      <alignment horizontal="right" vertical="center" wrapText="1"/>
    </xf>
    <xf numFmtId="0" fontId="13" fillId="0" borderId="71" xfId="0" applyFont="1" applyFill="1" applyBorder="1" applyAlignment="1">
      <alignment horizontal="right" wrapText="1"/>
    </xf>
    <xf numFmtId="0" fontId="0" fillId="11" borderId="0" xfId="0" applyFill="1" applyBorder="1" applyAlignment="1">
      <alignment horizontal="right"/>
    </xf>
    <xf numFmtId="0" fontId="12" fillId="0" borderId="6" xfId="0" applyFont="1" applyFill="1" applyBorder="1" applyAlignment="1">
      <alignment horizontal="right" vertical="center"/>
    </xf>
    <xf numFmtId="0" fontId="0" fillId="0" borderId="6" xfId="0" applyFill="1" applyBorder="1" applyAlignment="1">
      <alignment horizontal="right"/>
    </xf>
    <xf numFmtId="0" fontId="0" fillId="0" borderId="56" xfId="0" applyFill="1" applyBorder="1" applyAlignment="1">
      <alignment horizontal="right"/>
    </xf>
    <xf numFmtId="0" fontId="0" fillId="0" borderId="32" xfId="0" applyFill="1" applyBorder="1" applyAlignment="1">
      <alignment horizontal="right"/>
    </xf>
    <xf numFmtId="2" fontId="12" fillId="0" borderId="6" xfId="0" applyNumberFormat="1" applyFont="1" applyFill="1" applyBorder="1" applyAlignment="1">
      <alignment horizontal="right" vertical="center"/>
    </xf>
    <xf numFmtId="166" fontId="12" fillId="0" borderId="29" xfId="0" applyNumberFormat="1" applyFont="1" applyFill="1" applyBorder="1" applyAlignment="1">
      <alignment horizontal="right" vertical="center"/>
    </xf>
    <xf numFmtId="166" fontId="12" fillId="0" borderId="30" xfId="0" applyNumberFormat="1" applyFont="1" applyFill="1" applyBorder="1" applyAlignment="1">
      <alignment horizontal="right" vertical="center"/>
    </xf>
    <xf numFmtId="0" fontId="0" fillId="0" borderId="30" xfId="0" applyFill="1" applyBorder="1" applyAlignment="1">
      <alignment horizontal="right"/>
    </xf>
    <xf numFmtId="0" fontId="0" fillId="0" borderId="31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9" fontId="10" fillId="0" borderId="4" xfId="4" applyFont="1" applyBorder="1" applyAlignment="1">
      <alignment horizontal="right" vertical="center"/>
    </xf>
    <xf numFmtId="0" fontId="14" fillId="0" borderId="45" xfId="0" applyFont="1" applyFill="1" applyBorder="1" applyAlignment="1">
      <alignment horizontal="right" vertical="top" wrapText="1"/>
    </xf>
    <xf numFmtId="2" fontId="2" fillId="0" borderId="66" xfId="0" applyNumberFormat="1" applyFont="1" applyFill="1" applyBorder="1" applyAlignment="1">
      <alignment horizontal="right"/>
    </xf>
    <xf numFmtId="2" fontId="2" fillId="0" borderId="45" xfId="0" applyNumberFormat="1" applyFont="1" applyFill="1" applyBorder="1" applyAlignment="1">
      <alignment horizontal="right"/>
    </xf>
    <xf numFmtId="0" fontId="2" fillId="0" borderId="71" xfId="0" applyFont="1" applyFill="1" applyBorder="1" applyAlignment="1">
      <alignment horizontal="right" wrapText="1"/>
    </xf>
    <xf numFmtId="0" fontId="21" fillId="0" borderId="45" xfId="0" applyFont="1" applyFill="1" applyBorder="1" applyAlignment="1">
      <alignment horizontal="right" vertical="top" wrapText="1"/>
    </xf>
    <xf numFmtId="2" fontId="0" fillId="0" borderId="71" xfId="0" applyNumberFormat="1" applyFont="1" applyFill="1" applyBorder="1" applyAlignment="1">
      <alignment horizontal="right"/>
    </xf>
    <xf numFmtId="2" fontId="2" fillId="0" borderId="45" xfId="0" applyNumberFormat="1" applyFont="1" applyFill="1" applyBorder="1" applyAlignment="1">
      <alignment horizontal="right" vertical="top" wrapText="1"/>
    </xf>
    <xf numFmtId="0" fontId="0" fillId="0" borderId="32" xfId="0" applyFont="1" applyFill="1" applyBorder="1" applyAlignment="1">
      <alignment horizontal="right"/>
    </xf>
    <xf numFmtId="0" fontId="0" fillId="0" borderId="6" xfId="0" applyFont="1" applyFill="1" applyBorder="1" applyAlignment="1">
      <alignment horizontal="right"/>
    </xf>
    <xf numFmtId="2" fontId="12" fillId="0" borderId="6" xfId="0" applyNumberFormat="1" applyFont="1" applyFill="1" applyBorder="1" applyAlignment="1">
      <alignment horizontal="right"/>
    </xf>
    <xf numFmtId="2" fontId="0" fillId="0" borderId="6" xfId="0" applyNumberFormat="1" applyFont="1" applyFill="1" applyBorder="1" applyAlignment="1">
      <alignment horizontal="right"/>
    </xf>
    <xf numFmtId="0" fontId="0" fillId="0" borderId="33" xfId="0" applyFont="1" applyFill="1" applyBorder="1" applyAlignment="1">
      <alignment horizontal="right"/>
    </xf>
    <xf numFmtId="2" fontId="0" fillId="0" borderId="45" xfId="0" applyNumberFormat="1" applyFill="1" applyBorder="1" applyAlignment="1">
      <alignment horizontal="right"/>
    </xf>
    <xf numFmtId="166" fontId="13" fillId="0" borderId="71" xfId="0" applyNumberFormat="1" applyFont="1" applyFill="1" applyBorder="1" applyAlignment="1">
      <alignment horizontal="right" wrapText="1"/>
    </xf>
    <xf numFmtId="166" fontId="13" fillId="0" borderId="66" xfId="0" applyNumberFormat="1" applyFont="1" applyFill="1" applyBorder="1" applyAlignment="1">
      <alignment horizontal="right" wrapText="1"/>
    </xf>
    <xf numFmtId="166" fontId="13" fillId="0" borderId="45" xfId="0" applyNumberFormat="1" applyFont="1" applyFill="1" applyBorder="1" applyAlignment="1">
      <alignment horizontal="right" wrapText="1"/>
    </xf>
    <xf numFmtId="2" fontId="2" fillId="0" borderId="66" xfId="0" applyNumberFormat="1" applyFont="1" applyFill="1" applyBorder="1" applyAlignment="1">
      <alignment horizontal="right" wrapText="1"/>
    </xf>
    <xf numFmtId="2" fontId="2" fillId="0" borderId="45" xfId="0" applyNumberFormat="1" applyFont="1" applyFill="1" applyBorder="1" applyAlignment="1">
      <alignment horizontal="right" wrapText="1"/>
    </xf>
    <xf numFmtId="0" fontId="12" fillId="0" borderId="11" xfId="0" applyFont="1" applyFill="1" applyBorder="1" applyAlignment="1">
      <alignment horizontal="center" vertical="center" wrapText="1"/>
    </xf>
    <xf numFmtId="0" fontId="12" fillId="0" borderId="23" xfId="0" applyFont="1" applyFill="1" applyBorder="1" applyAlignment="1">
      <alignment wrapText="1"/>
    </xf>
    <xf numFmtId="2" fontId="12" fillId="0" borderId="70" xfId="0" applyNumberFormat="1" applyFont="1" applyFill="1" applyBorder="1" applyAlignment="1">
      <alignment horizontal="right" vertical="center" wrapText="1"/>
    </xf>
    <xf numFmtId="2" fontId="12" fillId="0" borderId="23" xfId="0" applyNumberFormat="1" applyFont="1" applyFill="1" applyBorder="1" applyAlignment="1">
      <alignment horizontal="right" vertical="center" wrapText="1"/>
    </xf>
    <xf numFmtId="2" fontId="0" fillId="0" borderId="8" xfId="0" applyNumberFormat="1" applyFont="1" applyFill="1" applyBorder="1" applyAlignment="1"/>
    <xf numFmtId="0" fontId="12" fillId="3" borderId="14" xfId="0" applyFont="1" applyFill="1" applyBorder="1" applyAlignment="1">
      <alignment vertical="center" wrapText="1"/>
    </xf>
    <xf numFmtId="0" fontId="12" fillId="3" borderId="13" xfId="0" applyFont="1" applyFill="1" applyBorder="1" applyAlignment="1">
      <alignment horizontal="center" vertical="center" wrapText="1"/>
    </xf>
    <xf numFmtId="0" fontId="12" fillId="3" borderId="20" xfId="0" applyFont="1" applyFill="1" applyBorder="1" applyAlignment="1">
      <alignment wrapText="1"/>
    </xf>
    <xf numFmtId="2" fontId="12" fillId="3" borderId="44" xfId="0" applyNumberFormat="1" applyFont="1" applyFill="1" applyBorder="1" applyAlignment="1">
      <alignment horizontal="right" vertical="center" wrapText="1"/>
    </xf>
    <xf numFmtId="2" fontId="12" fillId="3" borderId="67" xfId="0" applyNumberFormat="1" applyFont="1" applyFill="1" applyBorder="1" applyAlignment="1">
      <alignment horizontal="right" vertical="center" wrapText="1"/>
    </xf>
    <xf numFmtId="2" fontId="12" fillId="3" borderId="20" xfId="0" applyNumberFormat="1" applyFont="1" applyFill="1" applyBorder="1" applyAlignment="1">
      <alignment horizontal="right" vertical="center" wrapText="1"/>
    </xf>
    <xf numFmtId="2" fontId="0" fillId="3" borderId="21" xfId="0" applyNumberFormat="1" applyFont="1" applyFill="1" applyBorder="1" applyAlignment="1"/>
    <xf numFmtId="2" fontId="0" fillId="3" borderId="20" xfId="0" applyNumberFormat="1" applyFill="1" applyBorder="1"/>
    <xf numFmtId="2" fontId="0" fillId="3" borderId="44" xfId="0" applyNumberFormat="1" applyFill="1" applyBorder="1"/>
    <xf numFmtId="2" fontId="0" fillId="3" borderId="44" xfId="0" applyNumberFormat="1" applyFont="1" applyFill="1" applyBorder="1"/>
    <xf numFmtId="2" fontId="0" fillId="3" borderId="45" xfId="0" applyNumberFormat="1" applyFill="1" applyBorder="1"/>
    <xf numFmtId="0" fontId="0" fillId="3" borderId="44" xfId="0" applyFill="1" applyBorder="1"/>
    <xf numFmtId="0" fontId="0" fillId="3" borderId="21" xfId="0" applyFill="1" applyBorder="1"/>
    <xf numFmtId="2" fontId="12" fillId="3" borderId="0" xfId="0" applyNumberFormat="1" applyFont="1" applyFill="1" applyBorder="1" applyAlignment="1">
      <alignment horizontal="right" vertical="center" wrapText="1"/>
    </xf>
    <xf numFmtId="2" fontId="29" fillId="3" borderId="0" xfId="0" applyNumberFormat="1" applyFont="1" applyFill="1" applyBorder="1" applyAlignment="1">
      <alignment horizontal="right" vertical="top" wrapText="1"/>
    </xf>
    <xf numFmtId="0" fontId="16" fillId="3" borderId="0" xfId="0" applyFont="1" applyFill="1" applyBorder="1" applyAlignment="1">
      <alignment horizontal="center" wrapText="1"/>
    </xf>
    <xf numFmtId="2" fontId="12" fillId="3" borderId="0" xfId="0" applyNumberFormat="1" applyFont="1" applyFill="1" applyBorder="1" applyAlignment="1">
      <alignment horizontal="right" wrapText="1"/>
    </xf>
    <xf numFmtId="2" fontId="11" fillId="3" borderId="0" xfId="0" applyNumberFormat="1" applyFont="1" applyFill="1" applyBorder="1" applyAlignment="1">
      <alignment horizontal="right" vertical="top" wrapText="1"/>
    </xf>
    <xf numFmtId="2" fontId="11" fillId="3" borderId="0" xfId="0" applyNumberFormat="1" applyFont="1" applyFill="1" applyBorder="1" applyAlignment="1">
      <alignment horizontal="right" wrapText="1"/>
    </xf>
    <xf numFmtId="0" fontId="4" fillId="0" borderId="66" xfId="0" applyFont="1" applyFill="1" applyBorder="1" applyAlignment="1">
      <alignment horizontal="right" vertical="top" wrapText="1"/>
    </xf>
    <xf numFmtId="0" fontId="15" fillId="0" borderId="45" xfId="0" applyFont="1" applyFill="1" applyBorder="1" applyAlignment="1">
      <alignment horizontal="right" vertical="top" wrapText="1"/>
    </xf>
    <xf numFmtId="2" fontId="13" fillId="0" borderId="45" xfId="0" applyNumberFormat="1" applyFont="1" applyFill="1" applyBorder="1" applyAlignment="1">
      <alignment horizontal="right" wrapText="1"/>
    </xf>
    <xf numFmtId="0" fontId="0" fillId="0" borderId="71" xfId="0" applyFont="1" applyFill="1" applyBorder="1" applyAlignment="1">
      <alignment horizontal="right" vertical="center"/>
    </xf>
    <xf numFmtId="2" fontId="14" fillId="0" borderId="71" xfId="0" applyNumberFormat="1" applyFont="1" applyFill="1" applyBorder="1" applyAlignment="1">
      <alignment horizontal="right" vertical="top" wrapText="1"/>
    </xf>
    <xf numFmtId="2" fontId="13" fillId="0" borderId="66" xfId="0" applyNumberFormat="1" applyFont="1" applyFill="1" applyBorder="1" applyAlignment="1">
      <alignment horizontal="right"/>
    </xf>
    <xf numFmtId="2" fontId="11" fillId="0" borderId="71" xfId="0" applyNumberFormat="1" applyFont="1" applyFill="1" applyBorder="1" applyAlignment="1">
      <alignment horizontal="right"/>
    </xf>
    <xf numFmtId="0" fontId="49" fillId="0" borderId="1" xfId="0" applyFont="1" applyFill="1" applyBorder="1" applyAlignment="1">
      <alignment horizontal="center" vertical="center"/>
    </xf>
    <xf numFmtId="2" fontId="0" fillId="0" borderId="29" xfId="0" applyNumberFormat="1" applyFont="1" applyFill="1" applyBorder="1" applyAlignment="1">
      <alignment horizontal="right" vertical="center"/>
    </xf>
    <xf numFmtId="2" fontId="0" fillId="0" borderId="10" xfId="0" applyNumberFormat="1" applyFill="1" applyBorder="1"/>
    <xf numFmtId="0" fontId="49" fillId="0" borderId="3" xfId="0" applyFont="1" applyFill="1" applyBorder="1" applyAlignment="1">
      <alignment horizontal="center" vertical="center"/>
    </xf>
    <xf numFmtId="0" fontId="49" fillId="0" borderId="27" xfId="0" applyFont="1" applyFill="1" applyBorder="1" applyAlignment="1">
      <alignment horizontal="center" vertical="center"/>
    </xf>
    <xf numFmtId="2" fontId="0" fillId="0" borderId="40" xfId="0" applyNumberFormat="1" applyFill="1" applyBorder="1"/>
    <xf numFmtId="2" fontId="0" fillId="0" borderId="29" xfId="0" applyNumberFormat="1" applyFill="1" applyBorder="1"/>
    <xf numFmtId="0" fontId="50" fillId="4" borderId="31" xfId="0" applyFont="1" applyFill="1" applyBorder="1" applyAlignment="1">
      <alignment horizontal="right"/>
    </xf>
    <xf numFmtId="2" fontId="12" fillId="12" borderId="0" xfId="0" applyNumberFormat="1" applyFont="1" applyFill="1" applyBorder="1" applyAlignment="1">
      <alignment horizontal="right" wrapText="1"/>
    </xf>
    <xf numFmtId="0" fontId="21" fillId="0" borderId="6" xfId="0" applyFont="1" applyFill="1" applyBorder="1"/>
    <xf numFmtId="2" fontId="0" fillId="11" borderId="0" xfId="0" applyNumberFormat="1" applyFill="1"/>
    <xf numFmtId="2" fontId="12" fillId="0" borderId="9" xfId="0" applyNumberFormat="1" applyFont="1" applyFill="1" applyBorder="1" applyAlignment="1">
      <alignment horizontal="right" vertical="center"/>
    </xf>
    <xf numFmtId="2" fontId="0" fillId="0" borderId="56" xfId="0" applyNumberFormat="1" applyFill="1" applyBorder="1"/>
    <xf numFmtId="43" fontId="22" fillId="4" borderId="1" xfId="1" applyFont="1" applyFill="1" applyBorder="1" applyAlignment="1">
      <alignment horizontal="center" vertical="center"/>
    </xf>
    <xf numFmtId="43" fontId="22" fillId="4" borderId="3" xfId="1" applyFont="1" applyFill="1" applyBorder="1" applyAlignment="1">
      <alignment horizontal="center" vertical="center"/>
    </xf>
    <xf numFmtId="43" fontId="22" fillId="4" borderId="27" xfId="1" applyFont="1" applyFill="1" applyBorder="1" applyAlignment="1">
      <alignment horizontal="center" vertical="center"/>
    </xf>
    <xf numFmtId="0" fontId="53" fillId="0" borderId="0" xfId="0" applyFont="1" applyAlignment="1">
      <alignment vertical="center" wrapText="1"/>
    </xf>
    <xf numFmtId="43" fontId="0" fillId="0" borderId="0" xfId="1" applyFont="1"/>
    <xf numFmtId="43" fontId="54" fillId="0" borderId="0" xfId="1" applyFont="1" applyAlignment="1">
      <alignment vertical="center" wrapText="1"/>
    </xf>
    <xf numFmtId="169" fontId="0" fillId="0" borderId="0" xfId="1" applyNumberFormat="1" applyFont="1" applyAlignment="1"/>
    <xf numFmtId="169" fontId="54" fillId="0" borderId="0" xfId="1" applyNumberFormat="1" applyFont="1" applyAlignment="1">
      <alignment vertical="center" wrapText="1"/>
    </xf>
    <xf numFmtId="43" fontId="0" fillId="0" borderId="0" xfId="1" applyNumberFormat="1" applyFont="1"/>
    <xf numFmtId="43" fontId="0" fillId="0" borderId="29" xfId="1" applyNumberFormat="1" applyFont="1" applyBorder="1"/>
    <xf numFmtId="43" fontId="0" fillId="0" borderId="30" xfId="1" applyNumberFormat="1" applyFont="1" applyBorder="1"/>
    <xf numFmtId="43" fontId="0" fillId="0" borderId="31" xfId="1" applyNumberFormat="1" applyFont="1" applyBorder="1"/>
    <xf numFmtId="169" fontId="22" fillId="4" borderId="3" xfId="1" applyNumberFormat="1" applyFont="1" applyFill="1" applyBorder="1" applyAlignment="1">
      <alignment vertical="center"/>
    </xf>
    <xf numFmtId="3" fontId="22" fillId="4" borderId="1" xfId="0" applyNumberFormat="1" applyFont="1" applyFill="1" applyBorder="1" applyAlignment="1">
      <alignment vertical="center"/>
    </xf>
    <xf numFmtId="3" fontId="22" fillId="4" borderId="27" xfId="0" applyNumberFormat="1" applyFont="1" applyFill="1" applyBorder="1" applyAlignment="1">
      <alignment vertical="center"/>
    </xf>
    <xf numFmtId="0" fontId="53" fillId="0" borderId="0" xfId="0" applyFont="1" applyAlignment="1">
      <alignment vertical="center"/>
    </xf>
    <xf numFmtId="43" fontId="54" fillId="0" borderId="0" xfId="1" applyFont="1" applyAlignment="1">
      <alignment vertical="center"/>
    </xf>
    <xf numFmtId="3" fontId="49" fillId="4" borderId="10" xfId="0" applyNumberFormat="1" applyFont="1" applyFill="1" applyBorder="1" applyAlignment="1">
      <alignment horizontal="right" vertical="center"/>
    </xf>
    <xf numFmtId="3" fontId="49" fillId="4" borderId="2" xfId="0" applyNumberFormat="1" applyFont="1" applyFill="1" applyBorder="1" applyAlignment="1">
      <alignment horizontal="right" vertical="center"/>
    </xf>
    <xf numFmtId="3" fontId="49" fillId="4" borderId="41" xfId="0" applyNumberFormat="1" applyFont="1" applyFill="1" applyBorder="1" applyAlignment="1">
      <alignment horizontal="right" vertical="center"/>
    </xf>
    <xf numFmtId="169" fontId="0" fillId="0" borderId="1" xfId="1" applyNumberFormat="1" applyFont="1" applyFill="1" applyBorder="1" applyAlignment="1"/>
    <xf numFmtId="169" fontId="9" fillId="0" borderId="1" xfId="1" applyNumberFormat="1" applyFont="1" applyFill="1" applyBorder="1" applyAlignment="1"/>
    <xf numFmtId="169" fontId="12" fillId="0" borderId="1" xfId="1" applyNumberFormat="1" applyFont="1" applyFill="1" applyBorder="1" applyAlignment="1">
      <alignment vertical="center"/>
    </xf>
    <xf numFmtId="43" fontId="0" fillId="0" borderId="29" xfId="1" applyFont="1" applyBorder="1"/>
    <xf numFmtId="169" fontId="0" fillId="0" borderId="3" xfId="1" applyNumberFormat="1" applyFont="1" applyFill="1" applyBorder="1" applyAlignment="1"/>
    <xf numFmtId="43" fontId="0" fillId="0" borderId="30" xfId="1" applyFont="1" applyBorder="1"/>
    <xf numFmtId="43" fontId="0" fillId="0" borderId="31" xfId="1" applyFont="1" applyBorder="1"/>
    <xf numFmtId="169" fontId="0" fillId="0" borderId="27" xfId="1" applyNumberFormat="1" applyFont="1" applyFill="1" applyBorder="1" applyAlignment="1"/>
    <xf numFmtId="2" fontId="0" fillId="0" borderId="30" xfId="0" applyNumberFormat="1" applyFont="1" applyFill="1" applyBorder="1" applyAlignment="1">
      <alignment horizontal="center"/>
    </xf>
    <xf numFmtId="2" fontId="0" fillId="0" borderId="30" xfId="0" applyNumberFormat="1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2" fontId="0" fillId="0" borderId="37" xfId="0" applyNumberFormat="1" applyFill="1" applyBorder="1" applyAlignment="1">
      <alignment horizontal="center"/>
    </xf>
    <xf numFmtId="43" fontId="5" fillId="0" borderId="6" xfId="1" applyNumberFormat="1" applyFont="1" applyFill="1" applyBorder="1" applyAlignment="1">
      <alignment horizontal="right" vertical="center"/>
    </xf>
    <xf numFmtId="43" fontId="9" fillId="0" borderId="6" xfId="1" applyNumberFormat="1" applyFont="1" applyFill="1" applyBorder="1" applyAlignment="1">
      <alignment horizontal="right" vertical="center"/>
    </xf>
    <xf numFmtId="2" fontId="11" fillId="0" borderId="6" xfId="0" applyNumberFormat="1" applyFont="1" applyFill="1" applyBorder="1" applyAlignment="1">
      <alignment horizontal="right"/>
    </xf>
    <xf numFmtId="0" fontId="0" fillId="0" borderId="6" xfId="0" applyFill="1" applyBorder="1" applyAlignment="1">
      <alignment horizontal="right" vertical="center"/>
    </xf>
    <xf numFmtId="0" fontId="1" fillId="0" borderId="6" xfId="3" applyFont="1" applyFill="1" applyBorder="1" applyAlignment="1">
      <alignment horizontal="right" vertical="center" wrapText="1"/>
    </xf>
    <xf numFmtId="2" fontId="0" fillId="0" borderId="6" xfId="0" applyNumberFormat="1" applyFont="1" applyFill="1" applyBorder="1" applyAlignment="1">
      <alignment horizontal="right" vertical="center"/>
    </xf>
    <xf numFmtId="43" fontId="2" fillId="0" borderId="6" xfId="1" applyNumberFormat="1" applyFont="1" applyFill="1" applyBorder="1" applyAlignment="1">
      <alignment horizontal="right" vertical="center"/>
    </xf>
    <xf numFmtId="2" fontId="0" fillId="0" borderId="6" xfId="0" applyNumberFormat="1" applyFill="1" applyBorder="1" applyAlignment="1">
      <alignment horizontal="right" vertical="center"/>
    </xf>
    <xf numFmtId="166" fontId="0" fillId="0" borderId="6" xfId="0" applyNumberFormat="1" applyFill="1" applyBorder="1"/>
    <xf numFmtId="165" fontId="11" fillId="0" borderId="6" xfId="0" applyNumberFormat="1" applyFont="1" applyFill="1" applyBorder="1" applyAlignment="1">
      <alignment horizontal="right" vertical="center"/>
    </xf>
    <xf numFmtId="2" fontId="11" fillId="0" borderId="56" xfId="0" applyNumberFormat="1" applyFont="1" applyFill="1" applyBorder="1" applyAlignment="1">
      <alignment horizontal="right" vertical="center"/>
    </xf>
    <xf numFmtId="0" fontId="0" fillId="0" borderId="9" xfId="0" applyFill="1" applyBorder="1" applyAlignment="1">
      <alignment horizontal="right"/>
    </xf>
    <xf numFmtId="2" fontId="0" fillId="0" borderId="6" xfId="0" applyNumberFormat="1" applyFill="1" applyBorder="1" applyAlignment="1">
      <alignment horizontal="right"/>
    </xf>
    <xf numFmtId="166" fontId="12" fillId="0" borderId="6" xfId="0" applyNumberFormat="1" applyFont="1" applyFill="1" applyBorder="1" applyAlignment="1">
      <alignment horizontal="right" vertical="center"/>
    </xf>
    <xf numFmtId="0" fontId="12" fillId="0" borderId="56" xfId="0" applyFont="1" applyFill="1" applyBorder="1" applyAlignment="1">
      <alignment horizontal="right" vertical="center"/>
    </xf>
    <xf numFmtId="166" fontId="0" fillId="0" borderId="6" xfId="0" applyNumberFormat="1" applyFill="1" applyBorder="1" applyAlignment="1">
      <alignment horizontal="right"/>
    </xf>
    <xf numFmtId="2" fontId="0" fillId="0" borderId="32" xfId="0" applyNumberFormat="1" applyFill="1" applyBorder="1" applyAlignment="1">
      <alignment horizontal="right"/>
    </xf>
    <xf numFmtId="2" fontId="12" fillId="0" borderId="33" xfId="0" applyNumberFormat="1" applyFont="1" applyFill="1" applyBorder="1" applyAlignment="1">
      <alignment horizontal="right" vertical="center"/>
    </xf>
    <xf numFmtId="2" fontId="0" fillId="0" borderId="56" xfId="0" applyNumberFormat="1" applyFill="1" applyBorder="1" applyAlignment="1">
      <alignment horizontal="right"/>
    </xf>
    <xf numFmtId="2" fontId="0" fillId="0" borderId="71" xfId="0" applyNumberFormat="1" applyFill="1" applyBorder="1" applyAlignment="1">
      <alignment horizontal="right"/>
    </xf>
    <xf numFmtId="2" fontId="0" fillId="0" borderId="66" xfId="0" applyNumberFormat="1" applyFill="1" applyBorder="1" applyAlignment="1">
      <alignment horizontal="right"/>
    </xf>
    <xf numFmtId="2" fontId="14" fillId="0" borderId="45" xfId="0" applyNumberFormat="1" applyFont="1" applyFill="1" applyBorder="1" applyAlignment="1">
      <alignment horizontal="right" vertical="top" wrapText="1"/>
    </xf>
    <xf numFmtId="2" fontId="12" fillId="0" borderId="71" xfId="0" applyNumberFormat="1" applyFont="1" applyFill="1" applyBorder="1" applyAlignment="1">
      <alignment horizontal="right"/>
    </xf>
    <xf numFmtId="2" fontId="12" fillId="0" borderId="66" xfId="0" applyNumberFormat="1" applyFont="1" applyFill="1" applyBorder="1" applyAlignment="1">
      <alignment horizontal="right"/>
    </xf>
    <xf numFmtId="2" fontId="0" fillId="0" borderId="45" xfId="0" applyNumberFormat="1" applyFont="1" applyFill="1" applyBorder="1" applyAlignment="1">
      <alignment horizontal="right" vertical="top" wrapText="1"/>
    </xf>
    <xf numFmtId="2" fontId="13" fillId="0" borderId="71" xfId="0" applyNumberFormat="1" applyFont="1" applyFill="1" applyBorder="1" applyAlignment="1">
      <alignment horizontal="right"/>
    </xf>
    <xf numFmtId="2" fontId="13" fillId="0" borderId="66" xfId="0" applyNumberFormat="1" applyFont="1" applyFill="1" applyBorder="1" applyAlignment="1">
      <alignment horizontal="right" wrapText="1"/>
    </xf>
    <xf numFmtId="0" fontId="10" fillId="0" borderId="2" xfId="0" applyFont="1" applyBorder="1" applyAlignment="1">
      <alignment horizontal="center"/>
    </xf>
    <xf numFmtId="0" fontId="10" fillId="0" borderId="64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0" fillId="0" borderId="0" xfId="0"/>
    <xf numFmtId="0" fontId="12" fillId="12" borderId="5" xfId="0" applyFont="1" applyFill="1" applyBorder="1" applyAlignment="1">
      <alignment wrapText="1"/>
    </xf>
    <xf numFmtId="169" fontId="12" fillId="11" borderId="65" xfId="1" applyNumberFormat="1" applyFont="1" applyFill="1" applyBorder="1" applyAlignment="1">
      <alignment horizontal="center" vertical="center" wrapText="1"/>
    </xf>
    <xf numFmtId="0" fontId="0" fillId="0" borderId="45" xfId="0" applyBorder="1"/>
    <xf numFmtId="2" fontId="12" fillId="0" borderId="71" xfId="0" applyNumberFormat="1" applyFont="1" applyBorder="1" applyAlignment="1">
      <alignment horizontal="right" vertical="center" wrapText="1"/>
    </xf>
    <xf numFmtId="2" fontId="12" fillId="0" borderId="71" xfId="0" applyNumberFormat="1" applyFont="1" applyBorder="1" applyAlignment="1">
      <alignment horizontal="right" wrapText="1"/>
    </xf>
    <xf numFmtId="2" fontId="12" fillId="0" borderId="66" xfId="0" applyNumberFormat="1" applyFont="1" applyBorder="1" applyAlignment="1">
      <alignment horizontal="right" wrapText="1"/>
    </xf>
    <xf numFmtId="2" fontId="12" fillId="0" borderId="45" xfId="0" applyNumberFormat="1" applyFont="1" applyBorder="1" applyAlignment="1">
      <alignment horizontal="right" wrapText="1"/>
    </xf>
    <xf numFmtId="169" fontId="12" fillId="11" borderId="66" xfId="1" applyNumberFormat="1" applyFont="1" applyFill="1" applyBorder="1" applyAlignment="1">
      <alignment horizontal="center" vertical="center" wrapText="1"/>
    </xf>
    <xf numFmtId="2" fontId="12" fillId="6" borderId="45" xfId="0" applyNumberFormat="1" applyFont="1" applyFill="1" applyBorder="1" applyAlignment="1">
      <alignment horizontal="right" vertical="top" wrapText="1"/>
    </xf>
    <xf numFmtId="2" fontId="12" fillId="0" borderId="70" xfId="0" applyNumberFormat="1" applyFont="1" applyFill="1" applyBorder="1" applyAlignment="1">
      <alignment vertical="center" wrapText="1"/>
    </xf>
    <xf numFmtId="2" fontId="12" fillId="0" borderId="65" xfId="0" applyNumberFormat="1" applyFont="1" applyFill="1" applyBorder="1" applyAlignment="1">
      <alignment vertical="center" wrapText="1"/>
    </xf>
    <xf numFmtId="2" fontId="12" fillId="0" borderId="67" xfId="0" applyNumberFormat="1" applyFont="1" applyFill="1" applyBorder="1" applyAlignment="1">
      <alignment vertical="center" wrapText="1"/>
    </xf>
    <xf numFmtId="0" fontId="0" fillId="12" borderId="70" xfId="0" applyFont="1" applyFill="1" applyBorder="1" applyAlignment="1">
      <alignment horizontal="right" vertical="center"/>
    </xf>
    <xf numFmtId="2" fontId="2" fillId="0" borderId="71" xfId="0" applyNumberFormat="1" applyFont="1" applyBorder="1" applyAlignment="1">
      <alignment horizontal="right" vertical="top" wrapText="1"/>
    </xf>
    <xf numFmtId="2" fontId="2" fillId="0" borderId="66" xfId="0" applyNumberFormat="1" applyFont="1" applyBorder="1" applyAlignment="1">
      <alignment horizontal="right" vertical="top" wrapText="1"/>
    </xf>
    <xf numFmtId="2" fontId="2" fillId="0" borderId="45" xfId="0" applyNumberFormat="1" applyFont="1" applyBorder="1" applyAlignment="1">
      <alignment horizontal="right" vertical="top" wrapText="1"/>
    </xf>
    <xf numFmtId="2" fontId="2" fillId="0" borderId="71" xfId="0" applyNumberFormat="1" applyFont="1" applyBorder="1" applyAlignment="1">
      <alignment horizontal="right" wrapText="1"/>
    </xf>
    <xf numFmtId="2" fontId="2" fillId="0" borderId="66" xfId="0" applyNumberFormat="1" applyFont="1" applyBorder="1" applyAlignment="1">
      <alignment horizontal="right" wrapText="1"/>
    </xf>
    <xf numFmtId="2" fontId="2" fillId="0" borderId="45" xfId="0" applyNumberFormat="1" applyFont="1" applyBorder="1" applyAlignment="1">
      <alignment horizontal="right" wrapText="1"/>
    </xf>
    <xf numFmtId="2" fontId="27" fillId="0" borderId="66" xfId="0" applyNumberFormat="1" applyFont="1" applyFill="1" applyBorder="1"/>
    <xf numFmtId="0" fontId="0" fillId="0" borderId="70" xfId="0" applyBorder="1"/>
    <xf numFmtId="2" fontId="12" fillId="0" borderId="71" xfId="0" applyNumberFormat="1" applyFont="1" applyBorder="1" applyAlignment="1">
      <alignment horizontal="right" vertical="center"/>
    </xf>
    <xf numFmtId="2" fontId="12" fillId="0" borderId="66" xfId="0" applyNumberFormat="1" applyFont="1" applyBorder="1" applyAlignment="1">
      <alignment horizontal="right" vertical="center"/>
    </xf>
    <xf numFmtId="2" fontId="12" fillId="0" borderId="45" xfId="0" applyNumberFormat="1" applyFont="1" applyBorder="1" applyAlignment="1">
      <alignment horizontal="right" vertical="center"/>
    </xf>
    <xf numFmtId="0" fontId="0" fillId="11" borderId="15" xfId="0" applyFill="1" applyBorder="1"/>
    <xf numFmtId="165" fontId="12" fillId="0" borderId="69" xfId="0" applyNumberFormat="1" applyFont="1" applyFill="1" applyBorder="1" applyAlignment="1">
      <alignment horizontal="right" vertical="center" wrapText="1"/>
    </xf>
    <xf numFmtId="0" fontId="4" fillId="0" borderId="70" xfId="0" applyFont="1" applyFill="1" applyBorder="1" applyAlignment="1">
      <alignment wrapText="1"/>
    </xf>
    <xf numFmtId="0" fontId="0" fillId="0" borderId="22" xfId="0" applyFill="1" applyBorder="1"/>
    <xf numFmtId="0" fontId="13" fillId="0" borderId="69" xfId="0" applyFont="1" applyFill="1" applyBorder="1" applyAlignment="1">
      <alignment horizontal="right" vertical="center"/>
    </xf>
    <xf numFmtId="0" fontId="13" fillId="0" borderId="39" xfId="0" applyFont="1" applyFill="1" applyBorder="1" applyAlignment="1">
      <alignment horizontal="right" vertical="center"/>
    </xf>
    <xf numFmtId="0" fontId="13" fillId="0" borderId="69" xfId="0" applyFont="1" applyFill="1" applyBorder="1" applyAlignment="1">
      <alignment horizontal="right" vertical="center" wrapText="1"/>
    </xf>
    <xf numFmtId="0" fontId="12" fillId="0" borderId="69" xfId="0" applyFont="1" applyFill="1" applyBorder="1" applyAlignment="1">
      <alignment horizontal="right" vertical="center"/>
    </xf>
    <xf numFmtId="0" fontId="12" fillId="0" borderId="44" xfId="0" applyFont="1" applyFill="1" applyBorder="1" applyAlignment="1">
      <alignment horizontal="right" vertical="center"/>
    </xf>
    <xf numFmtId="0" fontId="0" fillId="0" borderId="44" xfId="0" applyFont="1" applyFill="1" applyBorder="1" applyAlignment="1">
      <alignment horizontal="right" vertical="top" wrapText="1"/>
    </xf>
    <xf numFmtId="165" fontId="0" fillId="0" borderId="69" xfId="0" applyNumberFormat="1" applyFont="1" applyFill="1" applyBorder="1" applyAlignment="1">
      <alignment horizontal="right" vertical="center" wrapText="1"/>
    </xf>
    <xf numFmtId="2" fontId="15" fillId="0" borderId="69" xfId="0" applyNumberFormat="1" applyFont="1" applyFill="1" applyBorder="1" applyAlignment="1">
      <alignment horizontal="right" vertical="top" wrapText="1"/>
    </xf>
    <xf numFmtId="165" fontId="12" fillId="0" borderId="39" xfId="0" applyNumberFormat="1" applyFont="1" applyFill="1" applyBorder="1" applyAlignment="1">
      <alignment horizontal="right" vertical="center" wrapText="1"/>
    </xf>
    <xf numFmtId="0" fontId="13" fillId="0" borderId="39" xfId="0" applyFont="1" applyFill="1" applyBorder="1" applyAlignment="1">
      <alignment horizontal="right" vertical="center" wrapText="1"/>
    </xf>
    <xf numFmtId="0" fontId="13" fillId="0" borderId="44" xfId="0" applyFont="1" applyFill="1" applyBorder="1" applyAlignment="1">
      <alignment horizontal="right" vertical="center"/>
    </xf>
    <xf numFmtId="165" fontId="12" fillId="0" borderId="44" xfId="0" applyNumberFormat="1" applyFont="1" applyFill="1" applyBorder="1" applyAlignment="1">
      <alignment horizontal="right" vertical="center" wrapText="1"/>
    </xf>
    <xf numFmtId="0" fontId="12" fillId="0" borderId="39" xfId="0" applyFont="1" applyFill="1" applyBorder="1" applyAlignment="1">
      <alignment horizontal="right"/>
    </xf>
    <xf numFmtId="0" fontId="0" fillId="0" borderId="71" xfId="0" applyFont="1" applyBorder="1"/>
    <xf numFmtId="2" fontId="2" fillId="0" borderId="71" xfId="0" applyNumberFormat="1" applyFont="1" applyBorder="1" applyAlignment="1">
      <alignment horizontal="right"/>
    </xf>
    <xf numFmtId="2" fontId="2" fillId="0" borderId="66" xfId="0" applyNumberFormat="1" applyFont="1" applyBorder="1" applyAlignment="1">
      <alignment horizontal="right"/>
    </xf>
    <xf numFmtId="2" fontId="2" fillId="0" borderId="45" xfId="0" applyNumberFormat="1" applyFont="1" applyBorder="1" applyAlignment="1">
      <alignment horizontal="right"/>
    </xf>
    <xf numFmtId="166" fontId="12" fillId="0" borderId="2" xfId="0" applyNumberFormat="1" applyFont="1" applyFill="1" applyBorder="1" applyAlignment="1">
      <alignment horizontal="center"/>
    </xf>
    <xf numFmtId="166" fontId="0" fillId="0" borderId="2" xfId="0" applyNumberFormat="1" applyFont="1" applyFill="1" applyBorder="1" applyAlignment="1">
      <alignment horizontal="center"/>
    </xf>
    <xf numFmtId="166" fontId="11" fillId="0" borderId="2" xfId="0" applyNumberFormat="1" applyFont="1" applyFill="1" applyBorder="1" applyAlignment="1">
      <alignment horizontal="right" vertical="center"/>
    </xf>
    <xf numFmtId="0" fontId="0" fillId="0" borderId="53" xfId="0" applyFont="1" applyFill="1" applyBorder="1" applyAlignment="1"/>
    <xf numFmtId="0" fontId="0" fillId="0" borderId="54" xfId="0" applyFont="1" applyFill="1" applyBorder="1" applyAlignment="1"/>
    <xf numFmtId="2" fontId="12" fillId="0" borderId="54" xfId="0" applyNumberFormat="1" applyFont="1" applyFill="1" applyBorder="1" applyAlignment="1"/>
    <xf numFmtId="2" fontId="0" fillId="0" borderId="54" xfId="0" applyNumberFormat="1" applyFont="1" applyFill="1" applyBorder="1" applyAlignment="1"/>
    <xf numFmtId="2" fontId="11" fillId="0" borderId="54" xfId="0" applyNumberFormat="1" applyFont="1" applyFill="1" applyBorder="1" applyAlignment="1">
      <alignment vertical="center"/>
    </xf>
    <xf numFmtId="0" fontId="0" fillId="0" borderId="55" xfId="0" applyFont="1" applyFill="1" applyBorder="1" applyAlignment="1"/>
    <xf numFmtId="2" fontId="12" fillId="0" borderId="8" xfId="0" applyNumberFormat="1" applyFont="1" applyBorder="1" applyAlignment="1">
      <alignment horizontal="right" wrapText="1"/>
    </xf>
    <xf numFmtId="2" fontId="12" fillId="0" borderId="68" xfId="0" applyNumberFormat="1" applyFont="1" applyBorder="1" applyAlignment="1">
      <alignment horizontal="right" vertical="center" wrapText="1"/>
    </xf>
    <xf numFmtId="2" fontId="12" fillId="0" borderId="21" xfId="0" applyNumberFormat="1" applyFont="1" applyBorder="1" applyAlignment="1">
      <alignment horizontal="right" wrapText="1"/>
    </xf>
    <xf numFmtId="2" fontId="12" fillId="0" borderId="8" xfId="0" applyNumberFormat="1" applyFont="1" applyBorder="1" applyAlignment="1">
      <alignment horizontal="right" vertical="center" wrapText="1"/>
    </xf>
    <xf numFmtId="2" fontId="12" fillId="0" borderId="21" xfId="0" applyNumberFormat="1" applyFont="1" applyBorder="1" applyAlignment="1">
      <alignment horizontal="right" vertical="center" wrapText="1"/>
    </xf>
    <xf numFmtId="2" fontId="12" fillId="0" borderId="68" xfId="0" applyNumberFormat="1" applyFont="1" applyBorder="1" applyAlignment="1">
      <alignment horizontal="right" wrapText="1"/>
    </xf>
    <xf numFmtId="2" fontId="12" fillId="0" borderId="8" xfId="0" applyNumberFormat="1" applyFont="1" applyBorder="1" applyAlignment="1">
      <alignment horizontal="right" vertical="top" wrapText="1"/>
    </xf>
    <xf numFmtId="1" fontId="16" fillId="11" borderId="72" xfId="0" applyNumberFormat="1" applyFont="1" applyFill="1" applyBorder="1" applyAlignment="1">
      <alignment horizontal="right" vertical="center" wrapText="1"/>
    </xf>
    <xf numFmtId="2" fontId="0" fillId="0" borderId="21" xfId="0" applyNumberFormat="1" applyFill="1" applyBorder="1"/>
    <xf numFmtId="2" fontId="0" fillId="0" borderId="8" xfId="0" applyNumberFormat="1" applyFill="1" applyBorder="1"/>
    <xf numFmtId="2" fontId="0" fillId="0" borderId="68" xfId="0" applyNumberFormat="1" applyFill="1" applyBorder="1"/>
    <xf numFmtId="2" fontId="0" fillId="3" borderId="21" xfId="0" applyNumberFormat="1" applyFill="1" applyBorder="1"/>
    <xf numFmtId="2" fontId="0" fillId="0" borderId="8" xfId="0" applyNumberFormat="1" applyFill="1" applyBorder="1" applyAlignment="1">
      <alignment horizontal="center"/>
    </xf>
    <xf numFmtId="0" fontId="0" fillId="12" borderId="51" xfId="0" applyFont="1" applyFill="1" applyBorder="1" applyAlignment="1">
      <alignment horizontal="right" vertical="center"/>
    </xf>
    <xf numFmtId="0" fontId="3" fillId="14" borderId="19" xfId="0" applyFont="1" applyFill="1" applyBorder="1" applyAlignment="1">
      <alignment horizontal="center" vertical="center" wrapText="1"/>
    </xf>
    <xf numFmtId="2" fontId="2" fillId="0" borderId="8" xfId="0" applyNumberFormat="1" applyFont="1" applyBorder="1" applyAlignment="1">
      <alignment horizontal="right" wrapText="1"/>
    </xf>
    <xf numFmtId="2" fontId="2" fillId="0" borderId="68" xfId="0" applyNumberFormat="1" applyFont="1" applyBorder="1" applyAlignment="1">
      <alignment horizontal="right" wrapText="1"/>
    </xf>
    <xf numFmtId="2" fontId="2" fillId="0" borderId="21" xfId="0" applyNumberFormat="1" applyFont="1" applyBorder="1" applyAlignment="1">
      <alignment horizontal="right" wrapText="1"/>
    </xf>
    <xf numFmtId="2" fontId="2" fillId="0" borderId="8" xfId="0" applyNumberFormat="1" applyFont="1" applyBorder="1" applyAlignment="1">
      <alignment horizontal="right" vertical="top" wrapText="1"/>
    </xf>
    <xf numFmtId="0" fontId="10" fillId="14" borderId="19" xfId="0" applyFont="1" applyFill="1" applyBorder="1" applyAlignment="1">
      <alignment horizontal="center" vertical="center"/>
    </xf>
    <xf numFmtId="2" fontId="2" fillId="0" borderId="15" xfId="0" applyNumberFormat="1" applyFont="1" applyFill="1" applyBorder="1" applyAlignment="1">
      <alignment horizontal="right" vertical="center"/>
    </xf>
    <xf numFmtId="0" fontId="47" fillId="0" borderId="73" xfId="0" applyFont="1" applyBorder="1" applyAlignment="1">
      <alignment horizontal="center" vertical="center" wrapText="1"/>
    </xf>
    <xf numFmtId="0" fontId="47" fillId="0" borderId="14" xfId="0" applyFont="1" applyBorder="1" applyAlignment="1">
      <alignment horizontal="center" vertical="center" wrapText="1"/>
    </xf>
    <xf numFmtId="0" fontId="0" fillId="0" borderId="0" xfId="0"/>
    <xf numFmtId="0" fontId="0" fillId="0" borderId="80" xfId="0" applyBorder="1"/>
    <xf numFmtId="0" fontId="0" fillId="3" borderId="1" xfId="0" applyFill="1" applyBorder="1" applyAlignment="1">
      <alignment horizontal="center" vertical="center"/>
    </xf>
    <xf numFmtId="0" fontId="0" fillId="22" borderId="84" xfId="0" applyFill="1" applyBorder="1"/>
    <xf numFmtId="0" fontId="0" fillId="22" borderId="1" xfId="0" applyFill="1" applyBorder="1"/>
    <xf numFmtId="0" fontId="0" fillId="23" borderId="84" xfId="0" applyNumberFormat="1" applyFill="1" applyBorder="1"/>
    <xf numFmtId="0" fontId="0" fillId="23" borderId="1" xfId="0" applyNumberFormat="1" applyFill="1" applyBorder="1"/>
    <xf numFmtId="1" fontId="10" fillId="3" borderId="1" xfId="0" applyNumberFormat="1" applyFont="1" applyFill="1" applyBorder="1" applyAlignment="1">
      <alignment horizontal="center" vertical="center"/>
    </xf>
    <xf numFmtId="10" fontId="10" fillId="3" borderId="1" xfId="0" applyNumberFormat="1" applyFont="1" applyFill="1" applyBorder="1" applyAlignment="1">
      <alignment horizontal="center" vertical="center"/>
    </xf>
    <xf numFmtId="10" fontId="10" fillId="22" borderId="1" xfId="0" applyNumberFormat="1" applyFont="1" applyFill="1" applyBorder="1" applyAlignment="1">
      <alignment horizontal="center" vertical="center"/>
    </xf>
    <xf numFmtId="10" fontId="10" fillId="23" borderId="1" xfId="0" applyNumberFormat="1" applyFont="1" applyFill="1" applyBorder="1" applyAlignment="1">
      <alignment horizontal="center" vertical="center"/>
    </xf>
    <xf numFmtId="10" fontId="0" fillId="3" borderId="1" xfId="0" applyNumberFormat="1" applyFill="1" applyBorder="1" applyAlignment="1">
      <alignment horizontal="center" vertical="center"/>
    </xf>
    <xf numFmtId="10" fontId="0" fillId="22" borderId="1" xfId="0" applyNumberFormat="1" applyFill="1" applyBorder="1" applyAlignment="1">
      <alignment horizontal="center" vertical="center"/>
    </xf>
    <xf numFmtId="10" fontId="0" fillId="23" borderId="1" xfId="0" applyNumberFormat="1" applyFill="1" applyBorder="1" applyAlignment="1">
      <alignment horizontal="center" vertical="center"/>
    </xf>
    <xf numFmtId="0" fontId="0" fillId="23" borderId="84" xfId="0" applyNumberFormat="1" applyFill="1" applyBorder="1" applyAlignment="1">
      <alignment horizontal="right" vertical="center"/>
    </xf>
    <xf numFmtId="10" fontId="0" fillId="23" borderId="1" xfId="4" applyNumberFormat="1" applyFont="1" applyFill="1" applyBorder="1" applyAlignment="1">
      <alignment horizontal="center" vertical="center"/>
    </xf>
    <xf numFmtId="0" fontId="0" fillId="23" borderId="1" xfId="0" applyNumberFormat="1" applyFill="1" applyBorder="1" applyAlignment="1">
      <alignment horizontal="right" vertical="center"/>
    </xf>
    <xf numFmtId="1" fontId="0" fillId="22" borderId="1" xfId="0" applyNumberFormat="1" applyFill="1" applyBorder="1"/>
    <xf numFmtId="10" fontId="10" fillId="22" borderId="1" xfId="0" applyNumberFormat="1" applyFont="1" applyFill="1" applyBorder="1" applyAlignment="1">
      <alignment horizontal="center"/>
    </xf>
    <xf numFmtId="10" fontId="10" fillId="23" borderId="1" xfId="0" applyNumberFormat="1" applyFont="1" applyFill="1" applyBorder="1" applyAlignment="1">
      <alignment horizontal="center"/>
    </xf>
    <xf numFmtId="1" fontId="0" fillId="3" borderId="1" xfId="0" applyNumberFormat="1" applyFill="1" applyBorder="1" applyAlignment="1">
      <alignment horizontal="center" vertical="center"/>
    </xf>
    <xf numFmtId="10" fontId="0" fillId="22" borderId="1" xfId="0" applyNumberFormat="1" applyFill="1" applyBorder="1" applyAlignment="1">
      <alignment horizontal="center"/>
    </xf>
    <xf numFmtId="10" fontId="0" fillId="23" borderId="1" xfId="0" applyNumberFormat="1" applyFill="1" applyBorder="1" applyAlignment="1">
      <alignment horizontal="center"/>
    </xf>
    <xf numFmtId="0" fontId="0" fillId="23" borderId="1" xfId="0" applyNumberFormat="1" applyFill="1" applyBorder="1" applyAlignment="1">
      <alignment horizontal="right"/>
    </xf>
    <xf numFmtId="0" fontId="0" fillId="23" borderId="84" xfId="0" applyNumberFormat="1" applyFill="1" applyBorder="1" applyAlignment="1">
      <alignment vertical="center"/>
    </xf>
    <xf numFmtId="10" fontId="10" fillId="23" borderId="1" xfId="4" applyNumberFormat="1" applyFont="1" applyFill="1" applyBorder="1" applyAlignment="1">
      <alignment horizontal="center"/>
    </xf>
    <xf numFmtId="10" fontId="0" fillId="23" borderId="1" xfId="4" applyNumberFormat="1" applyFont="1" applyFill="1" applyBorder="1" applyAlignment="1">
      <alignment horizontal="center"/>
    </xf>
    <xf numFmtId="43" fontId="0" fillId="3" borderId="1" xfId="0" applyNumberFormat="1" applyFill="1" applyBorder="1" applyAlignment="1">
      <alignment horizontal="center" vertical="center"/>
    </xf>
    <xf numFmtId="0" fontId="0" fillId="23" borderId="84" xfId="0" applyNumberFormat="1" applyFill="1" applyBorder="1" applyAlignment="1">
      <alignment horizontal="right"/>
    </xf>
    <xf numFmtId="0" fontId="0" fillId="23" borderId="84" xfId="0" applyFill="1" applyBorder="1"/>
    <xf numFmtId="0" fontId="0" fillId="23" borderId="1" xfId="0" applyFill="1" applyBorder="1"/>
    <xf numFmtId="0" fontId="10" fillId="23" borderId="84" xfId="0" applyFont="1" applyFill="1" applyBorder="1"/>
    <xf numFmtId="0" fontId="10" fillId="23" borderId="1" xfId="0" applyFont="1" applyFill="1" applyBorder="1"/>
    <xf numFmtId="0" fontId="0" fillId="23" borderId="84" xfId="0" applyFill="1" applyBorder="1" applyAlignment="1">
      <alignment horizontal="right" vertical="center"/>
    </xf>
    <xf numFmtId="0" fontId="0" fillId="23" borderId="1" xfId="0" applyFill="1" applyBorder="1" applyAlignment="1">
      <alignment horizontal="right" vertical="center"/>
    </xf>
    <xf numFmtId="10" fontId="0" fillId="22" borderId="1" xfId="4" applyNumberFormat="1" applyFont="1" applyFill="1" applyBorder="1" applyAlignment="1">
      <alignment horizontal="center" vertical="center"/>
    </xf>
    <xf numFmtId="1" fontId="0" fillId="23" borderId="1" xfId="0" applyNumberFormat="1" applyFill="1" applyBorder="1"/>
    <xf numFmtId="1" fontId="0" fillId="23" borderId="84" xfId="0" applyNumberFormat="1" applyFill="1" applyBorder="1"/>
    <xf numFmtId="0" fontId="0" fillId="22" borderId="1" xfId="0" applyNumberFormat="1" applyFill="1" applyBorder="1" applyAlignment="1">
      <alignment horizontal="right"/>
    </xf>
    <xf numFmtId="0" fontId="10" fillId="23" borderId="84" xfId="0" applyFont="1" applyFill="1" applyBorder="1" applyAlignment="1">
      <alignment vertical="center"/>
    </xf>
    <xf numFmtId="1" fontId="0" fillId="23" borderId="84" xfId="0" applyNumberFormat="1" applyFill="1" applyBorder="1" applyAlignment="1">
      <alignment vertical="center"/>
    </xf>
    <xf numFmtId="0" fontId="0" fillId="22" borderId="84" xfId="0" applyNumberFormat="1" applyFill="1" applyBorder="1" applyAlignment="1">
      <alignment vertical="center"/>
    </xf>
    <xf numFmtId="0" fontId="0" fillId="22" borderId="1" xfId="0" applyNumberFormat="1" applyFill="1" applyBorder="1"/>
    <xf numFmtId="0" fontId="0" fillId="22" borderId="1" xfId="0" applyNumberFormat="1" applyFill="1" applyBorder="1" applyAlignment="1">
      <alignment horizontal="right" vertical="center"/>
    </xf>
    <xf numFmtId="1" fontId="0" fillId="23" borderId="1" xfId="0" applyNumberFormat="1" applyFill="1" applyBorder="1" applyAlignment="1">
      <alignment horizontal="right" vertical="center"/>
    </xf>
    <xf numFmtId="9" fontId="0" fillId="23" borderId="1" xfId="4" applyNumberFormat="1" applyFont="1" applyFill="1" applyBorder="1" applyAlignment="1">
      <alignment horizontal="center" vertical="center"/>
    </xf>
    <xf numFmtId="9" fontId="0" fillId="22" borderId="1" xfId="4" applyNumberFormat="1" applyFont="1" applyFill="1" applyBorder="1" applyAlignment="1">
      <alignment horizontal="center" vertical="center"/>
    </xf>
    <xf numFmtId="10" fontId="10" fillId="22" borderId="1" xfId="4" applyNumberFormat="1" applyFont="1" applyFill="1" applyBorder="1" applyAlignment="1">
      <alignment horizontal="center"/>
    </xf>
    <xf numFmtId="10" fontId="0" fillId="22" borderId="1" xfId="4" applyNumberFormat="1" applyFont="1" applyFill="1" applyBorder="1" applyAlignment="1">
      <alignment horizontal="center"/>
    </xf>
    <xf numFmtId="1" fontId="0" fillId="23" borderId="1" xfId="0" applyNumberFormat="1" applyFill="1" applyBorder="1" applyAlignment="1">
      <alignment horizontal="right"/>
    </xf>
    <xf numFmtId="0" fontId="0" fillId="22" borderId="84" xfId="0" applyNumberFormat="1" applyFill="1" applyBorder="1"/>
    <xf numFmtId="0" fontId="0" fillId="22" borderId="84" xfId="0" applyNumberFormat="1" applyFill="1" applyBorder="1" applyAlignment="1">
      <alignment horizontal="right" vertical="center"/>
    </xf>
    <xf numFmtId="0" fontId="0" fillId="22" borderId="84" xfId="0" applyNumberFormat="1" applyFill="1" applyBorder="1" applyAlignment="1">
      <alignment horizontal="right"/>
    </xf>
    <xf numFmtId="0" fontId="0" fillId="0" borderId="0" xfId="0"/>
    <xf numFmtId="0" fontId="0" fillId="0" borderId="0" xfId="0"/>
    <xf numFmtId="1" fontId="22" fillId="0" borderId="0" xfId="0" applyNumberFormat="1" applyFont="1"/>
    <xf numFmtId="0" fontId="12" fillId="24" borderId="26" xfId="0" applyFont="1" applyFill="1" applyBorder="1" applyAlignment="1">
      <alignment horizontal="right" wrapText="1"/>
    </xf>
    <xf numFmtId="0" fontId="12" fillId="24" borderId="1" xfId="0" applyFont="1" applyFill="1" applyBorder="1" applyAlignment="1">
      <alignment horizontal="right" wrapText="1"/>
    </xf>
    <xf numFmtId="0" fontId="8" fillId="0" borderId="0" xfId="2"/>
    <xf numFmtId="0" fontId="8" fillId="3" borderId="1" xfId="2" applyFill="1" applyBorder="1"/>
    <xf numFmtId="1" fontId="22" fillId="0" borderId="1" xfId="0" applyNumberFormat="1" applyFont="1" applyBorder="1"/>
    <xf numFmtId="2" fontId="12" fillId="0" borderId="3" xfId="1" applyNumberFormat="1" applyFont="1" applyFill="1" applyBorder="1" applyAlignment="1">
      <alignment horizontal="right" wrapText="1"/>
    </xf>
    <xf numFmtId="2" fontId="0" fillId="0" borderId="1" xfId="1" applyNumberFormat="1" applyFont="1" applyFill="1" applyBorder="1"/>
    <xf numFmtId="2" fontId="0" fillId="0" borderId="1" xfId="1" applyNumberFormat="1" applyFont="1" applyFill="1" applyBorder="1" applyAlignment="1">
      <alignment horizontal="right" wrapText="1"/>
    </xf>
    <xf numFmtId="2" fontId="0" fillId="0" borderId="1" xfId="1" applyNumberFormat="1" applyFont="1" applyFill="1" applyBorder="1" applyAlignment="1">
      <alignment horizontal="center" wrapText="1"/>
    </xf>
    <xf numFmtId="2" fontId="0" fillId="0" borderId="27" xfId="1" applyNumberFormat="1" applyFont="1" applyFill="1" applyBorder="1" applyAlignment="1">
      <alignment horizontal="center" wrapText="1"/>
    </xf>
    <xf numFmtId="2" fontId="0" fillId="0" borderId="1" xfId="1" applyNumberFormat="1" applyFont="1" applyFill="1" applyBorder="1" applyAlignment="1">
      <alignment horizontal="right" vertical="center" wrapText="1"/>
    </xf>
    <xf numFmtId="2" fontId="12" fillId="0" borderId="7" xfId="0" applyNumberFormat="1" applyFont="1" applyFill="1" applyBorder="1" applyAlignment="1">
      <alignment vertical="top" wrapText="1"/>
    </xf>
    <xf numFmtId="2" fontId="12" fillId="0" borderId="69" xfId="0" applyNumberFormat="1" applyFont="1" applyFill="1" applyBorder="1" applyAlignment="1">
      <alignment vertical="top" wrapText="1"/>
    </xf>
    <xf numFmtId="2" fontId="4" fillId="0" borderId="69" xfId="0" applyNumberFormat="1" applyFont="1" applyFill="1" applyBorder="1"/>
    <xf numFmtId="2" fontId="4" fillId="0" borderId="39" xfId="0" applyNumberFormat="1" applyFont="1" applyFill="1" applyBorder="1"/>
    <xf numFmtId="2" fontId="23" fillId="0" borderId="69" xfId="0" applyNumberFormat="1" applyFont="1" applyFill="1" applyBorder="1"/>
    <xf numFmtId="2" fontId="0" fillId="0" borderId="44" xfId="0" applyNumberFormat="1" applyFont="1" applyFill="1" applyBorder="1" applyAlignment="1">
      <alignment vertical="top" wrapText="1"/>
    </xf>
    <xf numFmtId="0" fontId="10" fillId="22" borderId="84" xfId="0" applyNumberFormat="1" applyFont="1" applyFill="1" applyBorder="1"/>
    <xf numFmtId="0" fontId="10" fillId="22" borderId="84" xfId="0" applyNumberFormat="1" applyFont="1" applyFill="1" applyBorder="1" applyAlignment="1">
      <alignment vertical="center"/>
    </xf>
    <xf numFmtId="0" fontId="10" fillId="22" borderId="1" xfId="0" applyNumberFormat="1" applyFont="1" applyFill="1" applyBorder="1"/>
    <xf numFmtId="0" fontId="0" fillId="0" borderId="0" xfId="0"/>
    <xf numFmtId="1" fontId="55" fillId="25" borderId="54" xfId="0" applyNumberFormat="1" applyFont="1" applyFill="1" applyBorder="1" applyAlignment="1">
      <alignment horizontal="center"/>
    </xf>
    <xf numFmtId="165" fontId="56" fillId="25" borderId="54" xfId="0" applyNumberFormat="1" applyFont="1" applyFill="1" applyBorder="1" applyAlignment="1">
      <alignment horizontal="right"/>
    </xf>
    <xf numFmtId="0" fontId="0" fillId="0" borderId="1" xfId="0" applyFont="1" applyFill="1" applyBorder="1" applyAlignment="1">
      <alignment horizontal="right"/>
    </xf>
    <xf numFmtId="0" fontId="0" fillId="0" borderId="7" xfId="0" applyFont="1" applyFill="1" applyBorder="1" applyAlignment="1">
      <alignment horizontal="right"/>
    </xf>
    <xf numFmtId="1" fontId="0" fillId="22" borderId="1" xfId="0" applyNumberFormat="1" applyFill="1" applyBorder="1" applyAlignment="1">
      <alignment horizontal="right" vertical="center"/>
    </xf>
    <xf numFmtId="43" fontId="0" fillId="22" borderId="1" xfId="0" applyNumberFormat="1" applyFill="1" applyBorder="1" applyAlignment="1">
      <alignment horizontal="right" vertical="center"/>
    </xf>
    <xf numFmtId="0" fontId="0" fillId="3" borderId="1" xfId="0" applyFill="1" applyBorder="1"/>
    <xf numFmtId="0" fontId="0" fillId="3" borderId="2" xfId="0" applyFill="1" applyBorder="1"/>
    <xf numFmtId="0" fontId="10" fillId="3" borderId="1" xfId="0" applyFont="1" applyFill="1" applyBorder="1"/>
    <xf numFmtId="10" fontId="10" fillId="3" borderId="2" xfId="0" applyNumberFormat="1" applyFont="1" applyFill="1" applyBorder="1" applyAlignment="1">
      <alignment horizontal="center" vertical="center"/>
    </xf>
    <xf numFmtId="10" fontId="0" fillId="3" borderId="2" xfId="0" applyNumberForma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1" fontId="0" fillId="3" borderId="1" xfId="0" applyNumberFormat="1" applyFill="1" applyBorder="1"/>
    <xf numFmtId="10" fontId="10" fillId="3" borderId="1" xfId="0" applyNumberFormat="1" applyFont="1" applyFill="1" applyBorder="1" applyAlignment="1">
      <alignment horizontal="center"/>
    </xf>
    <xf numFmtId="10" fontId="0" fillId="3" borderId="1" xfId="0" applyNumberFormat="1" applyFill="1" applyBorder="1" applyAlignment="1">
      <alignment horizontal="center"/>
    </xf>
    <xf numFmtId="0" fontId="10" fillId="3" borderId="1" xfId="0" applyFont="1" applyFill="1" applyBorder="1" applyAlignment="1">
      <alignment vertical="center"/>
    </xf>
    <xf numFmtId="1" fontId="0" fillId="3" borderId="1" xfId="0" applyNumberFormat="1" applyFill="1" applyBorder="1" applyAlignment="1">
      <alignment vertical="center"/>
    </xf>
    <xf numFmtId="2" fontId="0" fillId="3" borderId="1" xfId="0" applyNumberFormat="1" applyFill="1" applyBorder="1" applyAlignment="1">
      <alignment vertical="center"/>
    </xf>
    <xf numFmtId="2" fontId="0" fillId="3" borderId="1" xfId="0" applyNumberFormat="1" applyFill="1" applyBorder="1"/>
    <xf numFmtId="0" fontId="10" fillId="3" borderId="2" xfId="0" applyFont="1" applyFill="1" applyBorder="1"/>
    <xf numFmtId="43" fontId="0" fillId="3" borderId="1" xfId="0" applyNumberFormat="1" applyFill="1" applyBorder="1"/>
    <xf numFmtId="9" fontId="10" fillId="3" borderId="1" xfId="4" applyFont="1" applyFill="1" applyBorder="1" applyAlignment="1">
      <alignment horizontal="center" vertical="center"/>
    </xf>
    <xf numFmtId="10" fontId="0" fillId="3" borderId="1" xfId="4" applyNumberFormat="1" applyFont="1" applyFill="1" applyBorder="1" applyAlignment="1">
      <alignment horizontal="center" vertical="center"/>
    </xf>
    <xf numFmtId="9" fontId="0" fillId="3" borderId="1" xfId="4" applyNumberFormat="1" applyFon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172" fontId="10" fillId="3" borderId="1" xfId="4" applyNumberFormat="1" applyFont="1" applyFill="1" applyBorder="1" applyAlignment="1">
      <alignment horizontal="center" vertical="center"/>
    </xf>
    <xf numFmtId="10" fontId="10" fillId="3" borderId="1" xfId="4" applyNumberFormat="1" applyFont="1" applyFill="1" applyBorder="1" applyAlignment="1">
      <alignment horizontal="center" vertical="center"/>
    </xf>
    <xf numFmtId="3" fontId="0" fillId="3" borderId="1" xfId="0" applyNumberFormat="1" applyFill="1" applyBorder="1" applyAlignment="1">
      <alignment horizontal="center" vertical="center"/>
    </xf>
    <xf numFmtId="9" fontId="0" fillId="3" borderId="1" xfId="4" applyFont="1" applyFill="1" applyBorder="1" applyAlignment="1">
      <alignment horizontal="center" vertical="center"/>
    </xf>
    <xf numFmtId="0" fontId="0" fillId="23" borderId="0" xfId="0" applyFill="1" applyAlignment="1">
      <alignment horizontal="center" vertical="center"/>
    </xf>
    <xf numFmtId="10" fontId="0" fillId="23" borderId="0" xfId="4" applyNumberFormat="1" applyFont="1" applyFill="1" applyAlignment="1">
      <alignment horizontal="center" vertical="center"/>
    </xf>
    <xf numFmtId="0" fontId="0" fillId="23" borderId="3" xfId="0" applyFill="1" applyBorder="1" applyAlignment="1">
      <alignment horizontal="center" vertical="center"/>
    </xf>
    <xf numFmtId="10" fontId="0" fillId="23" borderId="3" xfId="4" applyNumberFormat="1" applyFont="1" applyFill="1" applyBorder="1" applyAlignment="1">
      <alignment horizontal="center" vertical="center"/>
    </xf>
    <xf numFmtId="1" fontId="10" fillId="23" borderId="1" xfId="0" applyNumberFormat="1" applyFont="1" applyFill="1" applyBorder="1" applyAlignment="1">
      <alignment horizontal="center" vertical="center"/>
    </xf>
    <xf numFmtId="10" fontId="10" fillId="23" borderId="1" xfId="4" applyNumberFormat="1" applyFont="1" applyFill="1" applyBorder="1" applyAlignment="1">
      <alignment horizontal="center" vertical="center"/>
    </xf>
    <xf numFmtId="0" fontId="0" fillId="23" borderId="1" xfId="0" applyFill="1" applyBorder="1" applyAlignment="1">
      <alignment horizontal="center" vertical="center"/>
    </xf>
    <xf numFmtId="1" fontId="0" fillId="23" borderId="1" xfId="0" applyNumberFormat="1" applyFill="1" applyBorder="1" applyAlignment="1">
      <alignment horizontal="center" vertical="center"/>
    </xf>
    <xf numFmtId="0" fontId="0" fillId="23" borderId="1" xfId="0" quotePrefix="1" applyFill="1" applyBorder="1" applyAlignment="1">
      <alignment horizontal="center" vertical="center"/>
    </xf>
    <xf numFmtId="1" fontId="0" fillId="23" borderId="1" xfId="0" quotePrefix="1" applyNumberFormat="1" applyFill="1" applyBorder="1" applyAlignment="1">
      <alignment horizontal="center" vertical="center"/>
    </xf>
    <xf numFmtId="10" fontId="10" fillId="23" borderId="1" xfId="4" quotePrefix="1" applyNumberFormat="1" applyFont="1" applyFill="1" applyBorder="1" applyAlignment="1">
      <alignment horizontal="center" vertical="center"/>
    </xf>
    <xf numFmtId="3" fontId="0" fillId="23" borderId="1" xfId="0" quotePrefix="1" applyNumberFormat="1" applyFill="1" applyBorder="1" applyAlignment="1">
      <alignment horizontal="center" vertical="center"/>
    </xf>
    <xf numFmtId="9" fontId="0" fillId="23" borderId="1" xfId="4" quotePrefix="1" applyFont="1" applyFill="1" applyBorder="1" applyAlignment="1">
      <alignment horizontal="center" vertical="center"/>
    </xf>
    <xf numFmtId="10" fontId="0" fillId="23" borderId="0" xfId="4" applyNumberFormat="1" applyFont="1" applyFill="1" applyBorder="1" applyAlignment="1">
      <alignment horizontal="center" vertical="center"/>
    </xf>
    <xf numFmtId="0" fontId="0" fillId="23" borderId="0" xfId="0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10" fontId="0" fillId="23" borderId="85" xfId="4" applyNumberFormat="1" applyFont="1" applyFill="1" applyBorder="1" applyAlignment="1">
      <alignment horizontal="center" vertical="center"/>
    </xf>
    <xf numFmtId="0" fontId="0" fillId="23" borderId="85" xfId="0" applyFill="1" applyBorder="1" applyAlignment="1">
      <alignment horizontal="center" vertical="center"/>
    </xf>
    <xf numFmtId="0" fontId="0" fillId="26" borderId="88" xfId="0" applyFill="1" applyBorder="1"/>
    <xf numFmtId="0" fontId="0" fillId="26" borderId="89" xfId="0" applyFill="1" applyBorder="1"/>
    <xf numFmtId="0" fontId="0" fillId="26" borderId="90" xfId="0" applyFill="1" applyBorder="1"/>
    <xf numFmtId="0" fontId="0" fillId="26" borderId="80" xfId="0" applyFill="1" applyBorder="1"/>
    <xf numFmtId="0" fontId="0" fillId="26" borderId="0" xfId="0" applyFill="1" applyBorder="1"/>
    <xf numFmtId="0" fontId="0" fillId="26" borderId="94" xfId="0" applyFill="1" applyBorder="1"/>
    <xf numFmtId="0" fontId="0" fillId="23" borderId="0" xfId="0" applyFill="1"/>
    <xf numFmtId="0" fontId="0" fillId="0" borderId="0" xfId="0" applyBorder="1" applyAlignment="1">
      <alignment horizontal="center" vertical="center"/>
    </xf>
    <xf numFmtId="0" fontId="0" fillId="23" borderId="0" xfId="0" quotePrefix="1" applyFill="1" applyBorder="1" applyAlignment="1">
      <alignment horizontal="center" vertical="center"/>
    </xf>
    <xf numFmtId="166" fontId="57" fillId="0" borderId="1" xfId="0" applyNumberFormat="1" applyFont="1" applyBorder="1"/>
    <xf numFmtId="166" fontId="57" fillId="0" borderId="0" xfId="0" applyNumberFormat="1" applyFont="1"/>
    <xf numFmtId="166" fontId="57" fillId="0" borderId="69" xfId="0" applyNumberFormat="1" applyFont="1" applyFill="1" applyBorder="1"/>
    <xf numFmtId="43" fontId="11" fillId="0" borderId="1" xfId="1" applyFont="1" applyFill="1" applyBorder="1" applyAlignment="1">
      <alignment horizontal="center" vertical="center"/>
    </xf>
    <xf numFmtId="43" fontId="11" fillId="0" borderId="7" xfId="1" applyFont="1" applyFill="1" applyBorder="1" applyAlignment="1">
      <alignment horizontal="center" vertical="center"/>
    </xf>
    <xf numFmtId="43" fontId="12" fillId="0" borderId="1" xfId="1" applyFont="1" applyFill="1" applyBorder="1" applyAlignment="1">
      <alignment horizontal="center" vertical="center"/>
    </xf>
    <xf numFmtId="0" fontId="0" fillId="27" borderId="0" xfId="0" applyFill="1" applyBorder="1" applyAlignment="1">
      <alignment horizontal="center"/>
    </xf>
    <xf numFmtId="0" fontId="13" fillId="27" borderId="0" xfId="0" applyFont="1" applyFill="1" applyBorder="1" applyAlignment="1">
      <alignment wrapText="1"/>
    </xf>
    <xf numFmtId="0" fontId="13" fillId="27" borderId="0" xfId="0" applyFont="1" applyFill="1" applyBorder="1" applyAlignment="1">
      <alignment horizontal="center" wrapText="1"/>
    </xf>
    <xf numFmtId="0" fontId="17" fillId="27" borderId="0" xfId="0" applyFont="1" applyFill="1" applyBorder="1" applyAlignment="1">
      <alignment horizontal="center" wrapText="1"/>
    </xf>
    <xf numFmtId="0" fontId="14" fillId="27" borderId="0" xfId="0" applyFont="1" applyFill="1" applyBorder="1" applyAlignment="1">
      <alignment horizontal="center" vertical="top" wrapText="1"/>
    </xf>
    <xf numFmtId="0" fontId="13" fillId="27" borderId="0" xfId="0" applyFont="1" applyFill="1" applyBorder="1" applyAlignment="1">
      <alignment horizontal="center"/>
    </xf>
    <xf numFmtId="0" fontId="0" fillId="27" borderId="0" xfId="0" applyFill="1" applyBorder="1"/>
    <xf numFmtId="0" fontId="0" fillId="23" borderId="18" xfId="0" applyFill="1" applyBorder="1" applyAlignment="1">
      <alignment horizontal="center" vertical="center"/>
    </xf>
    <xf numFmtId="10" fontId="0" fillId="23" borderId="51" xfId="4" applyNumberFormat="1" applyFont="1" applyFill="1" applyBorder="1" applyAlignment="1">
      <alignment horizontal="center" vertical="center"/>
    </xf>
    <xf numFmtId="0" fontId="0" fillId="26" borderId="95" xfId="0" applyFill="1" applyBorder="1" applyAlignment="1">
      <alignment horizontal="center" vertical="center"/>
    </xf>
    <xf numFmtId="0" fontId="0" fillId="26" borderId="18" xfId="0" applyFill="1" applyBorder="1" applyAlignment="1">
      <alignment horizontal="center" vertical="center"/>
    </xf>
    <xf numFmtId="0" fontId="0" fillId="26" borderId="96" xfId="0" applyFill="1" applyBorder="1" applyAlignment="1">
      <alignment horizontal="center" vertical="center"/>
    </xf>
    <xf numFmtId="0" fontId="0" fillId="23" borderId="61" xfId="0" applyFill="1" applyBorder="1" applyAlignment="1">
      <alignment horizontal="center" vertical="center"/>
    </xf>
    <xf numFmtId="0" fontId="0" fillId="0" borderId="16" xfId="0" applyBorder="1"/>
    <xf numFmtId="1" fontId="10" fillId="23" borderId="18" xfId="0" applyNumberFormat="1" applyFont="1" applyFill="1" applyBorder="1" applyAlignment="1">
      <alignment horizontal="center" vertical="center"/>
    </xf>
    <xf numFmtId="10" fontId="10" fillId="23" borderId="51" xfId="4" applyNumberFormat="1" applyFont="1" applyFill="1" applyBorder="1" applyAlignment="1">
      <alignment horizontal="center" vertical="center"/>
    </xf>
    <xf numFmtId="0" fontId="10" fillId="26" borderId="95" xfId="0" applyFont="1" applyFill="1" applyBorder="1" applyAlignment="1">
      <alignment horizontal="center" vertical="center"/>
    </xf>
    <xf numFmtId="10" fontId="10" fillId="26" borderId="18" xfId="0" applyNumberFormat="1" applyFont="1" applyFill="1" applyBorder="1" applyAlignment="1">
      <alignment horizontal="center" vertical="center"/>
    </xf>
    <xf numFmtId="0" fontId="10" fillId="26" borderId="18" xfId="0" applyFont="1" applyFill="1" applyBorder="1" applyAlignment="1">
      <alignment horizontal="center" vertical="center"/>
    </xf>
    <xf numFmtId="0" fontId="10" fillId="23" borderId="61" xfId="0" applyNumberFormat="1" applyFont="1" applyFill="1" applyBorder="1" applyAlignment="1">
      <alignment horizontal="center" vertical="center"/>
    </xf>
    <xf numFmtId="10" fontId="10" fillId="23" borderId="18" xfId="0" applyNumberFormat="1" applyFont="1" applyFill="1" applyBorder="1" applyAlignment="1">
      <alignment horizontal="center" vertical="center"/>
    </xf>
    <xf numFmtId="0" fontId="10" fillId="23" borderId="18" xfId="0" applyNumberFormat="1" applyFont="1" applyFill="1" applyBorder="1" applyAlignment="1">
      <alignment horizontal="center" vertical="center"/>
    </xf>
    <xf numFmtId="10" fontId="0" fillId="26" borderId="18" xfId="0" applyNumberFormat="1" applyFill="1" applyBorder="1" applyAlignment="1">
      <alignment horizontal="center" vertical="center"/>
    </xf>
    <xf numFmtId="0" fontId="0" fillId="23" borderId="61" xfId="0" applyNumberFormat="1" applyFill="1" applyBorder="1" applyAlignment="1">
      <alignment horizontal="center" vertical="center"/>
    </xf>
    <xf numFmtId="10" fontId="0" fillId="23" borderId="18" xfId="0" applyNumberFormat="1" applyFill="1" applyBorder="1" applyAlignment="1">
      <alignment horizontal="center" vertical="center"/>
    </xf>
    <xf numFmtId="0" fontId="0" fillId="23" borderId="18" xfId="0" applyNumberFormat="1" applyFill="1" applyBorder="1" applyAlignment="1">
      <alignment horizontal="center" vertical="center"/>
    </xf>
    <xf numFmtId="10" fontId="0" fillId="23" borderId="69" xfId="4" applyNumberFormat="1" applyFont="1" applyFill="1" applyBorder="1" applyAlignment="1">
      <alignment horizontal="center" vertical="center"/>
    </xf>
    <xf numFmtId="0" fontId="0" fillId="23" borderId="69" xfId="0" applyFill="1" applyBorder="1" applyAlignment="1">
      <alignment horizontal="center" vertical="center"/>
    </xf>
    <xf numFmtId="10" fontId="0" fillId="23" borderId="65" xfId="4" applyNumberFormat="1" applyFont="1" applyFill="1" applyBorder="1" applyAlignment="1">
      <alignment horizontal="center" vertical="center"/>
    </xf>
    <xf numFmtId="0" fontId="0" fillId="26" borderId="97" xfId="0" applyFill="1" applyBorder="1" applyAlignment="1">
      <alignment horizontal="center" vertical="center"/>
    </xf>
    <xf numFmtId="10" fontId="0" fillId="26" borderId="69" xfId="0" applyNumberFormat="1" applyFill="1" applyBorder="1" applyAlignment="1">
      <alignment horizontal="center" vertical="center"/>
    </xf>
    <xf numFmtId="0" fontId="0" fillId="26" borderId="69" xfId="0" applyFill="1" applyBorder="1" applyAlignment="1">
      <alignment horizontal="center" vertical="center"/>
    </xf>
    <xf numFmtId="0" fontId="0" fillId="23" borderId="66" xfId="0" applyNumberFormat="1" applyFill="1" applyBorder="1" applyAlignment="1">
      <alignment horizontal="center" vertical="center"/>
    </xf>
    <xf numFmtId="0" fontId="0" fillId="23" borderId="69" xfId="0" applyNumberFormat="1" applyFill="1" applyBorder="1" applyAlignment="1">
      <alignment horizontal="center" vertical="center"/>
    </xf>
    <xf numFmtId="10" fontId="0" fillId="23" borderId="69" xfId="0" applyNumberFormat="1" applyFill="1" applyBorder="1" applyAlignment="1">
      <alignment horizontal="center" vertical="center"/>
    </xf>
    <xf numFmtId="1" fontId="0" fillId="23" borderId="18" xfId="0" applyNumberFormat="1" applyFill="1" applyBorder="1" applyAlignment="1">
      <alignment horizontal="center" vertical="center"/>
    </xf>
    <xf numFmtId="1" fontId="0" fillId="26" borderId="18" xfId="0" applyNumberFormat="1" applyFill="1" applyBorder="1" applyAlignment="1">
      <alignment horizontal="center" vertical="center"/>
    </xf>
    <xf numFmtId="0" fontId="0" fillId="23" borderId="69" xfId="0" quotePrefix="1" applyFill="1" applyBorder="1" applyAlignment="1">
      <alignment horizontal="center" vertical="center"/>
    </xf>
    <xf numFmtId="1" fontId="0" fillId="26" borderId="69" xfId="0" applyNumberFormat="1" applyFill="1" applyBorder="1" applyAlignment="1">
      <alignment horizontal="center" vertical="center"/>
    </xf>
    <xf numFmtId="1" fontId="0" fillId="23" borderId="69" xfId="0" applyNumberFormat="1" applyFill="1" applyBorder="1" applyAlignment="1">
      <alignment horizontal="center" vertical="center"/>
    </xf>
    <xf numFmtId="0" fontId="0" fillId="23" borderId="18" xfId="0" quotePrefix="1" applyFill="1" applyBorder="1" applyAlignment="1">
      <alignment horizontal="center" vertical="center"/>
    </xf>
    <xf numFmtId="0" fontId="10" fillId="0" borderId="16" xfId="0" applyFont="1" applyBorder="1"/>
    <xf numFmtId="1" fontId="0" fillId="26" borderId="97" xfId="0" applyNumberFormat="1" applyFill="1" applyBorder="1" applyAlignment="1">
      <alignment horizontal="center" vertical="center"/>
    </xf>
    <xf numFmtId="0" fontId="0" fillId="26" borderId="69" xfId="0" applyNumberFormat="1" applyFill="1" applyBorder="1" applyAlignment="1">
      <alignment horizontal="center" vertical="center"/>
    </xf>
    <xf numFmtId="1" fontId="10" fillId="23" borderId="69" xfId="0" applyNumberFormat="1" applyFont="1" applyFill="1" applyBorder="1" applyAlignment="1">
      <alignment horizontal="center" vertical="center"/>
    </xf>
    <xf numFmtId="10" fontId="10" fillId="23" borderId="65" xfId="4" applyNumberFormat="1" applyFont="1" applyFill="1" applyBorder="1" applyAlignment="1">
      <alignment horizontal="center" vertical="center"/>
    </xf>
    <xf numFmtId="0" fontId="10" fillId="26" borderId="97" xfId="0" applyFont="1" applyFill="1" applyBorder="1" applyAlignment="1">
      <alignment horizontal="center" vertical="center"/>
    </xf>
    <xf numFmtId="10" fontId="10" fillId="26" borderId="69" xfId="0" applyNumberFormat="1" applyFont="1" applyFill="1" applyBorder="1" applyAlignment="1">
      <alignment horizontal="center" vertical="center"/>
    </xf>
    <xf numFmtId="1" fontId="10" fillId="26" borderId="69" xfId="0" applyNumberFormat="1" applyFont="1" applyFill="1" applyBorder="1" applyAlignment="1">
      <alignment horizontal="center" vertical="center"/>
    </xf>
    <xf numFmtId="0" fontId="10" fillId="23" borderId="66" xfId="0" applyNumberFormat="1" applyFont="1" applyFill="1" applyBorder="1" applyAlignment="1">
      <alignment horizontal="center" vertical="center"/>
    </xf>
    <xf numFmtId="10" fontId="10" fillId="23" borderId="69" xfId="0" applyNumberFormat="1" applyFont="1" applyFill="1" applyBorder="1" applyAlignment="1">
      <alignment horizontal="center" vertical="center"/>
    </xf>
    <xf numFmtId="0" fontId="10" fillId="23" borderId="69" xfId="0" applyNumberFormat="1" applyFont="1" applyFill="1" applyBorder="1" applyAlignment="1">
      <alignment horizontal="center" vertical="center"/>
    </xf>
    <xf numFmtId="1" fontId="0" fillId="26" borderId="95" xfId="0" applyNumberFormat="1" applyFill="1" applyBorder="1" applyAlignment="1">
      <alignment horizontal="center" vertical="center"/>
    </xf>
    <xf numFmtId="9" fontId="0" fillId="23" borderId="65" xfId="4" applyNumberFormat="1" applyFont="1" applyFill="1" applyBorder="1" applyAlignment="1">
      <alignment horizontal="center" vertical="center"/>
    </xf>
    <xf numFmtId="0" fontId="0" fillId="26" borderId="97" xfId="0" applyNumberFormat="1" applyFill="1" applyBorder="1" applyAlignment="1">
      <alignment horizontal="center" vertical="center"/>
    </xf>
    <xf numFmtId="9" fontId="0" fillId="23" borderId="51" xfId="4" applyNumberFormat="1" applyFont="1" applyFill="1" applyBorder="1" applyAlignment="1">
      <alignment horizontal="center" vertical="center"/>
    </xf>
    <xf numFmtId="0" fontId="0" fillId="26" borderId="18" xfId="0" applyNumberFormat="1" applyFill="1" applyBorder="1" applyAlignment="1">
      <alignment horizontal="center" vertical="center"/>
    </xf>
    <xf numFmtId="1" fontId="0" fillId="23" borderId="18" xfId="0" quotePrefix="1" applyNumberFormat="1" applyFill="1" applyBorder="1" applyAlignment="1">
      <alignment horizontal="center" vertical="center"/>
    </xf>
    <xf numFmtId="0" fontId="0" fillId="23" borderId="65" xfId="0" quotePrefix="1" applyFill="1" applyBorder="1" applyAlignment="1">
      <alignment horizontal="center" vertical="center"/>
    </xf>
    <xf numFmtId="0" fontId="10" fillId="26" borderId="69" xfId="0" applyFont="1" applyFill="1" applyBorder="1" applyAlignment="1">
      <alignment horizontal="center" vertical="center"/>
    </xf>
    <xf numFmtId="1" fontId="0" fillId="23" borderId="69" xfId="0" quotePrefix="1" applyNumberFormat="1" applyFill="1" applyBorder="1" applyAlignment="1">
      <alignment horizontal="center" vertical="center"/>
    </xf>
    <xf numFmtId="0" fontId="0" fillId="23" borderId="51" xfId="0" quotePrefix="1" applyFill="1" applyBorder="1" applyAlignment="1">
      <alignment horizontal="center" vertical="center"/>
    </xf>
    <xf numFmtId="10" fontId="10" fillId="23" borderId="65" xfId="4" quotePrefix="1" applyNumberFormat="1" applyFont="1" applyFill="1" applyBorder="1" applyAlignment="1">
      <alignment horizontal="center" vertical="center"/>
    </xf>
    <xf numFmtId="3" fontId="0" fillId="23" borderId="18" xfId="0" quotePrefix="1" applyNumberFormat="1" applyFill="1" applyBorder="1" applyAlignment="1">
      <alignment horizontal="center" vertical="center"/>
    </xf>
    <xf numFmtId="9" fontId="0" fillId="23" borderId="51" xfId="4" quotePrefix="1" applyFont="1" applyFill="1" applyBorder="1" applyAlignment="1">
      <alignment horizontal="center" vertical="center"/>
    </xf>
    <xf numFmtId="0" fontId="0" fillId="26" borderId="95" xfId="0" applyNumberFormat="1" applyFill="1" applyBorder="1" applyAlignment="1">
      <alignment horizontal="center" vertical="center"/>
    </xf>
    <xf numFmtId="3" fontId="0" fillId="23" borderId="69" xfId="0" quotePrefix="1" applyNumberFormat="1" applyFill="1" applyBorder="1" applyAlignment="1">
      <alignment horizontal="center" vertical="center"/>
    </xf>
    <xf numFmtId="9" fontId="0" fillId="23" borderId="65" xfId="4" quotePrefix="1" applyFont="1" applyFill="1" applyBorder="1" applyAlignment="1">
      <alignment horizontal="center" vertical="center"/>
    </xf>
    <xf numFmtId="0" fontId="0" fillId="23" borderId="98" xfId="0" quotePrefix="1" applyFill="1" applyBorder="1" applyAlignment="1">
      <alignment horizontal="center" vertical="center"/>
    </xf>
    <xf numFmtId="0" fontId="0" fillId="0" borderId="99" xfId="0" applyBorder="1"/>
    <xf numFmtId="0" fontId="0" fillId="23" borderId="100" xfId="0" quotePrefix="1" applyFill="1" applyBorder="1" applyAlignment="1">
      <alignment horizontal="center" vertical="center"/>
    </xf>
    <xf numFmtId="0" fontId="0" fillId="26" borderId="66" xfId="0" applyNumberFormat="1" applyFill="1" applyBorder="1" applyAlignment="1">
      <alignment horizontal="center" vertical="center"/>
    </xf>
    <xf numFmtId="0" fontId="0" fillId="0" borderId="12" xfId="0" applyBorder="1"/>
    <xf numFmtId="0" fontId="0" fillId="0" borderId="16" xfId="0" applyBorder="1" applyAlignment="1">
      <alignment horizontal="center" vertical="center"/>
    </xf>
    <xf numFmtId="0" fontId="0" fillId="23" borderId="16" xfId="0" quotePrefix="1" applyFill="1" applyBorder="1" applyAlignment="1">
      <alignment horizontal="center" vertical="center"/>
    </xf>
    <xf numFmtId="10" fontId="0" fillId="23" borderId="16" xfId="4" applyNumberFormat="1" applyFont="1" applyFill="1" applyBorder="1" applyAlignment="1">
      <alignment horizontal="center" vertical="center"/>
    </xf>
    <xf numFmtId="0" fontId="0" fillId="26" borderId="16" xfId="0" applyFill="1" applyBorder="1"/>
    <xf numFmtId="0" fontId="0" fillId="26" borderId="101" xfId="0" applyFill="1" applyBorder="1"/>
    <xf numFmtId="0" fontId="0" fillId="23" borderId="16" xfId="0" applyFill="1" applyBorder="1"/>
    <xf numFmtId="0" fontId="10" fillId="0" borderId="12" xfId="0" applyFont="1" applyBorder="1"/>
    <xf numFmtId="0" fontId="10" fillId="0" borderId="65" xfId="0" applyFont="1" applyBorder="1"/>
    <xf numFmtId="1" fontId="10" fillId="0" borderId="16" xfId="0" applyNumberFormat="1" applyFon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1" fontId="10" fillId="0" borderId="0" xfId="0" applyNumberFormat="1" applyFont="1" applyBorder="1" applyAlignment="1">
      <alignment horizontal="center" vertical="center"/>
    </xf>
    <xf numFmtId="0" fontId="0" fillId="0" borderId="5" xfId="0" applyBorder="1"/>
    <xf numFmtId="0" fontId="0" fillId="0" borderId="73" xfId="0" applyBorder="1"/>
    <xf numFmtId="0" fontId="10" fillId="0" borderId="73" xfId="0" applyFont="1" applyBorder="1"/>
    <xf numFmtId="0" fontId="0" fillId="0" borderId="15" xfId="0" applyBorder="1"/>
    <xf numFmtId="0" fontId="10" fillId="0" borderId="15" xfId="0" applyFont="1" applyBorder="1"/>
    <xf numFmtId="10" fontId="0" fillId="23" borderId="61" xfId="4" applyNumberFormat="1" applyFont="1" applyFill="1" applyBorder="1" applyAlignment="1">
      <alignment horizontal="center" vertical="center"/>
    </xf>
    <xf numFmtId="10" fontId="10" fillId="23" borderId="61" xfId="4" applyNumberFormat="1" applyFont="1" applyFill="1" applyBorder="1" applyAlignment="1">
      <alignment horizontal="center" vertical="center"/>
    </xf>
    <xf numFmtId="10" fontId="0" fillId="23" borderId="66" xfId="4" applyNumberFormat="1" applyFont="1" applyFill="1" applyBorder="1" applyAlignment="1">
      <alignment horizontal="center" vertical="center"/>
    </xf>
    <xf numFmtId="0" fontId="0" fillId="23" borderId="61" xfId="0" quotePrefix="1" applyFill="1" applyBorder="1" applyAlignment="1">
      <alignment horizontal="center" vertical="center"/>
    </xf>
    <xf numFmtId="0" fontId="0" fillId="23" borderId="66" xfId="0" quotePrefix="1" applyFill="1" applyBorder="1" applyAlignment="1">
      <alignment horizontal="center" vertical="center"/>
    </xf>
    <xf numFmtId="10" fontId="10" fillId="23" borderId="66" xfId="4" applyNumberFormat="1" applyFont="1" applyFill="1" applyBorder="1" applyAlignment="1">
      <alignment horizontal="center" vertical="center"/>
    </xf>
    <xf numFmtId="9" fontId="0" fillId="23" borderId="61" xfId="4" applyNumberFormat="1" applyFont="1" applyFill="1" applyBorder="1" applyAlignment="1">
      <alignment horizontal="center" vertical="center"/>
    </xf>
    <xf numFmtId="9" fontId="0" fillId="23" borderId="66" xfId="4" applyNumberFormat="1" applyFont="1" applyFill="1" applyBorder="1" applyAlignment="1">
      <alignment horizontal="center" vertical="center"/>
    </xf>
    <xf numFmtId="0" fontId="0" fillId="23" borderId="103" xfId="0" quotePrefix="1" applyFill="1" applyBorder="1" applyAlignment="1">
      <alignment horizontal="center" vertical="center"/>
    </xf>
    <xf numFmtId="0" fontId="0" fillId="23" borderId="102" xfId="0" quotePrefix="1" applyFill="1" applyBorder="1" applyAlignment="1">
      <alignment horizontal="center" vertical="center"/>
    </xf>
    <xf numFmtId="0" fontId="0" fillId="23" borderId="5" xfId="0" applyFill="1" applyBorder="1" applyAlignment="1">
      <alignment horizontal="center" vertical="center"/>
    </xf>
    <xf numFmtId="0" fontId="0" fillId="23" borderId="73" xfId="0" applyFill="1" applyBorder="1" applyAlignment="1">
      <alignment horizontal="center" vertical="center"/>
    </xf>
    <xf numFmtId="1" fontId="10" fillId="23" borderId="73" xfId="0" applyNumberFormat="1" applyFont="1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0" fillId="23" borderId="15" xfId="0" quotePrefix="1" applyFill="1" applyBorder="1" applyAlignment="1">
      <alignment horizontal="center" vertical="center"/>
    </xf>
    <xf numFmtId="0" fontId="0" fillId="23" borderId="73" xfId="0" quotePrefix="1" applyFill="1" applyBorder="1" applyAlignment="1">
      <alignment horizontal="center" vertical="center"/>
    </xf>
    <xf numFmtId="1" fontId="0" fillId="23" borderId="15" xfId="0" applyNumberFormat="1" applyFill="1" applyBorder="1" applyAlignment="1">
      <alignment horizontal="center" vertical="center"/>
    </xf>
    <xf numFmtId="1" fontId="0" fillId="23" borderId="73" xfId="0" applyNumberFormat="1" applyFill="1" applyBorder="1" applyAlignment="1">
      <alignment horizontal="center" vertical="center"/>
    </xf>
    <xf numFmtId="1" fontId="10" fillId="23" borderId="15" xfId="0" applyNumberFormat="1" applyFont="1" applyFill="1" applyBorder="1" applyAlignment="1">
      <alignment horizontal="center" vertical="center"/>
    </xf>
    <xf numFmtId="3" fontId="0" fillId="23" borderId="73" xfId="0" quotePrefix="1" applyNumberFormat="1" applyFill="1" applyBorder="1" applyAlignment="1">
      <alignment horizontal="center" vertical="center"/>
    </xf>
    <xf numFmtId="3" fontId="0" fillId="23" borderId="15" xfId="0" quotePrefix="1" applyNumberFormat="1" applyFill="1" applyBorder="1" applyAlignment="1">
      <alignment horizontal="center" vertical="center"/>
    </xf>
    <xf numFmtId="0" fontId="0" fillId="0" borderId="0" xfId="0"/>
    <xf numFmtId="0" fontId="0" fillId="0" borderId="0" xfId="0"/>
    <xf numFmtId="2" fontId="11" fillId="0" borderId="7" xfId="0" applyNumberFormat="1" applyFont="1" applyFill="1" applyBorder="1" applyAlignment="1">
      <alignment horizontal="center" vertical="center"/>
    </xf>
    <xf numFmtId="10" fontId="10" fillId="23" borderId="51" xfId="0" applyNumberFormat="1" applyFont="1" applyFill="1" applyBorder="1" applyAlignment="1">
      <alignment horizontal="center" vertical="center"/>
    </xf>
    <xf numFmtId="0" fontId="0" fillId="22" borderId="97" xfId="0" applyFill="1" applyBorder="1"/>
    <xf numFmtId="0" fontId="0" fillId="22" borderId="69" xfId="0" applyFill="1" applyBorder="1"/>
    <xf numFmtId="0" fontId="10" fillId="22" borderId="46" xfId="0" applyNumberFormat="1" applyFont="1" applyFill="1" applyBorder="1"/>
    <xf numFmtId="10" fontId="10" fillId="22" borderId="18" xfId="0" applyNumberFormat="1" applyFont="1" applyFill="1" applyBorder="1" applyAlignment="1">
      <alignment horizontal="center" vertical="center"/>
    </xf>
    <xf numFmtId="0" fontId="10" fillId="22" borderId="18" xfId="0" applyNumberFormat="1" applyFont="1" applyFill="1" applyBorder="1"/>
    <xf numFmtId="10" fontId="10" fillId="22" borderId="19" xfId="0" applyNumberFormat="1" applyFont="1" applyFill="1" applyBorder="1" applyAlignment="1">
      <alignment horizontal="center" vertical="center"/>
    </xf>
    <xf numFmtId="10" fontId="0" fillId="23" borderId="51" xfId="0" applyNumberFormat="1" applyFill="1" applyBorder="1" applyAlignment="1">
      <alignment horizontal="center" vertical="center"/>
    </xf>
    <xf numFmtId="10" fontId="10" fillId="22" borderId="69" xfId="0" applyNumberFormat="1" applyFont="1" applyFill="1" applyBorder="1" applyAlignment="1">
      <alignment horizontal="center" vertical="center"/>
    </xf>
    <xf numFmtId="0" fontId="0" fillId="22" borderId="69" xfId="0" applyNumberFormat="1" applyFill="1" applyBorder="1"/>
    <xf numFmtId="0" fontId="0" fillId="22" borderId="46" xfId="0" applyNumberFormat="1" applyFill="1" applyBorder="1"/>
    <xf numFmtId="0" fontId="0" fillId="22" borderId="18" xfId="0" applyNumberFormat="1" applyFill="1" applyBorder="1"/>
    <xf numFmtId="10" fontId="0" fillId="22" borderId="19" xfId="0" applyNumberFormat="1" applyFill="1" applyBorder="1" applyAlignment="1">
      <alignment horizontal="center" vertical="center"/>
    </xf>
    <xf numFmtId="0" fontId="0" fillId="22" borderId="69" xfId="0" applyNumberFormat="1" applyFill="1" applyBorder="1" applyAlignment="1">
      <alignment horizontal="right" vertical="center"/>
    </xf>
    <xf numFmtId="10" fontId="0" fillId="23" borderId="65" xfId="0" applyNumberFormat="1" applyFill="1" applyBorder="1" applyAlignment="1">
      <alignment horizontal="center" vertical="center"/>
    </xf>
    <xf numFmtId="0" fontId="0" fillId="23" borderId="65" xfId="0" applyFill="1" applyBorder="1" applyAlignment="1">
      <alignment horizontal="center" vertical="center"/>
    </xf>
    <xf numFmtId="0" fontId="0" fillId="23" borderId="51" xfId="0" applyFill="1" applyBorder="1" applyAlignment="1">
      <alignment horizontal="center" vertical="center"/>
    </xf>
    <xf numFmtId="10" fontId="10" fillId="23" borderId="65" xfId="0" applyNumberFormat="1" applyFont="1" applyFill="1" applyBorder="1" applyAlignment="1">
      <alignment horizontal="center" vertical="center"/>
    </xf>
    <xf numFmtId="0" fontId="0" fillId="22" borderId="25" xfId="0" applyNumberFormat="1" applyFill="1" applyBorder="1"/>
    <xf numFmtId="10" fontId="0" fillId="22" borderId="68" xfId="0" applyNumberFormat="1" applyFill="1" applyBorder="1" applyAlignment="1">
      <alignment horizontal="center" vertical="center"/>
    </xf>
    <xf numFmtId="0" fontId="0" fillId="22" borderId="25" xfId="0" applyNumberFormat="1" applyFill="1" applyBorder="1" applyAlignment="1">
      <alignment horizontal="right" vertical="center"/>
    </xf>
    <xf numFmtId="0" fontId="0" fillId="22" borderId="20" xfId="0" applyNumberFormat="1" applyFill="1" applyBorder="1" applyAlignment="1">
      <alignment horizontal="right"/>
    </xf>
    <xf numFmtId="0" fontId="0" fillId="22" borderId="104" xfId="0" applyNumberFormat="1" applyFill="1" applyBorder="1" applyAlignment="1">
      <alignment horizontal="right"/>
    </xf>
    <xf numFmtId="0" fontId="0" fillId="22" borderId="105" xfId="0" applyNumberFormat="1" applyFill="1" applyBorder="1" applyAlignment="1">
      <alignment horizontal="right"/>
    </xf>
    <xf numFmtId="0" fontId="0" fillId="22" borderId="46" xfId="0" applyNumberFormat="1" applyFill="1" applyBorder="1" applyAlignment="1">
      <alignment horizontal="right"/>
    </xf>
    <xf numFmtId="0" fontId="0" fillId="22" borderId="95" xfId="0" applyNumberFormat="1" applyFill="1" applyBorder="1" applyAlignment="1">
      <alignment horizontal="right"/>
    </xf>
    <xf numFmtId="0" fontId="0" fillId="22" borderId="91" xfId="0" applyNumberFormat="1" applyFill="1" applyBorder="1" applyAlignment="1">
      <alignment horizontal="right"/>
    </xf>
    <xf numFmtId="0" fontId="10" fillId="22" borderId="25" xfId="0" applyNumberFormat="1" applyFont="1" applyFill="1" applyBorder="1"/>
    <xf numFmtId="0" fontId="10" fillId="22" borderId="69" xfId="0" applyNumberFormat="1" applyFont="1" applyFill="1" applyBorder="1"/>
    <xf numFmtId="10" fontId="10" fillId="22" borderId="68" xfId="0" applyNumberFormat="1" applyFont="1" applyFill="1" applyBorder="1" applyAlignment="1">
      <alignment horizontal="center" vertical="center"/>
    </xf>
    <xf numFmtId="0" fontId="0" fillId="22" borderId="19" xfId="0" applyFill="1" applyBorder="1"/>
    <xf numFmtId="10" fontId="10" fillId="22" borderId="69" xfId="0" applyNumberFormat="1" applyFont="1" applyFill="1" applyBorder="1" applyAlignment="1">
      <alignment horizontal="right" vertical="center"/>
    </xf>
    <xf numFmtId="10" fontId="0" fillId="22" borderId="68" xfId="0" applyNumberFormat="1" applyFill="1" applyBorder="1" applyAlignment="1">
      <alignment horizontal="right" vertical="center"/>
    </xf>
    <xf numFmtId="0" fontId="0" fillId="22" borderId="46" xfId="0" applyNumberFormat="1" applyFill="1" applyBorder="1" applyAlignment="1">
      <alignment horizontal="right" vertical="center"/>
    </xf>
    <xf numFmtId="10" fontId="10" fillId="22" borderId="18" xfId="0" applyNumberFormat="1" applyFont="1" applyFill="1" applyBorder="1" applyAlignment="1">
      <alignment horizontal="right" vertical="center"/>
    </xf>
    <xf numFmtId="0" fontId="0" fillId="22" borderId="18" xfId="0" applyNumberFormat="1" applyFill="1" applyBorder="1" applyAlignment="1">
      <alignment horizontal="right" vertical="center"/>
    </xf>
    <xf numFmtId="10" fontId="0" fillId="22" borderId="19" xfId="0" applyNumberFormat="1" applyFill="1" applyBorder="1" applyAlignment="1">
      <alignment horizontal="right" vertical="center"/>
    </xf>
    <xf numFmtId="10" fontId="10" fillId="22" borderId="68" xfId="4" applyNumberFormat="1" applyFont="1" applyFill="1" applyBorder="1" applyAlignment="1">
      <alignment horizontal="center"/>
    </xf>
    <xf numFmtId="0" fontId="10" fillId="22" borderId="25" xfId="0" applyNumberFormat="1" applyFont="1" applyFill="1" applyBorder="1" applyAlignment="1">
      <alignment vertical="center"/>
    </xf>
    <xf numFmtId="0" fontId="0" fillId="22" borderId="68" xfId="0" applyFill="1" applyBorder="1"/>
    <xf numFmtId="1" fontId="0" fillId="22" borderId="18" xfId="0" applyNumberFormat="1" applyFill="1" applyBorder="1" applyAlignment="1">
      <alignment horizontal="right"/>
    </xf>
    <xf numFmtId="0" fontId="0" fillId="22" borderId="25" xfId="0" applyNumberFormat="1" applyFill="1" applyBorder="1" applyAlignment="1">
      <alignment horizontal="right"/>
    </xf>
    <xf numFmtId="1" fontId="0" fillId="22" borderId="69" xfId="0" applyNumberFormat="1" applyFill="1" applyBorder="1" applyAlignment="1">
      <alignment horizontal="right"/>
    </xf>
    <xf numFmtId="10" fontId="10" fillId="26" borderId="51" xfId="0" applyNumberFormat="1" applyFont="1" applyFill="1" applyBorder="1" applyAlignment="1">
      <alignment horizontal="center" vertical="center"/>
    </xf>
    <xf numFmtId="10" fontId="0" fillId="26" borderId="51" xfId="0" applyNumberFormat="1" applyFill="1" applyBorder="1" applyAlignment="1">
      <alignment horizontal="center" vertical="center"/>
    </xf>
    <xf numFmtId="10" fontId="0" fillId="26" borderId="65" xfId="0" applyNumberFormat="1" applyFill="1" applyBorder="1" applyAlignment="1">
      <alignment horizontal="center" vertical="center"/>
    </xf>
    <xf numFmtId="0" fontId="0" fillId="26" borderId="65" xfId="0" applyFill="1" applyBorder="1" applyAlignment="1">
      <alignment horizontal="center" vertical="center"/>
    </xf>
    <xf numFmtId="10" fontId="10" fillId="26" borderId="65" xfId="0" applyNumberFormat="1" applyFont="1" applyFill="1" applyBorder="1" applyAlignment="1">
      <alignment horizontal="center" vertical="center"/>
    </xf>
    <xf numFmtId="0" fontId="0" fillId="26" borderId="51" xfId="0" applyFill="1" applyBorder="1" applyAlignment="1">
      <alignment horizontal="center" vertical="center"/>
    </xf>
    <xf numFmtId="10" fontId="10" fillId="26" borderId="65" xfId="4" applyNumberFormat="1" applyFont="1" applyFill="1" applyBorder="1" applyAlignment="1">
      <alignment horizontal="center" vertical="center"/>
    </xf>
    <xf numFmtId="10" fontId="0" fillId="26" borderId="51" xfId="4" applyNumberFormat="1" applyFont="1" applyFill="1" applyBorder="1" applyAlignment="1">
      <alignment horizontal="center" vertical="center"/>
    </xf>
    <xf numFmtId="0" fontId="0" fillId="0" borderId="4" xfId="0" applyBorder="1"/>
    <xf numFmtId="1" fontId="10" fillId="0" borderId="29" xfId="0" applyNumberFormat="1" applyFont="1" applyBorder="1" applyAlignment="1">
      <alignment horizontal="center" vertical="center"/>
    </xf>
    <xf numFmtId="10" fontId="10" fillId="0" borderId="3" xfId="4" applyNumberFormat="1" applyFont="1" applyBorder="1" applyAlignment="1">
      <alignment horizontal="center" vertical="center"/>
    </xf>
    <xf numFmtId="1" fontId="10" fillId="0" borderId="3" xfId="0" applyNumberFormat="1" applyFont="1" applyBorder="1" applyAlignment="1">
      <alignment horizontal="center" vertical="center"/>
    </xf>
    <xf numFmtId="10" fontId="10" fillId="0" borderId="24" xfId="4" applyNumberFormat="1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0" fontId="0" fillId="0" borderId="26" xfId="4" applyNumberFormat="1" applyFont="1" applyBorder="1" applyAlignment="1">
      <alignment horizontal="center" vertical="center"/>
    </xf>
    <xf numFmtId="0" fontId="0" fillId="0" borderId="30" xfId="0" quotePrefix="1" applyBorder="1" applyAlignment="1">
      <alignment horizontal="center" vertical="center"/>
    </xf>
    <xf numFmtId="0" fontId="0" fillId="0" borderId="26" xfId="0" quotePrefix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1" fontId="10" fillId="0" borderId="30" xfId="0" applyNumberFormat="1" applyFont="1" applyBorder="1" applyAlignment="1">
      <alignment horizontal="center" vertical="center"/>
    </xf>
    <xf numFmtId="10" fontId="10" fillId="0" borderId="26" xfId="4" applyNumberFormat="1" applyFont="1" applyBorder="1" applyAlignment="1">
      <alignment horizontal="center" vertical="center"/>
    </xf>
    <xf numFmtId="1" fontId="0" fillId="0" borderId="30" xfId="0" applyNumberFormat="1" applyBorder="1" applyAlignment="1">
      <alignment horizontal="center" vertical="center"/>
    </xf>
    <xf numFmtId="0" fontId="0" fillId="0" borderId="31" xfId="0" quotePrefix="1" applyBorder="1" applyAlignment="1">
      <alignment horizontal="center" vertical="center"/>
    </xf>
    <xf numFmtId="0" fontId="0" fillId="0" borderId="27" xfId="0" quotePrefix="1" applyBorder="1" applyAlignment="1">
      <alignment horizontal="center" vertical="center"/>
    </xf>
    <xf numFmtId="0" fontId="0" fillId="0" borderId="28" xfId="0" quotePrefix="1" applyBorder="1" applyAlignment="1">
      <alignment horizontal="center" vertical="center"/>
    </xf>
    <xf numFmtId="0" fontId="10" fillId="23" borderId="46" xfId="0" applyNumberFormat="1" applyFont="1" applyFill="1" applyBorder="1" applyAlignment="1">
      <alignment horizontal="center" vertical="center"/>
    </xf>
    <xf numFmtId="10" fontId="10" fillId="23" borderId="19" xfId="0" applyNumberFormat="1" applyFont="1" applyFill="1" applyBorder="1" applyAlignment="1">
      <alignment horizontal="center" vertical="center"/>
    </xf>
    <xf numFmtId="0" fontId="0" fillId="23" borderId="46" xfId="0" applyNumberFormat="1" applyFill="1" applyBorder="1" applyAlignment="1">
      <alignment horizontal="center" vertical="center"/>
    </xf>
    <xf numFmtId="0" fontId="10" fillId="22" borderId="25" xfId="0" applyNumberFormat="1" applyFont="1" applyFill="1" applyBorder="1" applyAlignment="1">
      <alignment horizontal="right" vertical="center"/>
    </xf>
    <xf numFmtId="0" fontId="10" fillId="22" borderId="69" xfId="0" applyNumberFormat="1" applyFont="1" applyFill="1" applyBorder="1" applyAlignment="1">
      <alignment horizontal="right"/>
    </xf>
    <xf numFmtId="0" fontId="10" fillId="22" borderId="46" xfId="0" applyNumberFormat="1" applyFont="1" applyFill="1" applyBorder="1" applyAlignment="1">
      <alignment vertical="center"/>
    </xf>
    <xf numFmtId="0" fontId="10" fillId="22" borderId="46" xfId="0" applyNumberFormat="1" applyFont="1" applyFill="1" applyBorder="1" applyAlignment="1">
      <alignment horizontal="right" vertical="center"/>
    </xf>
    <xf numFmtId="0" fontId="10" fillId="22" borderId="18" xfId="0" applyNumberFormat="1" applyFont="1" applyFill="1" applyBorder="1" applyAlignment="1">
      <alignment horizontal="right" vertical="center"/>
    </xf>
    <xf numFmtId="1" fontId="10" fillId="22" borderId="69" xfId="0" applyNumberFormat="1" applyFont="1" applyFill="1" applyBorder="1" applyAlignment="1">
      <alignment horizontal="right" vertical="center"/>
    </xf>
    <xf numFmtId="0" fontId="10" fillId="22" borderId="69" xfId="0" applyNumberFormat="1" applyFont="1" applyFill="1" applyBorder="1" applyAlignment="1">
      <alignment horizontal="right" vertical="center"/>
    </xf>
    <xf numFmtId="10" fontId="10" fillId="22" borderId="19" xfId="4" applyNumberFormat="1" applyFont="1" applyFill="1" applyBorder="1" applyAlignment="1">
      <alignment horizontal="center"/>
    </xf>
    <xf numFmtId="1" fontId="10" fillId="22" borderId="18" xfId="0" applyNumberFormat="1" applyFont="1" applyFill="1" applyBorder="1"/>
    <xf numFmtId="1" fontId="10" fillId="22" borderId="69" xfId="0" applyNumberFormat="1" applyFont="1" applyFill="1" applyBorder="1"/>
    <xf numFmtId="0" fontId="0" fillId="0" borderId="0" xfId="0"/>
    <xf numFmtId="0" fontId="0" fillId="0" borderId="0" xfId="0"/>
    <xf numFmtId="0" fontId="10" fillId="0" borderId="64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0" fillId="0" borderId="7" xfId="0" applyFont="1" applyBorder="1" applyAlignment="1">
      <alignment horizontal="center" vertical="center"/>
    </xf>
    <xf numFmtId="0" fontId="0" fillId="0" borderId="69" xfId="0" applyFont="1" applyBorder="1" applyAlignment="1">
      <alignment horizontal="center" vertical="center"/>
    </xf>
    <xf numFmtId="0" fontId="3" fillId="5" borderId="20" xfId="0" applyFont="1" applyFill="1" applyBorder="1" applyAlignment="1">
      <alignment horizontal="center" vertical="center" wrapText="1"/>
    </xf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0" fillId="0" borderId="0" xfId="0"/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10" fillId="17" borderId="0" xfId="0" applyFont="1" applyFill="1" applyBorder="1" applyAlignment="1">
      <alignment horizontal="center"/>
    </xf>
    <xf numFmtId="0" fontId="0" fillId="12" borderId="0" xfId="0" applyFont="1" applyFill="1" applyBorder="1" applyAlignment="1">
      <alignment horizontal="right"/>
    </xf>
    <xf numFmtId="2" fontId="13" fillId="11" borderId="0" xfId="0" applyNumberFormat="1" applyFont="1" applyFill="1" applyBorder="1" applyAlignment="1">
      <alignment horizontal="center"/>
    </xf>
    <xf numFmtId="2" fontId="0" fillId="0" borderId="7" xfId="0" applyNumberFormat="1" applyFont="1" applyFill="1" applyBorder="1"/>
    <xf numFmtId="2" fontId="0" fillId="0" borderId="36" xfId="0" applyNumberFormat="1" applyFill="1" applyBorder="1"/>
    <xf numFmtId="2" fontId="0" fillId="0" borderId="36" xfId="0" applyNumberFormat="1" applyFill="1" applyBorder="1" applyAlignment="1">
      <alignment horizontal="right"/>
    </xf>
    <xf numFmtId="2" fontId="0" fillId="0" borderId="26" xfId="0" applyNumberFormat="1" applyFill="1" applyBorder="1" applyAlignment="1">
      <alignment horizontal="right"/>
    </xf>
    <xf numFmtId="2" fontId="11" fillId="0" borderId="26" xfId="0" applyNumberFormat="1" applyFont="1" applyFill="1" applyBorder="1" applyAlignment="1">
      <alignment horizontal="right"/>
    </xf>
    <xf numFmtId="2" fontId="0" fillId="0" borderId="34" xfId="0" applyNumberFormat="1" applyFill="1" applyBorder="1" applyAlignment="1">
      <alignment horizontal="right"/>
    </xf>
    <xf numFmtId="2" fontId="12" fillId="0" borderId="26" xfId="0" applyNumberFormat="1" applyFont="1" applyFill="1" applyBorder="1" applyAlignment="1">
      <alignment vertical="top" wrapText="1"/>
    </xf>
    <xf numFmtId="0" fontId="12" fillId="12" borderId="0" xfId="0" applyFont="1" applyFill="1" applyBorder="1" applyAlignment="1">
      <alignment horizontal="right" wrapText="1"/>
    </xf>
    <xf numFmtId="0" fontId="0" fillId="0" borderId="11" xfId="0" applyFill="1" applyBorder="1"/>
    <xf numFmtId="0" fontId="0" fillId="0" borderId="38" xfId="0" applyFill="1" applyBorder="1"/>
    <xf numFmtId="0" fontId="0" fillId="0" borderId="47" xfId="0" applyFill="1" applyBorder="1"/>
    <xf numFmtId="0" fontId="0" fillId="0" borderId="42" xfId="0" applyFill="1" applyBorder="1"/>
    <xf numFmtId="0" fontId="0" fillId="0" borderId="72" xfId="0" applyFill="1" applyBorder="1"/>
    <xf numFmtId="0" fontId="0" fillId="0" borderId="13" xfId="0" applyFill="1" applyBorder="1"/>
    <xf numFmtId="0" fontId="0" fillId="0" borderId="63" xfId="0" applyFill="1" applyBorder="1"/>
    <xf numFmtId="0" fontId="0" fillId="0" borderId="60" xfId="0" applyFill="1" applyBorder="1"/>
    <xf numFmtId="0" fontId="0" fillId="0" borderId="23" xfId="0" applyFill="1" applyBorder="1"/>
    <xf numFmtId="0" fontId="0" fillId="0" borderId="25" xfId="0" applyFill="1" applyBorder="1"/>
    <xf numFmtId="0" fontId="12" fillId="0" borderId="4" xfId="0" applyFont="1" applyFill="1" applyBorder="1" applyAlignment="1">
      <alignment horizontal="right" vertical="center"/>
    </xf>
    <xf numFmtId="0" fontId="12" fillId="0" borderId="1" xfId="0" applyFont="1" applyFill="1" applyBorder="1" applyAlignment="1">
      <alignment horizontal="right" vertical="center"/>
    </xf>
    <xf numFmtId="2" fontId="12" fillId="0" borderId="36" xfId="0" applyNumberFormat="1" applyFont="1" applyFill="1" applyBorder="1" applyAlignment="1">
      <alignment horizontal="right" vertical="center"/>
    </xf>
    <xf numFmtId="2" fontId="0" fillId="0" borderId="1" xfId="0" applyNumberFormat="1" applyFill="1" applyBorder="1" applyAlignment="1">
      <alignment horizontal="right"/>
    </xf>
    <xf numFmtId="2" fontId="0" fillId="0" borderId="27" xfId="0" applyNumberFormat="1" applyFill="1" applyBorder="1" applyAlignment="1">
      <alignment horizontal="right"/>
    </xf>
    <xf numFmtId="0" fontId="0" fillId="0" borderId="0" xfId="0"/>
    <xf numFmtId="0" fontId="0" fillId="0" borderId="7" xfId="0" applyFont="1" applyBorder="1" applyAlignment="1">
      <alignment horizontal="center" vertical="center"/>
    </xf>
    <xf numFmtId="0" fontId="0" fillId="0" borderId="69" xfId="0" applyFont="1" applyBorder="1" applyAlignment="1">
      <alignment horizontal="center" vertical="center"/>
    </xf>
    <xf numFmtId="0" fontId="3" fillId="5" borderId="20" xfId="0" applyFont="1" applyFill="1" applyBorder="1" applyAlignment="1">
      <alignment horizontal="center" vertical="center" wrapText="1"/>
    </xf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69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7" xfId="0" applyFont="1" applyBorder="1" applyAlignment="1">
      <alignment horizontal="left" vertical="center"/>
    </xf>
    <xf numFmtId="0" fontId="10" fillId="0" borderId="69" xfId="0" applyFont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12" fillId="0" borderId="2" xfId="0" applyFont="1" applyFill="1" applyBorder="1" applyAlignment="1">
      <alignment horizontal="right" wrapText="1"/>
    </xf>
    <xf numFmtId="0" fontId="0" fillId="12" borderId="5" xfId="0" applyFont="1" applyFill="1" applyBorder="1" applyAlignment="1">
      <alignment horizontal="right" vertical="center"/>
    </xf>
    <xf numFmtId="0" fontId="12" fillId="12" borderId="73" xfId="0" applyFont="1" applyFill="1" applyBorder="1" applyAlignment="1">
      <alignment horizontal="right" wrapText="1"/>
    </xf>
    <xf numFmtId="2" fontId="8" fillId="3" borderId="1" xfId="2" applyNumberFormat="1" applyFill="1" applyBorder="1"/>
    <xf numFmtId="2" fontId="12" fillId="24" borderId="26" xfId="0" applyNumberFormat="1" applyFont="1" applyFill="1" applyBorder="1" applyAlignment="1">
      <alignment horizontal="right" wrapText="1"/>
    </xf>
    <xf numFmtId="2" fontId="12" fillId="24" borderId="1" xfId="0" applyNumberFormat="1" applyFont="1" applyFill="1" applyBorder="1" applyAlignment="1">
      <alignment horizontal="right" wrapText="1"/>
    </xf>
    <xf numFmtId="2" fontId="12" fillId="0" borderId="36" xfId="0" applyNumberFormat="1" applyFont="1" applyFill="1" applyBorder="1" applyAlignment="1">
      <alignment horizontal="right" wrapText="1"/>
    </xf>
    <xf numFmtId="43" fontId="0" fillId="0" borderId="0" xfId="1" applyFont="1" applyAlignment="1"/>
    <xf numFmtId="2" fontId="0" fillId="0" borderId="39" xfId="0" applyNumberFormat="1" applyFill="1" applyBorder="1" applyAlignment="1">
      <alignment horizontal="right"/>
    </xf>
    <xf numFmtId="2" fontId="0" fillId="0" borderId="8" xfId="0" applyNumberFormat="1" applyFill="1" applyBorder="1" applyAlignment="1">
      <alignment horizontal="right"/>
    </xf>
    <xf numFmtId="2" fontId="4" fillId="0" borderId="69" xfId="0" applyNumberFormat="1" applyFont="1" applyFill="1" applyBorder="1" applyAlignment="1">
      <alignment horizontal="right" wrapText="1"/>
    </xf>
    <xf numFmtId="2" fontId="4" fillId="0" borderId="68" xfId="0" applyNumberFormat="1" applyFont="1" applyFill="1" applyBorder="1" applyAlignment="1">
      <alignment horizontal="right" vertical="top" wrapText="1"/>
    </xf>
    <xf numFmtId="2" fontId="4" fillId="0" borderId="68" xfId="0" applyNumberFormat="1" applyFont="1" applyFill="1" applyBorder="1" applyAlignment="1">
      <alignment horizontal="right" wrapText="1"/>
    </xf>
    <xf numFmtId="2" fontId="4" fillId="0" borderId="69" xfId="0" applyNumberFormat="1" applyFont="1" applyFill="1" applyBorder="1" applyAlignment="1">
      <alignment horizontal="right" vertical="top" wrapText="1"/>
    </xf>
    <xf numFmtId="2" fontId="4" fillId="0" borderId="44" xfId="0" applyNumberFormat="1" applyFont="1" applyFill="1" applyBorder="1" applyAlignment="1">
      <alignment horizontal="right" vertical="top" wrapText="1"/>
    </xf>
    <xf numFmtId="2" fontId="4" fillId="0" borderId="21" xfId="0" applyNumberFormat="1" applyFont="1" applyFill="1" applyBorder="1" applyAlignment="1">
      <alignment horizontal="right" vertical="top" wrapText="1"/>
    </xf>
    <xf numFmtId="2" fontId="23" fillId="0" borderId="69" xfId="0" applyNumberFormat="1" applyFont="1" applyFill="1" applyBorder="1" applyAlignment="1">
      <alignment horizontal="right"/>
    </xf>
    <xf numFmtId="2" fontId="23" fillId="0" borderId="68" xfId="0" applyNumberFormat="1" applyFont="1" applyFill="1" applyBorder="1" applyAlignment="1">
      <alignment horizontal="right"/>
    </xf>
    <xf numFmtId="2" fontId="0" fillId="0" borderId="69" xfId="0" applyNumberFormat="1" applyFill="1" applyBorder="1" applyAlignment="1">
      <alignment horizontal="right"/>
    </xf>
    <xf numFmtId="2" fontId="0" fillId="0" borderId="68" xfId="0" applyNumberFormat="1" applyFill="1" applyBorder="1" applyAlignment="1">
      <alignment horizontal="right"/>
    </xf>
    <xf numFmtId="2" fontId="0" fillId="0" borderId="44" xfId="0" applyNumberFormat="1" applyFill="1" applyBorder="1" applyAlignment="1">
      <alignment horizontal="right"/>
    </xf>
    <xf numFmtId="2" fontId="0" fillId="0" borderId="21" xfId="0" applyNumberFormat="1" applyFill="1" applyBorder="1" applyAlignment="1">
      <alignment horizontal="right"/>
    </xf>
    <xf numFmtId="2" fontId="21" fillId="0" borderId="71" xfId="0" applyNumberFormat="1" applyFont="1" applyFill="1" applyBorder="1" applyAlignment="1">
      <alignment horizontal="right" wrapText="1"/>
    </xf>
    <xf numFmtId="2" fontId="15" fillId="0" borderId="39" xfId="0" applyNumberFormat="1" applyFont="1" applyFill="1" applyBorder="1" applyAlignment="1">
      <alignment horizontal="right" wrapText="1"/>
    </xf>
    <xf numFmtId="2" fontId="15" fillId="0" borderId="8" xfId="0" applyNumberFormat="1" applyFont="1" applyFill="1" applyBorder="1" applyAlignment="1">
      <alignment horizontal="right" wrapText="1"/>
    </xf>
    <xf numFmtId="2" fontId="11" fillId="0" borderId="68" xfId="0" applyNumberFormat="1" applyFont="1" applyFill="1" applyBorder="1" applyAlignment="1">
      <alignment horizontal="right" wrapText="1"/>
    </xf>
    <xf numFmtId="2" fontId="0" fillId="0" borderId="70" xfId="0" applyNumberFormat="1" applyFill="1" applyBorder="1" applyAlignment="1">
      <alignment horizontal="right"/>
    </xf>
    <xf numFmtId="2" fontId="0" fillId="0" borderId="65" xfId="0" applyNumberFormat="1" applyFill="1" applyBorder="1" applyAlignment="1">
      <alignment horizontal="right"/>
    </xf>
    <xf numFmtId="2" fontId="4" fillId="0" borderId="69" xfId="0" applyNumberFormat="1" applyFont="1" applyFill="1" applyBorder="1" applyAlignment="1">
      <alignment horizontal="right"/>
    </xf>
    <xf numFmtId="2" fontId="0" fillId="0" borderId="67" xfId="0" applyNumberFormat="1" applyFill="1" applyBorder="1" applyAlignment="1">
      <alignment horizontal="right"/>
    </xf>
    <xf numFmtId="2" fontId="4" fillId="0" borderId="44" xfId="0" applyNumberFormat="1" applyFont="1" applyFill="1" applyBorder="1" applyAlignment="1">
      <alignment horizontal="right"/>
    </xf>
    <xf numFmtId="0" fontId="15" fillId="0" borderId="71" xfId="0" applyFont="1" applyFill="1" applyBorder="1" applyAlignment="1">
      <alignment horizontal="right" wrapText="1"/>
    </xf>
    <xf numFmtId="0" fontId="15" fillId="0" borderId="66" xfId="0" applyFont="1" applyFill="1" applyBorder="1" applyAlignment="1">
      <alignment horizontal="right" wrapText="1"/>
    </xf>
    <xf numFmtId="2" fontId="15" fillId="0" borderId="69" xfId="0" applyNumberFormat="1" applyFont="1" applyFill="1" applyBorder="1" applyAlignment="1">
      <alignment horizontal="right" wrapText="1"/>
    </xf>
    <xf numFmtId="2" fontId="15" fillId="0" borderId="68" xfId="0" applyNumberFormat="1" applyFont="1" applyFill="1" applyBorder="1" applyAlignment="1">
      <alignment horizontal="right" wrapText="1"/>
    </xf>
    <xf numFmtId="2" fontId="4" fillId="0" borderId="68" xfId="0" applyNumberFormat="1" applyFont="1" applyFill="1" applyBorder="1" applyAlignment="1">
      <alignment horizontal="right"/>
    </xf>
    <xf numFmtId="2" fontId="4" fillId="0" borderId="21" xfId="0" applyNumberFormat="1" applyFont="1" applyFill="1" applyBorder="1" applyAlignment="1">
      <alignment horizontal="right"/>
    </xf>
    <xf numFmtId="2" fontId="4" fillId="0" borderId="39" xfId="0" applyNumberFormat="1" applyFont="1" applyFill="1" applyBorder="1" applyAlignment="1">
      <alignment horizontal="right"/>
    </xf>
    <xf numFmtId="2" fontId="4" fillId="0" borderId="8" xfId="0" applyNumberFormat="1" applyFont="1" applyFill="1" applyBorder="1" applyAlignment="1">
      <alignment horizontal="right"/>
    </xf>
    <xf numFmtId="2" fontId="15" fillId="0" borderId="68" xfId="0" applyNumberFormat="1" applyFont="1" applyFill="1" applyBorder="1" applyAlignment="1">
      <alignment horizontal="right" vertical="top" wrapText="1"/>
    </xf>
    <xf numFmtId="0" fontId="0" fillId="0" borderId="5" xfId="0" applyFill="1" applyBorder="1"/>
    <xf numFmtId="0" fontId="0" fillId="0" borderId="15" xfId="0" applyFill="1" applyBorder="1"/>
    <xf numFmtId="0" fontId="0" fillId="0" borderId="14" xfId="0" applyFill="1" applyBorder="1"/>
    <xf numFmtId="2" fontId="0" fillId="0" borderId="14" xfId="0" applyNumberFormat="1" applyFill="1" applyBorder="1" applyAlignment="1">
      <alignment horizontal="right"/>
    </xf>
    <xf numFmtId="2" fontId="0" fillId="0" borderId="8" xfId="0" applyNumberFormat="1" applyFont="1" applyFill="1" applyBorder="1" applyAlignment="1">
      <alignment horizontal="right"/>
    </xf>
    <xf numFmtId="2" fontId="0" fillId="0" borderId="68" xfId="0" applyNumberFormat="1" applyFont="1" applyFill="1" applyBorder="1" applyAlignment="1">
      <alignment horizontal="right"/>
    </xf>
    <xf numFmtId="2" fontId="0" fillId="0" borderId="21" xfId="0" applyNumberFormat="1" applyFont="1" applyFill="1" applyBorder="1" applyAlignment="1">
      <alignment horizontal="right"/>
    </xf>
    <xf numFmtId="0" fontId="12" fillId="0" borderId="0" xfId="0" applyFont="1" applyFill="1" applyBorder="1" applyAlignment="1">
      <alignment horizontal="right" vertical="top" wrapText="1"/>
    </xf>
    <xf numFmtId="0" fontId="0" fillId="0" borderId="47" xfId="0" applyFont="1" applyFill="1" applyBorder="1"/>
    <xf numFmtId="0" fontId="0" fillId="0" borderId="72" xfId="0" applyFont="1" applyFill="1" applyBorder="1"/>
    <xf numFmtId="0" fontId="0" fillId="0" borderId="60" xfId="0" applyFont="1" applyFill="1" applyBorder="1"/>
    <xf numFmtId="0" fontId="0" fillId="0" borderId="23" xfId="0" applyFont="1" applyFill="1" applyBorder="1"/>
    <xf numFmtId="0" fontId="0" fillId="0" borderId="25" xfId="0" applyFont="1" applyFill="1" applyBorder="1"/>
    <xf numFmtId="0" fontId="0" fillId="0" borderId="20" xfId="0" applyFont="1" applyFill="1" applyBorder="1"/>
    <xf numFmtId="2" fontId="12" fillId="0" borderId="8" xfId="0" applyNumberFormat="1" applyFont="1" applyFill="1" applyBorder="1" applyAlignment="1">
      <alignment horizontal="right"/>
    </xf>
    <xf numFmtId="2" fontId="12" fillId="0" borderId="68" xfId="0" applyNumberFormat="1" applyFont="1" applyFill="1" applyBorder="1" applyAlignment="1">
      <alignment horizontal="right"/>
    </xf>
    <xf numFmtId="2" fontId="12" fillId="0" borderId="21" xfId="0" applyNumberFormat="1" applyFont="1" applyFill="1" applyBorder="1" applyAlignment="1">
      <alignment horizontal="right"/>
    </xf>
    <xf numFmtId="0" fontId="3" fillId="5" borderId="20" xfId="0" applyFont="1" applyFill="1" applyBorder="1" applyAlignment="1">
      <alignment horizontal="center" vertical="center" wrapText="1"/>
    </xf>
    <xf numFmtId="0" fontId="3" fillId="15" borderId="45" xfId="0" applyFont="1" applyFill="1" applyBorder="1" applyAlignment="1">
      <alignment horizontal="center" vertical="center" wrapText="1"/>
    </xf>
    <xf numFmtId="0" fontId="12" fillId="12" borderId="17" xfId="0" applyFont="1" applyFill="1" applyBorder="1" applyAlignment="1">
      <alignment horizontal="right" wrapText="1"/>
    </xf>
    <xf numFmtId="1" fontId="16" fillId="11" borderId="66" xfId="0" applyNumberFormat="1" applyFont="1" applyFill="1" applyBorder="1" applyAlignment="1">
      <alignment horizontal="right" vertical="center" wrapText="1"/>
    </xf>
    <xf numFmtId="169" fontId="16" fillId="11" borderId="66" xfId="1" applyNumberFormat="1" applyFont="1" applyFill="1" applyBorder="1" applyAlignment="1">
      <alignment horizontal="right" vertical="center" wrapText="1"/>
    </xf>
    <xf numFmtId="10" fontId="16" fillId="11" borderId="66" xfId="4" applyNumberFormat="1" applyFont="1" applyFill="1" applyBorder="1" applyAlignment="1">
      <alignment horizontal="right" vertical="center" wrapText="1"/>
    </xf>
    <xf numFmtId="0" fontId="0" fillId="0" borderId="66" xfId="0" applyBorder="1"/>
    <xf numFmtId="0" fontId="12" fillId="11" borderId="1" xfId="0" applyFont="1" applyFill="1" applyBorder="1"/>
    <xf numFmtId="0" fontId="12" fillId="0" borderId="2" xfId="0" applyFont="1" applyFill="1" applyBorder="1"/>
    <xf numFmtId="0" fontId="12" fillId="0" borderId="22" xfId="0" applyFont="1" applyFill="1" applyBorder="1"/>
    <xf numFmtId="0" fontId="12" fillId="12" borderId="1" xfId="0" applyFont="1" applyFill="1" applyBorder="1" applyAlignment="1">
      <alignment horizontal="right" wrapText="1"/>
    </xf>
    <xf numFmtId="0" fontId="12" fillId="0" borderId="36" xfId="0" applyFont="1" applyFill="1" applyBorder="1" applyAlignment="1"/>
    <xf numFmtId="0" fontId="12" fillId="0" borderId="26" xfId="0" applyFont="1" applyFill="1" applyBorder="1" applyAlignment="1"/>
    <xf numFmtId="2" fontId="12" fillId="0" borderId="26" xfId="0" applyNumberFormat="1" applyFont="1" applyFill="1" applyBorder="1" applyAlignment="1"/>
    <xf numFmtId="2" fontId="0" fillId="0" borderId="26" xfId="0" applyNumberFormat="1" applyFill="1" applyBorder="1" applyAlignment="1"/>
    <xf numFmtId="2" fontId="26" fillId="0" borderId="10" xfId="0" applyNumberFormat="1" applyFont="1" applyFill="1" applyBorder="1" applyAlignment="1">
      <alignment horizontal="center" vertical="center"/>
    </xf>
    <xf numFmtId="2" fontId="26" fillId="0" borderId="2" xfId="0" applyNumberFormat="1" applyFont="1" applyFill="1" applyBorder="1" applyAlignment="1">
      <alignment horizontal="center" wrapText="1"/>
    </xf>
    <xf numFmtId="43" fontId="49" fillId="4" borderId="10" xfId="1" applyFont="1" applyFill="1" applyBorder="1" applyAlignment="1">
      <alignment horizontal="center" vertical="center"/>
    </xf>
    <xf numFmtId="43" fontId="49" fillId="4" borderId="2" xfId="1" applyFont="1" applyFill="1" applyBorder="1" applyAlignment="1">
      <alignment horizontal="center" vertical="center"/>
    </xf>
    <xf numFmtId="43" fontId="49" fillId="4" borderId="41" xfId="1" applyFont="1" applyFill="1" applyBorder="1" applyAlignment="1">
      <alignment horizontal="center" vertical="center"/>
    </xf>
    <xf numFmtId="4" fontId="0" fillId="0" borderId="1" xfId="0" applyNumberFormat="1" applyBorder="1"/>
    <xf numFmtId="164" fontId="0" fillId="0" borderId="0" xfId="6" applyFont="1"/>
    <xf numFmtId="0" fontId="0" fillId="0" borderId="0" xfId="0" applyNumberFormat="1"/>
    <xf numFmtId="4" fontId="53" fillId="0" borderId="1" xfId="6" applyNumberFormat="1" applyFont="1" applyBorder="1" applyAlignment="1">
      <alignment vertical="center" wrapText="1"/>
    </xf>
    <xf numFmtId="4" fontId="53" fillId="0" borderId="1" xfId="0" applyNumberFormat="1" applyFont="1" applyBorder="1" applyAlignment="1">
      <alignment vertical="center" wrapText="1"/>
    </xf>
    <xf numFmtId="4" fontId="53" fillId="0" borderId="1" xfId="0" applyNumberFormat="1" applyFont="1" applyBorder="1" applyAlignment="1">
      <alignment vertical="center"/>
    </xf>
    <xf numFmtId="2" fontId="12" fillId="0" borderId="36" xfId="0" applyNumberFormat="1" applyFont="1" applyFill="1" applyBorder="1" applyAlignment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41" xfId="0" applyFont="1" applyFill="1" applyBorder="1"/>
    <xf numFmtId="2" fontId="12" fillId="0" borderId="1" xfId="0" applyNumberFormat="1" applyFont="1" applyFill="1" applyBorder="1"/>
    <xf numFmtId="4" fontId="0" fillId="0" borderId="1" xfId="1" applyNumberFormat="1" applyFont="1" applyBorder="1"/>
    <xf numFmtId="4" fontId="10" fillId="0" borderId="1" xfId="1" applyNumberFormat="1" applyFont="1" applyBorder="1"/>
    <xf numFmtId="43" fontId="10" fillId="0" borderId="0" xfId="1" applyFont="1"/>
    <xf numFmtId="0" fontId="0" fillId="0" borderId="0" xfId="0"/>
    <xf numFmtId="0" fontId="0" fillId="0" borderId="0" xfId="0" applyAlignment="1">
      <alignment wrapText="1"/>
    </xf>
    <xf numFmtId="0" fontId="62" fillId="0" borderId="14" xfId="0" applyFont="1" applyBorder="1"/>
    <xf numFmtId="0" fontId="62" fillId="0" borderId="63" xfId="0" applyFont="1" applyBorder="1"/>
    <xf numFmtId="0" fontId="62" fillId="28" borderId="14" xfId="0" applyFont="1" applyFill="1" applyBorder="1" applyAlignment="1">
      <alignment horizontal="center"/>
    </xf>
    <xf numFmtId="0" fontId="0" fillId="28" borderId="60" xfId="0" applyFill="1" applyBorder="1"/>
    <xf numFmtId="0" fontId="62" fillId="28" borderId="60" xfId="0" applyFont="1" applyFill="1" applyBorder="1"/>
    <xf numFmtId="0" fontId="0" fillId="29" borderId="60" xfId="0" applyFill="1" applyBorder="1"/>
    <xf numFmtId="0" fontId="62" fillId="29" borderId="60" xfId="0" applyFont="1" applyFill="1" applyBorder="1"/>
    <xf numFmtId="0" fontId="60" fillId="28" borderId="60" xfId="0" applyFont="1" applyFill="1" applyBorder="1" applyAlignment="1">
      <alignment horizontal="center"/>
    </xf>
    <xf numFmtId="10" fontId="60" fillId="28" borderId="60" xfId="0" applyNumberFormat="1" applyFont="1" applyFill="1" applyBorder="1" applyAlignment="1">
      <alignment horizontal="center"/>
    </xf>
    <xf numFmtId="0" fontId="60" fillId="29" borderId="60" xfId="0" applyFont="1" applyFill="1" applyBorder="1" applyAlignment="1">
      <alignment horizontal="center"/>
    </xf>
    <xf numFmtId="10" fontId="60" fillId="29" borderId="60" xfId="0" applyNumberFormat="1" applyFont="1" applyFill="1" applyBorder="1" applyAlignment="1">
      <alignment horizontal="center"/>
    </xf>
    <xf numFmtId="0" fontId="62" fillId="28" borderId="60" xfId="0" applyFont="1" applyFill="1" applyBorder="1" applyAlignment="1">
      <alignment horizontal="center"/>
    </xf>
    <xf numFmtId="10" fontId="62" fillId="28" borderId="60" xfId="0" applyNumberFormat="1" applyFont="1" applyFill="1" applyBorder="1" applyAlignment="1">
      <alignment horizontal="center"/>
    </xf>
    <xf numFmtId="0" fontId="62" fillId="29" borderId="60" xfId="0" applyFont="1" applyFill="1" applyBorder="1" applyAlignment="1">
      <alignment horizontal="center"/>
    </xf>
    <xf numFmtId="10" fontId="62" fillId="29" borderId="60" xfId="0" applyNumberFormat="1" applyFont="1" applyFill="1" applyBorder="1" applyAlignment="1">
      <alignment horizontal="center"/>
    </xf>
    <xf numFmtId="0" fontId="0" fillId="28" borderId="14" xfId="0" applyFill="1" applyBorder="1"/>
    <xf numFmtId="0" fontId="0" fillId="0" borderId="0" xfId="0"/>
    <xf numFmtId="0" fontId="3" fillId="5" borderId="20" xfId="0" applyFont="1" applyFill="1" applyBorder="1" applyAlignment="1">
      <alignment horizontal="center" vertical="center" wrapText="1"/>
    </xf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10" fillId="0" borderId="64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0" fillId="0" borderId="7" xfId="0" applyFont="1" applyBorder="1" applyAlignment="1">
      <alignment horizontal="center" vertical="center"/>
    </xf>
    <xf numFmtId="0" fontId="0" fillId="0" borderId="69" xfId="0" applyFont="1" applyBorder="1" applyAlignment="1">
      <alignment horizontal="center" vertical="center"/>
    </xf>
    <xf numFmtId="0" fontId="3" fillId="5" borderId="20" xfId="0" applyFont="1" applyFill="1" applyBorder="1" applyAlignment="1">
      <alignment horizontal="center" vertical="center" wrapText="1"/>
    </xf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43" fontId="0" fillId="0" borderId="0" xfId="1" applyFont="1" applyFill="1" applyBorder="1"/>
    <xf numFmtId="2" fontId="12" fillId="0" borderId="39" xfId="0" applyNumberFormat="1" applyFont="1" applyFill="1" applyBorder="1" applyAlignment="1">
      <alignment vertical="top" wrapText="1"/>
    </xf>
    <xf numFmtId="2" fontId="13" fillId="0" borderId="69" xfId="0" applyNumberFormat="1" applyFont="1" applyFill="1" applyBorder="1" applyAlignment="1">
      <alignment vertical="top" wrapText="1"/>
    </xf>
    <xf numFmtId="2" fontId="0" fillId="0" borderId="69" xfId="0" applyNumberFormat="1" applyFont="1" applyFill="1" applyBorder="1" applyAlignment="1">
      <alignment horizontal="right" vertical="center" wrapText="1"/>
    </xf>
    <xf numFmtId="2" fontId="24" fillId="0" borderId="69" xfId="0" applyNumberFormat="1" applyFont="1" applyFill="1" applyBorder="1" applyAlignment="1">
      <alignment horizontal="right" vertical="center" wrapText="1"/>
    </xf>
    <xf numFmtId="2" fontId="0" fillId="0" borderId="11" xfId="0" applyNumberFormat="1" applyFill="1" applyBorder="1" applyAlignment="1">
      <alignment horizontal="right"/>
    </xf>
    <xf numFmtId="2" fontId="0" fillId="0" borderId="42" xfId="0" applyNumberFormat="1" applyFill="1" applyBorder="1" applyAlignment="1">
      <alignment horizontal="right"/>
    </xf>
    <xf numFmtId="2" fontId="0" fillId="0" borderId="13" xfId="0" applyNumberFormat="1" applyFill="1" applyBorder="1" applyAlignment="1">
      <alignment horizontal="right"/>
    </xf>
    <xf numFmtId="2" fontId="0" fillId="0" borderId="42" xfId="0" applyNumberFormat="1" applyFill="1" applyBorder="1" applyAlignment="1"/>
    <xf numFmtId="0" fontId="0" fillId="0" borderId="15" xfId="0" applyFill="1" applyBorder="1" applyAlignment="1"/>
    <xf numFmtId="2" fontId="26" fillId="0" borderId="5" xfId="0" applyNumberFormat="1" applyFont="1" applyFill="1" applyBorder="1" applyAlignment="1">
      <alignment horizontal="center" wrapText="1"/>
    </xf>
    <xf numFmtId="2" fontId="26" fillId="0" borderId="15" xfId="0" applyNumberFormat="1" applyFont="1" applyFill="1" applyBorder="1" applyAlignment="1">
      <alignment horizontal="center" wrapText="1"/>
    </xf>
    <xf numFmtId="2" fontId="26" fillId="0" borderId="14" xfId="0" applyNumberFormat="1" applyFont="1" applyFill="1" applyBorder="1" applyAlignment="1">
      <alignment horizontal="center" vertical="center"/>
    </xf>
    <xf numFmtId="2" fontId="26" fillId="0" borderId="5" xfId="0" applyNumberFormat="1" applyFont="1" applyFill="1" applyBorder="1" applyAlignment="1">
      <alignment horizontal="center" vertical="center"/>
    </xf>
    <xf numFmtId="0" fontId="0" fillId="0" borderId="5" xfId="0" applyFont="1" applyFill="1" applyBorder="1"/>
    <xf numFmtId="0" fontId="0" fillId="0" borderId="15" xfId="0" applyFont="1" applyFill="1" applyBorder="1"/>
    <xf numFmtId="0" fontId="12" fillId="0" borderId="15" xfId="0" applyFont="1" applyFill="1" applyBorder="1" applyAlignment="1">
      <alignment vertical="top" wrapText="1"/>
    </xf>
    <xf numFmtId="2" fontId="11" fillId="0" borderId="15" xfId="0" applyNumberFormat="1" applyFont="1" applyFill="1" applyBorder="1" applyAlignment="1">
      <alignment horizontal="right" vertical="top" wrapText="1"/>
    </xf>
    <xf numFmtId="0" fontId="0" fillId="0" borderId="14" xfId="0" applyFont="1" applyFill="1" applyBorder="1"/>
    <xf numFmtId="2" fontId="11" fillId="0" borderId="5" xfId="0" applyNumberFormat="1" applyFont="1" applyFill="1" applyBorder="1" applyAlignment="1">
      <alignment horizontal="right" vertical="top" wrapText="1"/>
    </xf>
    <xf numFmtId="0" fontId="0" fillId="0" borderId="5" xfId="0" applyFont="1" applyFill="1" applyBorder="1" applyAlignment="1">
      <alignment horizontal="right"/>
    </xf>
    <xf numFmtId="0" fontId="0" fillId="0" borderId="15" xfId="0" applyFont="1" applyFill="1" applyBorder="1" applyAlignment="1">
      <alignment horizontal="right"/>
    </xf>
    <xf numFmtId="0" fontId="0" fillId="0" borderId="14" xfId="0" applyFont="1" applyFill="1" applyBorder="1" applyAlignment="1">
      <alignment horizontal="right"/>
    </xf>
    <xf numFmtId="2" fontId="12" fillId="0" borderId="11" xfId="0" applyNumberFormat="1" applyFont="1" applyFill="1" applyBorder="1" applyAlignment="1">
      <alignment horizontal="right"/>
    </xf>
    <xf numFmtId="2" fontId="12" fillId="0" borderId="42" xfId="0" applyNumberFormat="1" applyFont="1" applyFill="1" applyBorder="1" applyAlignment="1">
      <alignment horizontal="right"/>
    </xf>
    <xf numFmtId="2" fontId="12" fillId="0" borderId="13" xfId="0" applyNumberFormat="1" applyFont="1" applyFill="1" applyBorder="1" applyAlignment="1">
      <alignment horizontal="right"/>
    </xf>
    <xf numFmtId="0" fontId="12" fillId="0" borderId="5" xfId="0" applyFont="1" applyFill="1" applyBorder="1"/>
    <xf numFmtId="0" fontId="12" fillId="0" borderId="15" xfId="0" applyFont="1" applyFill="1" applyBorder="1"/>
    <xf numFmtId="0" fontId="12" fillId="0" borderId="14" xfId="0" applyFont="1" applyFill="1" applyBorder="1"/>
    <xf numFmtId="43" fontId="0" fillId="22" borderId="84" xfId="0" applyNumberFormat="1" applyFill="1" applyBorder="1"/>
    <xf numFmtId="49" fontId="0" fillId="22" borderId="84" xfId="0" applyNumberFormat="1" applyFill="1" applyBorder="1" applyAlignment="1">
      <alignment horizontal="right" vertical="center"/>
    </xf>
    <xf numFmtId="0" fontId="0" fillId="0" borderId="65" xfId="0" applyFill="1" applyBorder="1"/>
    <xf numFmtId="0" fontId="0" fillId="0" borderId="8" xfId="0" applyFill="1" applyBorder="1" applyAlignment="1"/>
    <xf numFmtId="0" fontId="4" fillId="0" borderId="68" xfId="0" applyFont="1" applyFill="1" applyBorder="1" applyAlignment="1">
      <alignment wrapText="1"/>
    </xf>
    <xf numFmtId="0" fontId="4" fillId="0" borderId="21" xfId="0" applyFont="1" applyFill="1" applyBorder="1" applyAlignment="1">
      <alignment vertical="top" wrapText="1"/>
    </xf>
    <xf numFmtId="0" fontId="4" fillId="0" borderId="8" xfId="0" applyFont="1" applyFill="1" applyBorder="1" applyAlignment="1">
      <alignment horizontal="right"/>
    </xf>
    <xf numFmtId="0" fontId="4" fillId="0" borderId="68" xfId="0" applyFont="1" applyFill="1" applyBorder="1" applyAlignment="1">
      <alignment horizontal="right"/>
    </xf>
    <xf numFmtId="0" fontId="15" fillId="0" borderId="68" xfId="0" applyFont="1" applyFill="1" applyBorder="1" applyAlignment="1">
      <alignment horizontal="right" vertical="top" wrapText="1"/>
    </xf>
    <xf numFmtId="0" fontId="23" fillId="0" borderId="68" xfId="0" applyFont="1" applyFill="1" applyBorder="1" applyAlignment="1">
      <alignment horizontal="right"/>
    </xf>
    <xf numFmtId="0" fontId="13" fillId="0" borderId="7" xfId="0" applyFont="1" applyFill="1" applyBorder="1" applyAlignment="1">
      <alignment vertical="center"/>
    </xf>
    <xf numFmtId="0" fontId="13" fillId="0" borderId="69" xfId="0" applyFont="1" applyFill="1" applyBorder="1" applyAlignment="1">
      <alignment vertical="center"/>
    </xf>
    <xf numFmtId="0" fontId="13" fillId="0" borderId="69" xfId="0" applyFont="1" applyFill="1" applyBorder="1" applyAlignment="1">
      <alignment vertical="center" wrapText="1"/>
    </xf>
    <xf numFmtId="0" fontId="12" fillId="0" borderId="69" xfId="0" applyFont="1" applyFill="1" applyBorder="1" applyAlignment="1">
      <alignment vertical="center"/>
    </xf>
    <xf numFmtId="0" fontId="12" fillId="0" borderId="4" xfId="0" applyFont="1" applyFill="1" applyBorder="1" applyAlignment="1">
      <alignment vertical="center"/>
    </xf>
    <xf numFmtId="0" fontId="13" fillId="0" borderId="7" xfId="0" applyFont="1" applyFill="1" applyBorder="1" applyAlignment="1">
      <alignment horizontal="center" vertical="center" wrapText="1"/>
    </xf>
    <xf numFmtId="0" fontId="13" fillId="0" borderId="4" xfId="0" applyFont="1" applyFill="1" applyBorder="1" applyAlignment="1">
      <alignment horizontal="center" vertical="center"/>
    </xf>
    <xf numFmtId="0" fontId="25" fillId="0" borderId="7" xfId="0" applyFont="1" applyFill="1" applyBorder="1"/>
    <xf numFmtId="0" fontId="25" fillId="0" borderId="4" xfId="0" applyFont="1" applyFill="1" applyBorder="1"/>
    <xf numFmtId="0" fontId="13" fillId="0" borderId="7" xfId="0" applyFont="1" applyFill="1" applyBorder="1" applyAlignment="1">
      <alignment horizontal="center" vertical="center"/>
    </xf>
    <xf numFmtId="0" fontId="12" fillId="0" borderId="5" xfId="0" applyFont="1" applyFill="1" applyBorder="1" applyAlignment="1">
      <alignment vertical="top" wrapText="1"/>
    </xf>
    <xf numFmtId="2" fontId="11" fillId="0" borderId="14" xfId="0" applyNumberFormat="1" applyFont="1" applyFill="1" applyBorder="1" applyAlignment="1">
      <alignment horizontal="right" vertical="top" wrapText="1"/>
    </xf>
    <xf numFmtId="0" fontId="0" fillId="0" borderId="38" xfId="0" applyFont="1" applyFill="1" applyBorder="1" applyAlignment="1">
      <alignment horizontal="right"/>
    </xf>
    <xf numFmtId="0" fontId="0" fillId="0" borderId="63" xfId="0" applyFont="1" applyFill="1" applyBorder="1" applyAlignment="1">
      <alignment horizontal="right"/>
    </xf>
    <xf numFmtId="2" fontId="0" fillId="0" borderId="5" xfId="0" applyNumberFormat="1" applyFill="1" applyBorder="1" applyAlignment="1">
      <alignment horizontal="right"/>
    </xf>
    <xf numFmtId="2" fontId="0" fillId="0" borderId="15" xfId="0" applyNumberFormat="1" applyFill="1" applyBorder="1" applyAlignment="1">
      <alignment horizontal="right"/>
    </xf>
    <xf numFmtId="2" fontId="0" fillId="0" borderId="38" xfId="0" applyNumberFormat="1" applyFont="1" applyFill="1" applyBorder="1" applyAlignment="1">
      <alignment horizontal="right"/>
    </xf>
    <xf numFmtId="2" fontId="0" fillId="0" borderId="63" xfId="0" applyNumberFormat="1" applyFont="1" applyFill="1" applyBorder="1" applyAlignment="1">
      <alignment horizontal="right"/>
    </xf>
    <xf numFmtId="2" fontId="21" fillId="0" borderId="38" xfId="0" applyNumberFormat="1" applyFont="1" applyFill="1" applyBorder="1" applyAlignment="1">
      <alignment horizontal="right" vertical="top"/>
    </xf>
    <xf numFmtId="2" fontId="2" fillId="0" borderId="0" xfId="0" applyNumberFormat="1" applyFont="1" applyFill="1" applyBorder="1" applyAlignment="1">
      <alignment horizontal="right"/>
    </xf>
    <xf numFmtId="2" fontId="2" fillId="0" borderId="63" xfId="0" applyNumberFormat="1" applyFont="1" applyFill="1" applyBorder="1" applyAlignment="1">
      <alignment horizontal="right"/>
    </xf>
    <xf numFmtId="2" fontId="21" fillId="0" borderId="71" xfId="0" applyNumberFormat="1" applyFont="1" applyFill="1" applyBorder="1" applyAlignment="1">
      <alignment horizontal="right" vertical="top" indent="2"/>
    </xf>
    <xf numFmtId="2" fontId="4" fillId="0" borderId="5" xfId="0" applyNumberFormat="1" applyFont="1" applyFill="1" applyBorder="1" applyAlignment="1">
      <alignment horizontal="right" vertical="top" wrapText="1"/>
    </xf>
    <xf numFmtId="2" fontId="4" fillId="0" borderId="15" xfId="0" applyNumberFormat="1" applyFont="1" applyFill="1" applyBorder="1" applyAlignment="1">
      <alignment horizontal="right" wrapText="1"/>
    </xf>
    <xf numFmtId="2" fontId="4" fillId="0" borderId="15" xfId="0" applyNumberFormat="1" applyFont="1" applyFill="1" applyBorder="1" applyAlignment="1">
      <alignment horizontal="right" vertical="top" wrapText="1"/>
    </xf>
    <xf numFmtId="2" fontId="4" fillId="0" borderId="14" xfId="0" applyNumberFormat="1" applyFont="1" applyFill="1" applyBorder="1" applyAlignment="1">
      <alignment horizontal="right" vertical="top" wrapText="1"/>
    </xf>
    <xf numFmtId="0" fontId="2" fillId="0" borderId="38" xfId="0" applyFont="1" applyFill="1" applyBorder="1" applyAlignment="1">
      <alignment horizontal="right"/>
    </xf>
    <xf numFmtId="0" fontId="21" fillId="0" borderId="0" xfId="0" applyFont="1" applyFill="1" applyBorder="1" applyAlignment="1">
      <alignment horizontal="right" vertical="top" wrapText="1"/>
    </xf>
    <xf numFmtId="2" fontId="2" fillId="0" borderId="71" xfId="0" applyNumberFormat="1" applyFont="1" applyFill="1" applyBorder="1" applyAlignment="1">
      <alignment horizontal="right"/>
    </xf>
    <xf numFmtId="2" fontId="15" fillId="0" borderId="15" xfId="0" applyNumberFormat="1" applyFont="1" applyFill="1" applyBorder="1" applyAlignment="1">
      <alignment horizontal="right" wrapText="1"/>
    </xf>
    <xf numFmtId="2" fontId="11" fillId="0" borderId="15" xfId="0" applyNumberFormat="1" applyFont="1" applyFill="1" applyBorder="1" applyAlignment="1">
      <alignment horizontal="right"/>
    </xf>
    <xf numFmtId="0" fontId="15" fillId="0" borderId="8" xfId="0" applyFont="1" applyFill="1" applyBorder="1" applyAlignment="1">
      <alignment vertical="top" wrapText="1"/>
    </xf>
    <xf numFmtId="0" fontId="15" fillId="0" borderId="68" xfId="0" applyFont="1" applyFill="1" applyBorder="1" applyAlignment="1">
      <alignment vertical="top" wrapText="1"/>
    </xf>
    <xf numFmtId="0" fontId="4" fillId="0" borderId="68" xfId="0" applyFont="1" applyFill="1" applyBorder="1" applyAlignment="1"/>
    <xf numFmtId="0" fontId="4" fillId="0" borderId="21" xfId="0" applyFont="1" applyFill="1" applyBorder="1" applyAlignment="1"/>
    <xf numFmtId="0" fontId="4" fillId="0" borderId="39" xfId="0" applyFont="1" applyFill="1" applyBorder="1" applyAlignment="1">
      <alignment wrapText="1"/>
    </xf>
    <xf numFmtId="0" fontId="4" fillId="0" borderId="69" xfId="0" applyFont="1" applyFill="1" applyBorder="1" applyAlignment="1">
      <alignment wrapText="1"/>
    </xf>
    <xf numFmtId="0" fontId="15" fillId="0" borderId="44" xfId="0" applyFont="1" applyFill="1" applyBorder="1" applyAlignment="1">
      <alignment wrapText="1"/>
    </xf>
    <xf numFmtId="0" fontId="0" fillId="0" borderId="0" xfId="0"/>
    <xf numFmtId="0" fontId="0" fillId="0" borderId="7" xfId="0" applyFont="1" applyBorder="1" applyAlignment="1">
      <alignment horizontal="center" vertical="center"/>
    </xf>
    <xf numFmtId="0" fontId="0" fillId="0" borderId="69" xfId="0" applyFont="1" applyBorder="1" applyAlignment="1">
      <alignment horizontal="center" vertical="center"/>
    </xf>
    <xf numFmtId="0" fontId="0" fillId="0" borderId="0" xfId="0"/>
    <xf numFmtId="3" fontId="0" fillId="0" borderId="0" xfId="0" applyNumberFormat="1"/>
    <xf numFmtId="0" fontId="63" fillId="0" borderId="0" xfId="0" applyFont="1" applyBorder="1" applyAlignment="1">
      <alignment horizontal="center"/>
    </xf>
    <xf numFmtId="2" fontId="63" fillId="0" borderId="0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4" fillId="0" borderId="0" xfId="0" applyFont="1" applyBorder="1" applyAlignment="1">
      <alignment horizontal="right"/>
    </xf>
    <xf numFmtId="0" fontId="63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6" fontId="63" fillId="0" borderId="0" xfId="0" applyNumberFormat="1" applyFont="1" applyBorder="1" applyAlignment="1">
      <alignment horizontal="center"/>
    </xf>
    <xf numFmtId="166" fontId="63" fillId="0" borderId="0" xfId="0" applyNumberFormat="1" applyFont="1" applyFill="1" applyBorder="1" applyAlignment="1">
      <alignment horizontal="center"/>
    </xf>
    <xf numFmtId="0" fontId="65" fillId="0" borderId="0" xfId="0" applyFont="1" applyBorder="1" applyAlignment="1">
      <alignment horizontal="center"/>
    </xf>
    <xf numFmtId="0" fontId="0" fillId="0" borderId="0" xfId="0"/>
    <xf numFmtId="0" fontId="10" fillId="5" borderId="66" xfId="0" applyFont="1" applyFill="1" applyBorder="1" applyAlignment="1">
      <alignment horizontal="center"/>
    </xf>
    <xf numFmtId="173" fontId="0" fillId="0" borderId="0" xfId="0" applyNumberFormat="1"/>
    <xf numFmtId="4" fontId="0" fillId="0" borderId="0" xfId="0" applyNumberFormat="1"/>
    <xf numFmtId="0" fontId="2" fillId="6" borderId="30" xfId="0" applyFont="1" applyFill="1" applyBorder="1" applyAlignment="1">
      <alignment wrapText="1"/>
    </xf>
    <xf numFmtId="43" fontId="2" fillId="6" borderId="30" xfId="1" applyFont="1" applyFill="1" applyBorder="1" applyAlignment="1">
      <alignment wrapText="1"/>
    </xf>
    <xf numFmtId="0" fontId="3" fillId="15" borderId="44" xfId="0" applyFont="1" applyFill="1" applyBorder="1" applyAlignment="1">
      <alignment horizontal="center" vertical="center" wrapText="1"/>
    </xf>
    <xf numFmtId="0" fontId="0" fillId="0" borderId="0" xfId="0"/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0" fillId="11" borderId="15" xfId="0" applyFont="1" applyFill="1" applyBorder="1"/>
    <xf numFmtId="0" fontId="12" fillId="3" borderId="47" xfId="2" applyFont="1" applyFill="1" applyBorder="1"/>
    <xf numFmtId="0" fontId="12" fillId="3" borderId="72" xfId="2" applyFont="1" applyFill="1" applyBorder="1"/>
    <xf numFmtId="0" fontId="12" fillId="3" borderId="60" xfId="2" applyFont="1" applyFill="1" applyBorder="1"/>
    <xf numFmtId="0" fontId="0" fillId="11" borderId="5" xfId="0" applyFill="1" applyBorder="1"/>
    <xf numFmtId="0" fontId="0" fillId="11" borderId="14" xfId="0" applyFill="1" applyBorder="1"/>
    <xf numFmtId="0" fontId="8" fillId="3" borderId="5" xfId="2" applyFill="1" applyBorder="1"/>
    <xf numFmtId="0" fontId="8" fillId="3" borderId="15" xfId="2" applyFill="1" applyBorder="1"/>
    <xf numFmtId="0" fontId="8" fillId="3" borderId="14" xfId="2" applyFill="1" applyBorder="1"/>
    <xf numFmtId="0" fontId="12" fillId="11" borderId="15" xfId="0" applyFont="1" applyFill="1" applyBorder="1" applyAlignment="1">
      <alignment vertical="top" wrapText="1"/>
    </xf>
    <xf numFmtId="2" fontId="11" fillId="11" borderId="15" xfId="0" applyNumberFormat="1" applyFont="1" applyFill="1" applyBorder="1" applyAlignment="1">
      <alignment horizontal="right" vertical="top" wrapText="1"/>
    </xf>
    <xf numFmtId="0" fontId="13" fillId="11" borderId="0" xfId="0" applyFont="1" applyFill="1" applyBorder="1" applyAlignment="1">
      <alignment wrapText="1"/>
    </xf>
    <xf numFmtId="0" fontId="10" fillId="5" borderId="73" xfId="0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right"/>
    </xf>
    <xf numFmtId="0" fontId="0" fillId="12" borderId="73" xfId="0" applyFont="1" applyFill="1" applyBorder="1" applyAlignment="1">
      <alignment horizontal="right"/>
    </xf>
    <xf numFmtId="0" fontId="0" fillId="11" borderId="42" xfId="0" applyFill="1" applyBorder="1"/>
    <xf numFmtId="2" fontId="8" fillId="3" borderId="4" xfId="2" applyNumberFormat="1" applyFill="1" applyBorder="1"/>
    <xf numFmtId="43" fontId="12" fillId="12" borderId="73" xfId="1" applyFont="1" applyFill="1" applyBorder="1" applyAlignment="1">
      <alignment horizontal="right" wrapText="1"/>
    </xf>
    <xf numFmtId="0" fontId="0" fillId="0" borderId="70" xfId="0" applyFill="1" applyBorder="1"/>
    <xf numFmtId="0" fontId="0" fillId="0" borderId="67" xfId="0" applyFill="1" applyBorder="1"/>
    <xf numFmtId="0" fontId="0" fillId="10" borderId="73" xfId="0" applyFont="1" applyFill="1" applyBorder="1" applyAlignment="1">
      <alignment horizontal="right"/>
    </xf>
    <xf numFmtId="0" fontId="13" fillId="0" borderId="5" xfId="0" applyFont="1" applyFill="1" applyBorder="1" applyAlignment="1">
      <alignment vertical="top" wrapText="1"/>
    </xf>
    <xf numFmtId="2" fontId="13" fillId="0" borderId="15" xfId="0" applyNumberFormat="1" applyFont="1" applyFill="1" applyBorder="1" applyAlignment="1">
      <alignment horizontal="right" vertical="center" wrapText="1"/>
    </xf>
    <xf numFmtId="2" fontId="12" fillId="0" borderId="15" xfId="0" applyNumberFormat="1" applyFont="1" applyFill="1" applyBorder="1" applyAlignment="1">
      <alignment horizontal="right" wrapText="1"/>
    </xf>
    <xf numFmtId="2" fontId="12" fillId="0" borderId="15" xfId="0" applyNumberFormat="1" applyFont="1" applyFill="1" applyBorder="1" applyAlignment="1">
      <alignment horizontal="right" vertical="top" wrapText="1"/>
    </xf>
    <xf numFmtId="2" fontId="12" fillId="0" borderId="5" xfId="0" applyNumberFormat="1" applyFont="1" applyFill="1" applyBorder="1" applyAlignment="1">
      <alignment horizontal="right" vertical="top" wrapText="1"/>
    </xf>
    <xf numFmtId="165" fontId="12" fillId="0" borderId="15" xfId="0" applyNumberFormat="1" applyFont="1" applyFill="1" applyBorder="1" applyAlignment="1">
      <alignment horizontal="right" vertical="center" wrapText="1"/>
    </xf>
    <xf numFmtId="165" fontId="12" fillId="0" borderId="14" xfId="0" applyNumberFormat="1" applyFont="1" applyFill="1" applyBorder="1" applyAlignment="1">
      <alignment horizontal="right" vertical="center" wrapText="1"/>
    </xf>
    <xf numFmtId="0" fontId="12" fillId="11" borderId="5" xfId="0" applyFont="1" applyFill="1" applyBorder="1" applyAlignment="1">
      <alignment vertical="top" wrapText="1"/>
    </xf>
    <xf numFmtId="165" fontId="12" fillId="11" borderId="15" xfId="0" applyNumberFormat="1" applyFont="1" applyFill="1" applyBorder="1" applyAlignment="1">
      <alignment horizontal="right" vertical="center" wrapText="1"/>
    </xf>
    <xf numFmtId="165" fontId="12" fillId="11" borderId="14" xfId="0" applyNumberFormat="1" applyFont="1" applyFill="1" applyBorder="1" applyAlignment="1">
      <alignment horizontal="right" vertical="center" wrapText="1"/>
    </xf>
    <xf numFmtId="165" fontId="12" fillId="11" borderId="5" xfId="0" applyNumberFormat="1" applyFont="1" applyFill="1" applyBorder="1" applyAlignment="1">
      <alignment horizontal="right" vertical="center" wrapText="1"/>
    </xf>
    <xf numFmtId="165" fontId="0" fillId="11" borderId="15" xfId="0" applyNumberFormat="1" applyFont="1" applyFill="1" applyBorder="1" applyAlignment="1">
      <alignment horizontal="right" vertical="center" wrapText="1"/>
    </xf>
    <xf numFmtId="165" fontId="11" fillId="11" borderId="15" xfId="0" applyNumberFormat="1" applyFont="1" applyFill="1" applyBorder="1" applyAlignment="1">
      <alignment horizontal="right" vertical="center" wrapText="1"/>
    </xf>
    <xf numFmtId="0" fontId="0" fillId="11" borderId="14" xfId="0" applyFont="1" applyFill="1" applyBorder="1"/>
    <xf numFmtId="165" fontId="12" fillId="0" borderId="5" xfId="0" applyNumberFormat="1" applyFont="1" applyFill="1" applyBorder="1" applyAlignment="1">
      <alignment horizontal="right" vertical="center" wrapText="1"/>
    </xf>
    <xf numFmtId="165" fontId="0" fillId="0" borderId="15" xfId="0" applyNumberFormat="1" applyFont="1" applyFill="1" applyBorder="1" applyAlignment="1">
      <alignment horizontal="right" vertical="center" wrapText="1"/>
    </xf>
    <xf numFmtId="165" fontId="11" fillId="0" borderId="15" xfId="0" applyNumberFormat="1" applyFont="1" applyFill="1" applyBorder="1" applyAlignment="1">
      <alignment horizontal="right" vertical="center" wrapText="1"/>
    </xf>
    <xf numFmtId="0" fontId="0" fillId="11" borderId="5" xfId="0" applyFont="1" applyFill="1" applyBorder="1"/>
    <xf numFmtId="2" fontId="11" fillId="11" borderId="14" xfId="0" applyNumberFormat="1" applyFont="1" applyFill="1" applyBorder="1" applyAlignment="1">
      <alignment horizontal="right" vertical="top" wrapText="1"/>
    </xf>
    <xf numFmtId="2" fontId="11" fillId="11" borderId="5" xfId="0" applyNumberFormat="1" applyFont="1" applyFill="1" applyBorder="1" applyAlignment="1">
      <alignment horizontal="right" vertical="top" wrapText="1"/>
    </xf>
    <xf numFmtId="0" fontId="10" fillId="11" borderId="14" xfId="0" applyFont="1" applyFill="1" applyBorder="1"/>
    <xf numFmtId="0" fontId="10" fillId="0" borderId="14" xfId="0" applyFont="1" applyBorder="1"/>
    <xf numFmtId="0" fontId="10" fillId="5" borderId="73" xfId="0" applyFont="1" applyFill="1" applyBorder="1" applyAlignment="1">
      <alignment horizontal="center"/>
    </xf>
    <xf numFmtId="0" fontId="10" fillId="5" borderId="14" xfId="0" applyFont="1" applyFill="1" applyBorder="1" applyAlignment="1">
      <alignment horizontal="center"/>
    </xf>
    <xf numFmtId="0" fontId="10" fillId="0" borderId="15" xfId="0" applyFont="1" applyFill="1" applyBorder="1"/>
    <xf numFmtId="0" fontId="12" fillId="11" borderId="5" xfId="0" applyFont="1" applyFill="1" applyBorder="1"/>
    <xf numFmtId="0" fontId="12" fillId="11" borderId="15" xfId="0" applyFont="1" applyFill="1" applyBorder="1"/>
    <xf numFmtId="0" fontId="12" fillId="11" borderId="14" xfId="0" applyFont="1" applyFill="1" applyBorder="1"/>
    <xf numFmtId="0" fontId="15" fillId="11" borderId="5" xfId="0" applyFont="1" applyFill="1" applyBorder="1" applyAlignment="1">
      <alignment vertical="top" wrapText="1"/>
    </xf>
    <xf numFmtId="0" fontId="15" fillId="11" borderId="15" xfId="0" applyFont="1" applyFill="1" applyBorder="1" applyAlignment="1">
      <alignment vertical="top" wrapText="1"/>
    </xf>
    <xf numFmtId="0" fontId="15" fillId="11" borderId="15" xfId="0" applyFont="1" applyFill="1" applyBorder="1" applyAlignment="1">
      <alignment horizontal="right"/>
    </xf>
    <xf numFmtId="0" fontId="15" fillId="11" borderId="14" xfId="0" applyFont="1" applyFill="1" applyBorder="1" applyAlignment="1">
      <alignment horizontal="right"/>
    </xf>
    <xf numFmtId="0" fontId="15" fillId="11" borderId="5" xfId="0" applyFont="1" applyFill="1" applyBorder="1" applyAlignment="1">
      <alignment horizontal="right"/>
    </xf>
    <xf numFmtId="0" fontId="15" fillId="11" borderId="15" xfId="0" applyFont="1" applyFill="1" applyBorder="1" applyAlignment="1">
      <alignment horizontal="right" vertical="top" wrapText="1"/>
    </xf>
    <xf numFmtId="0" fontId="0" fillId="11" borderId="15" xfId="0" applyFont="1" applyFill="1" applyBorder="1" applyAlignment="1">
      <alignment horizontal="right"/>
    </xf>
    <xf numFmtId="0" fontId="0" fillId="11" borderId="14" xfId="0" applyFont="1" applyFill="1" applyBorder="1" applyAlignment="1">
      <alignment horizontal="right"/>
    </xf>
    <xf numFmtId="0" fontId="0" fillId="11" borderId="5" xfId="0" applyFont="1" applyFill="1" applyBorder="1" applyAlignment="1">
      <alignment horizontal="right"/>
    </xf>
    <xf numFmtId="0" fontId="0" fillId="0" borderId="14" xfId="0" applyFill="1" applyBorder="1" applyAlignment="1"/>
    <xf numFmtId="0" fontId="0" fillId="11" borderId="15" xfId="0" applyFill="1" applyBorder="1" applyAlignment="1"/>
    <xf numFmtId="0" fontId="0" fillId="0" borderId="14" xfId="0" applyFont="1" applyFill="1" applyBorder="1" applyAlignment="1"/>
    <xf numFmtId="0" fontId="0" fillId="0" borderId="5" xfId="0" applyFill="1" applyBorder="1" applyAlignment="1"/>
    <xf numFmtId="0" fontId="0" fillId="0" borderId="5" xfId="0" applyFont="1" applyFill="1" applyBorder="1" applyAlignment="1"/>
    <xf numFmtId="0" fontId="0" fillId="0" borderId="15" xfId="0" applyFont="1" applyFill="1" applyBorder="1" applyAlignment="1"/>
    <xf numFmtId="0" fontId="0" fillId="0" borderId="15" xfId="0" applyFont="1" applyFill="1" applyBorder="1" applyAlignment="1">
      <alignment wrapText="1"/>
    </xf>
    <xf numFmtId="0" fontId="0" fillId="0" borderId="15" xfId="0" applyFont="1" applyFill="1" applyBorder="1" applyAlignment="1">
      <alignment horizontal="right" wrapText="1"/>
    </xf>
    <xf numFmtId="0" fontId="0" fillId="11" borderId="15" xfId="0" applyFill="1" applyBorder="1" applyAlignment="1">
      <alignment wrapText="1"/>
    </xf>
    <xf numFmtId="0" fontId="13" fillId="0" borderId="5" xfId="0" applyFont="1" applyFill="1" applyBorder="1" applyAlignment="1">
      <alignment horizontal="center" vertical="top" wrapText="1"/>
    </xf>
    <xf numFmtId="0" fontId="13" fillId="0" borderId="15" xfId="0" applyFont="1" applyFill="1" applyBorder="1" applyAlignment="1">
      <alignment horizontal="center" vertical="top" wrapText="1"/>
    </xf>
    <xf numFmtId="0" fontId="14" fillId="0" borderId="15" xfId="0" applyFont="1" applyFill="1" applyBorder="1" applyAlignment="1">
      <alignment horizontal="center" vertical="top" wrapText="1"/>
    </xf>
    <xf numFmtId="0" fontId="13" fillId="0" borderId="15" xfId="0" applyFont="1" applyFill="1" applyBorder="1" applyAlignment="1">
      <alignment horizontal="center" vertical="center"/>
    </xf>
    <xf numFmtId="0" fontId="12" fillId="11" borderId="15" xfId="0" applyFont="1" applyFill="1" applyBorder="1" applyAlignment="1">
      <alignment horizontal="center" wrapText="1"/>
    </xf>
    <xf numFmtId="0" fontId="0" fillId="0" borderId="15" xfId="0" applyFill="1" applyBorder="1" applyAlignment="1">
      <alignment horizontal="center" vertical="center"/>
    </xf>
    <xf numFmtId="0" fontId="13" fillId="0" borderId="15" xfId="0" applyFont="1" applyFill="1" applyBorder="1" applyAlignment="1">
      <alignment vertical="top" wrapText="1"/>
    </xf>
    <xf numFmtId="0" fontId="13" fillId="0" borderId="15" xfId="0" applyFont="1" applyFill="1" applyBorder="1" applyAlignment="1">
      <alignment horizontal="center" wrapText="1"/>
    </xf>
    <xf numFmtId="0" fontId="13" fillId="0" borderId="14" xfId="0" applyFont="1" applyFill="1" applyBorder="1" applyAlignment="1">
      <alignment horizontal="center" vertical="top" wrapText="1"/>
    </xf>
    <xf numFmtId="0" fontId="13" fillId="0" borderId="22" xfId="0" applyFont="1" applyFill="1" applyBorder="1" applyAlignment="1">
      <alignment wrapText="1"/>
    </xf>
    <xf numFmtId="0" fontId="13" fillId="0" borderId="65" xfId="0" applyFont="1" applyFill="1" applyBorder="1" applyAlignment="1">
      <alignment wrapText="1"/>
    </xf>
    <xf numFmtId="0" fontId="13" fillId="0" borderId="65" xfId="0" applyFont="1" applyFill="1" applyBorder="1" applyAlignment="1"/>
    <xf numFmtId="0" fontId="13" fillId="0" borderId="40" xfId="0" applyFont="1" applyFill="1" applyBorder="1" applyAlignment="1"/>
    <xf numFmtId="0" fontId="0" fillId="0" borderId="14" xfId="0" applyBorder="1"/>
    <xf numFmtId="0" fontId="12" fillId="0" borderId="5" xfId="0" applyFont="1" applyFill="1" applyBorder="1" applyAlignment="1">
      <alignment horizontal="right" wrapText="1"/>
    </xf>
    <xf numFmtId="0" fontId="12" fillId="0" borderId="15" xfId="0" applyFont="1" applyFill="1" applyBorder="1" applyAlignment="1">
      <alignment horizontal="right" wrapText="1"/>
    </xf>
    <xf numFmtId="0" fontId="12" fillId="0" borderId="14" xfId="0" applyFont="1" applyFill="1" applyBorder="1" applyAlignment="1">
      <alignment horizontal="right" wrapText="1"/>
    </xf>
    <xf numFmtId="0" fontId="0" fillId="12" borderId="73" xfId="0" applyFont="1" applyFill="1" applyBorder="1" applyAlignment="1">
      <alignment horizontal="right" vertical="center"/>
    </xf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0" fillId="0" borderId="25" xfId="0" applyBorder="1"/>
    <xf numFmtId="2" fontId="13" fillId="0" borderId="0" xfId="0" applyNumberFormat="1" applyFont="1" applyBorder="1" applyAlignment="1">
      <alignment horizontal="center" vertical="center" wrapText="1"/>
    </xf>
    <xf numFmtId="2" fontId="12" fillId="0" borderId="0" xfId="0" applyNumberFormat="1" applyFont="1" applyFill="1" applyBorder="1" applyAlignment="1">
      <alignment wrapText="1"/>
    </xf>
    <xf numFmtId="0" fontId="12" fillId="0" borderId="5" xfId="0" applyNumberFormat="1" applyFont="1" applyFill="1" applyBorder="1" applyAlignment="1">
      <alignment vertical="top" wrapText="1"/>
    </xf>
    <xf numFmtId="0" fontId="12" fillId="0" borderId="15" xfId="0" applyNumberFormat="1" applyFont="1" applyFill="1" applyBorder="1" applyAlignment="1">
      <alignment vertical="top" wrapText="1"/>
    </xf>
    <xf numFmtId="0" fontId="12" fillId="0" borderId="15" xfId="0" applyNumberFormat="1" applyFont="1" applyFill="1" applyBorder="1" applyAlignment="1">
      <alignment horizontal="right" vertical="center" wrapText="1"/>
    </xf>
    <xf numFmtId="0" fontId="12" fillId="0" borderId="14" xfId="0" applyNumberFormat="1" applyFont="1" applyFill="1" applyBorder="1" applyAlignment="1">
      <alignment horizontal="right" vertical="center" wrapText="1"/>
    </xf>
    <xf numFmtId="0" fontId="12" fillId="0" borderId="5" xfId="0" applyNumberFormat="1" applyFont="1" applyFill="1" applyBorder="1" applyAlignment="1">
      <alignment horizontal="right" vertical="center" wrapText="1"/>
    </xf>
    <xf numFmtId="0" fontId="0" fillId="0" borderId="15" xfId="0" applyNumberFormat="1" applyFont="1" applyFill="1" applyBorder="1" applyAlignment="1">
      <alignment horizontal="right" vertical="center" wrapText="1"/>
    </xf>
    <xf numFmtId="0" fontId="11" fillId="0" borderId="15" xfId="0" applyNumberFormat="1" applyFont="1" applyFill="1" applyBorder="1" applyAlignment="1">
      <alignment horizontal="right" vertical="center" wrapText="1"/>
    </xf>
    <xf numFmtId="0" fontId="0" fillId="0" borderId="14" xfId="0" applyNumberFormat="1" applyFont="1" applyFill="1" applyBorder="1"/>
    <xf numFmtId="0" fontId="0" fillId="0" borderId="5" xfId="0" applyNumberFormat="1" applyFont="1" applyFill="1" applyBorder="1"/>
    <xf numFmtId="0" fontId="0" fillId="0" borderId="15" xfId="0" applyNumberFormat="1" applyFont="1" applyFill="1" applyBorder="1"/>
    <xf numFmtId="0" fontId="0" fillId="0" borderId="0" xfId="0"/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3" fillId="14" borderId="67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wrapText="1"/>
    </xf>
    <xf numFmtId="0" fontId="12" fillId="0" borderId="15" xfId="0" applyFont="1" applyFill="1" applyBorder="1" applyAlignment="1">
      <alignment horizontal="center" wrapText="1"/>
    </xf>
    <xf numFmtId="0" fontId="0" fillId="0" borderId="15" xfId="0" applyFill="1" applyBorder="1" applyAlignment="1">
      <alignment wrapText="1"/>
    </xf>
    <xf numFmtId="0" fontId="0" fillId="0" borderId="0" xfId="0"/>
    <xf numFmtId="0" fontId="0" fillId="0" borderId="70" xfId="0" applyFont="1" applyFill="1" applyBorder="1"/>
    <xf numFmtId="0" fontId="0" fillId="0" borderId="65" xfId="0" applyFont="1" applyFill="1" applyBorder="1"/>
    <xf numFmtId="0" fontId="0" fillId="0" borderId="67" xfId="0" applyFont="1" applyFill="1" applyBorder="1"/>
    <xf numFmtId="166" fontId="12" fillId="0" borderId="44" xfId="0" applyNumberFormat="1" applyFont="1" applyBorder="1" applyAlignment="1">
      <alignment horizontal="center" vertical="top" wrapText="1"/>
    </xf>
    <xf numFmtId="166" fontId="12" fillId="0" borderId="39" xfId="0" applyNumberFormat="1" applyFont="1" applyBorder="1" applyAlignment="1">
      <alignment horizontal="center" vertical="top" wrapText="1"/>
    </xf>
    <xf numFmtId="166" fontId="12" fillId="0" borderId="39" xfId="0" applyNumberFormat="1" applyFont="1" applyBorder="1" applyAlignment="1">
      <alignment horizontal="center" wrapText="1"/>
    </xf>
    <xf numFmtId="0" fontId="47" fillId="0" borderId="5" xfId="0" applyFont="1" applyBorder="1" applyAlignment="1">
      <alignment horizontal="center" vertical="center" wrapText="1"/>
    </xf>
    <xf numFmtId="0" fontId="47" fillId="0" borderId="15" xfId="0" applyFont="1" applyBorder="1" applyAlignment="1">
      <alignment horizontal="center" vertical="center" wrapText="1"/>
    </xf>
    <xf numFmtId="166" fontId="26" fillId="0" borderId="44" xfId="0" applyNumberFormat="1" applyFont="1" applyFill="1" applyBorder="1" applyAlignment="1">
      <alignment horizontal="center" wrapText="1"/>
    </xf>
    <xf numFmtId="166" fontId="12" fillId="0" borderId="39" xfId="0" applyNumberFormat="1" applyFont="1" applyFill="1" applyBorder="1" applyAlignment="1">
      <alignment horizontal="center" wrapText="1"/>
    </xf>
    <xf numFmtId="166" fontId="12" fillId="0" borderId="69" xfId="0" applyNumberFormat="1" applyFont="1" applyFill="1" applyBorder="1" applyAlignment="1">
      <alignment horizontal="center" wrapText="1"/>
    </xf>
    <xf numFmtId="166" fontId="12" fillId="0" borderId="44" xfId="0" applyNumberFormat="1" applyFont="1" applyFill="1" applyBorder="1" applyAlignment="1">
      <alignment horizontal="center" wrapText="1"/>
    </xf>
    <xf numFmtId="166" fontId="0" fillId="0" borderId="44" xfId="0" applyNumberFormat="1" applyFont="1" applyFill="1" applyBorder="1" applyAlignment="1">
      <alignment horizontal="center" vertical="top" wrapText="1"/>
    </xf>
    <xf numFmtId="166" fontId="0" fillId="0" borderId="39" xfId="0" applyNumberFormat="1" applyFont="1" applyFill="1" applyBorder="1" applyAlignment="1">
      <alignment horizontal="center" vertical="center"/>
    </xf>
    <xf numFmtId="166" fontId="0" fillId="0" borderId="69" xfId="0" applyNumberFormat="1" applyFont="1" applyFill="1" applyBorder="1" applyAlignment="1">
      <alignment horizontal="center"/>
    </xf>
    <xf numFmtId="166" fontId="0" fillId="0" borderId="44" xfId="0" applyNumberFormat="1" applyFont="1" applyFill="1" applyBorder="1" applyAlignment="1">
      <alignment horizontal="center"/>
    </xf>
    <xf numFmtId="166" fontId="0" fillId="0" borderId="39" xfId="0" applyNumberFormat="1" applyFont="1" applyFill="1" applyBorder="1" applyAlignment="1">
      <alignment horizontal="center"/>
    </xf>
    <xf numFmtId="166" fontId="12" fillId="0" borderId="69" xfId="0" applyNumberFormat="1" applyFont="1" applyBorder="1" applyAlignment="1">
      <alignment horizontal="center" wrapText="1"/>
    </xf>
    <xf numFmtId="166" fontId="12" fillId="0" borderId="44" xfId="0" applyNumberFormat="1" applyFont="1" applyBorder="1" applyAlignment="1">
      <alignment horizontal="center" wrapText="1"/>
    </xf>
    <xf numFmtId="166" fontId="4" fillId="0" borderId="39" xfId="0" applyNumberFormat="1" applyFont="1" applyFill="1" applyBorder="1" applyAlignment="1">
      <alignment horizontal="center" wrapText="1"/>
    </xf>
    <xf numFmtId="166" fontId="26" fillId="0" borderId="39" xfId="0" applyNumberFormat="1" applyFont="1" applyFill="1" applyBorder="1" applyAlignment="1">
      <alignment horizontal="center" wrapText="1"/>
    </xf>
    <xf numFmtId="166" fontId="26" fillId="0" borderId="69" xfId="0" applyNumberFormat="1" applyFont="1" applyFill="1" applyBorder="1" applyAlignment="1">
      <alignment horizontal="center" wrapText="1"/>
    </xf>
    <xf numFmtId="0" fontId="15" fillId="0" borderId="39" xfId="0" applyFont="1" applyFill="1" applyBorder="1"/>
    <xf numFmtId="167" fontId="12" fillId="0" borderId="44" xfId="0" applyNumberFormat="1" applyFont="1" applyBorder="1" applyAlignment="1">
      <alignment horizontal="center" wrapText="1"/>
    </xf>
    <xf numFmtId="167" fontId="12" fillId="0" borderId="39" xfId="0" applyNumberFormat="1" applyFont="1" applyBorder="1" applyAlignment="1">
      <alignment horizontal="center" wrapText="1"/>
    </xf>
    <xf numFmtId="167" fontId="12" fillId="0" borderId="69" xfId="0" applyNumberFormat="1" applyFont="1" applyBorder="1" applyAlignment="1">
      <alignment horizontal="center" wrapText="1"/>
    </xf>
    <xf numFmtId="2" fontId="0" fillId="0" borderId="39" xfId="0" applyNumberFormat="1" applyFill="1" applyBorder="1" applyAlignment="1">
      <alignment horizontal="center"/>
    </xf>
    <xf numFmtId="2" fontId="0" fillId="0" borderId="69" xfId="0" applyNumberFormat="1" applyFill="1" applyBorder="1" applyAlignment="1">
      <alignment horizontal="center"/>
    </xf>
    <xf numFmtId="2" fontId="0" fillId="0" borderId="44" xfId="0" applyNumberForma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0" fontId="0" fillId="0" borderId="69" xfId="0" applyFill="1" applyBorder="1" applyAlignment="1">
      <alignment horizontal="center"/>
    </xf>
    <xf numFmtId="0" fontId="0" fillId="0" borderId="44" xfId="0" applyFill="1" applyBorder="1" applyAlignment="1">
      <alignment horizontal="center"/>
    </xf>
    <xf numFmtId="2" fontId="2" fillId="0" borderId="39" xfId="0" applyNumberFormat="1" applyFont="1" applyBorder="1" applyAlignment="1">
      <alignment horizontal="center" wrapText="1"/>
    </xf>
    <xf numFmtId="2" fontId="2" fillId="0" borderId="69" xfId="0" applyNumberFormat="1" applyFont="1" applyBorder="1" applyAlignment="1">
      <alignment horizontal="center" wrapText="1"/>
    </xf>
    <xf numFmtId="2" fontId="2" fillId="0" borderId="44" xfId="0" applyNumberFormat="1" applyFont="1" applyBorder="1" applyAlignment="1">
      <alignment horizontal="center" wrapText="1"/>
    </xf>
    <xf numFmtId="0" fontId="12" fillId="0" borderId="0" xfId="0" applyFont="1" applyFill="1" applyBorder="1" applyAlignment="1">
      <alignment vertical="center" wrapText="1"/>
    </xf>
    <xf numFmtId="2" fontId="12" fillId="0" borderId="72" xfId="0" applyNumberFormat="1" applyFont="1" applyBorder="1" applyAlignment="1">
      <alignment horizontal="right" vertical="top" wrapText="1"/>
    </xf>
    <xf numFmtId="2" fontId="12" fillId="0" borderId="0" xfId="0" applyNumberFormat="1" applyFont="1" applyFill="1" applyBorder="1" applyAlignment="1">
      <alignment vertical="center" wrapText="1"/>
    </xf>
    <xf numFmtId="0" fontId="12" fillId="0" borderId="5" xfId="0" applyFont="1" applyBorder="1" applyAlignment="1">
      <alignment vertical="top" wrapText="1"/>
    </xf>
    <xf numFmtId="0" fontId="12" fillId="0" borderId="15" xfId="0" applyFont="1" applyBorder="1" applyAlignment="1">
      <alignment vertical="top" wrapText="1"/>
    </xf>
    <xf numFmtId="0" fontId="12" fillId="0" borderId="14" xfId="0" applyFont="1" applyBorder="1" applyAlignment="1">
      <alignment vertical="top" wrapText="1"/>
    </xf>
    <xf numFmtId="0" fontId="0" fillId="0" borderId="11" xfId="0" applyFill="1" applyBorder="1" applyAlignment="1">
      <alignment horizontal="center"/>
    </xf>
    <xf numFmtId="0" fontId="0" fillId="0" borderId="42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2" fontId="12" fillId="0" borderId="5" xfId="0" applyNumberFormat="1" applyFont="1" applyBorder="1" applyAlignment="1">
      <alignment horizontal="right" vertical="center" wrapText="1"/>
    </xf>
    <xf numFmtId="2" fontId="12" fillId="0" borderId="15" xfId="0" applyNumberFormat="1" applyFont="1" applyBorder="1" applyAlignment="1">
      <alignment horizontal="right" vertical="center" wrapText="1"/>
    </xf>
    <xf numFmtId="2" fontId="12" fillId="0" borderId="14" xfId="0" applyNumberFormat="1" applyFont="1" applyBorder="1" applyAlignment="1">
      <alignment horizontal="right" vertical="center" wrapText="1"/>
    </xf>
    <xf numFmtId="166" fontId="0" fillId="0" borderId="42" xfId="0" applyNumberFormat="1" applyFill="1" applyBorder="1"/>
    <xf numFmtId="0" fontId="0" fillId="0" borderId="0" xfId="0"/>
    <xf numFmtId="0" fontId="0" fillId="0" borderId="7" xfId="0" applyFont="1" applyBorder="1" applyAlignment="1">
      <alignment horizontal="center" vertical="center"/>
    </xf>
    <xf numFmtId="0" fontId="0" fillId="0" borderId="69" xfId="0" applyFont="1" applyBorder="1" applyAlignment="1">
      <alignment horizontal="center" vertical="center"/>
    </xf>
    <xf numFmtId="43" fontId="4" fillId="0" borderId="26" xfId="1" applyNumberFormat="1" applyFont="1" applyFill="1" applyBorder="1" applyAlignment="1">
      <alignment horizontal="center" vertical="center"/>
    </xf>
    <xf numFmtId="0" fontId="0" fillId="0" borderId="0" xfId="0"/>
    <xf numFmtId="0" fontId="0" fillId="0" borderId="15" xfId="0" applyFill="1" applyBorder="1" applyAlignment="1">
      <alignment horizontal="center"/>
    </xf>
    <xf numFmtId="0" fontId="0" fillId="0" borderId="0" xfId="0"/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17" xfId="0" applyBorder="1"/>
    <xf numFmtId="43" fontId="12" fillId="6" borderId="30" xfId="1" applyFont="1" applyFill="1" applyBorder="1" applyAlignment="1">
      <alignment wrapText="1"/>
    </xf>
    <xf numFmtId="43" fontId="12" fillId="12" borderId="25" xfId="1" applyFont="1" applyFill="1" applyBorder="1" applyAlignment="1">
      <alignment horizontal="left" vertical="center" wrapText="1"/>
    </xf>
    <xf numFmtId="0" fontId="0" fillId="0" borderId="0" xfId="0"/>
    <xf numFmtId="0" fontId="0" fillId="0" borderId="54" xfId="0" applyFill="1" applyBorder="1"/>
    <xf numFmtId="0" fontId="10" fillId="0" borderId="16" xfId="0" applyFont="1" applyFill="1" applyBorder="1" applyAlignment="1">
      <alignment horizontal="center"/>
    </xf>
    <xf numFmtId="166" fontId="26" fillId="0" borderId="26" xfId="0" applyNumberFormat="1" applyFont="1" applyFill="1" applyBorder="1" applyAlignment="1">
      <alignment horizontal="center" wrapText="1"/>
    </xf>
    <xf numFmtId="2" fontId="12" fillId="21" borderId="22" xfId="0" applyNumberFormat="1" applyFont="1" applyFill="1" applyBorder="1" applyAlignment="1">
      <alignment horizontal="right"/>
    </xf>
    <xf numFmtId="2" fontId="12" fillId="21" borderId="37" xfId="0" applyNumberFormat="1" applyFont="1" applyFill="1" applyBorder="1" applyAlignment="1">
      <alignment horizontal="right"/>
    </xf>
    <xf numFmtId="0" fontId="0" fillId="0" borderId="7" xfId="0" applyFont="1" applyBorder="1" applyAlignment="1">
      <alignment horizontal="center" vertical="center"/>
    </xf>
    <xf numFmtId="0" fontId="0" fillId="0" borderId="69" xfId="0" applyFont="1" applyBorder="1" applyAlignment="1">
      <alignment horizontal="center" vertical="center"/>
    </xf>
    <xf numFmtId="9" fontId="0" fillId="0" borderId="69" xfId="4" applyFont="1" applyBorder="1" applyAlignment="1">
      <alignment horizontal="center" vertical="center"/>
    </xf>
    <xf numFmtId="0" fontId="0" fillId="0" borderId="0" xfId="0"/>
    <xf numFmtId="0" fontId="0" fillId="0" borderId="108" xfId="0" applyFill="1" applyBorder="1"/>
    <xf numFmtId="0" fontId="0" fillId="0" borderId="0" xfId="0"/>
    <xf numFmtId="0" fontId="3" fillId="5" borderId="20" xfId="0" applyFont="1" applyFill="1" applyBorder="1" applyAlignment="1">
      <alignment horizontal="center" vertical="center" wrapText="1"/>
    </xf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3" fillId="5" borderId="20" xfId="0" applyFont="1" applyFill="1" applyBorder="1" applyAlignment="1">
      <alignment horizontal="center" vertical="center" wrapText="1"/>
    </xf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0" fillId="0" borderId="10" xfId="0" applyFill="1" applyBorder="1"/>
    <xf numFmtId="0" fontId="0" fillId="0" borderId="1" xfId="0" applyFill="1" applyBorder="1" applyAlignment="1">
      <alignment horizontal="right"/>
    </xf>
    <xf numFmtId="0" fontId="0" fillId="0" borderId="4" xfId="0" applyFill="1" applyBorder="1" applyAlignment="1">
      <alignment horizontal="right"/>
    </xf>
    <xf numFmtId="0" fontId="0" fillId="10" borderId="11" xfId="0" applyFill="1" applyBorder="1"/>
    <xf numFmtId="0" fontId="0" fillId="10" borderId="47" xfId="0" applyFill="1" applyBorder="1"/>
    <xf numFmtId="0" fontId="0" fillId="0" borderId="0" xfId="0" applyFill="1" applyBorder="1" applyAlignment="1">
      <alignment horizontal="center"/>
    </xf>
    <xf numFmtId="0" fontId="0" fillId="0" borderId="0" xfId="0"/>
    <xf numFmtId="0" fontId="0" fillId="0" borderId="4" xfId="0" applyBorder="1"/>
    <xf numFmtId="0" fontId="3" fillId="16" borderId="44" xfId="0" applyFont="1" applyFill="1" applyBorder="1" applyAlignment="1">
      <alignment horizontal="center" vertical="center" wrapText="1"/>
    </xf>
    <xf numFmtId="0" fontId="3" fillId="5" borderId="20" xfId="0" applyFont="1" applyFill="1" applyBorder="1" applyAlignment="1">
      <alignment horizontal="center" vertical="center"/>
    </xf>
    <xf numFmtId="0" fontId="3" fillId="15" borderId="44" xfId="0" applyFont="1" applyFill="1" applyBorder="1" applyAlignment="1">
      <alignment horizontal="center" vertical="center"/>
    </xf>
    <xf numFmtId="0" fontId="3" fillId="16" borderId="44" xfId="0" applyFont="1" applyFill="1" applyBorder="1" applyAlignment="1">
      <alignment horizontal="center" vertical="center"/>
    </xf>
    <xf numFmtId="0" fontId="3" fillId="14" borderId="67" xfId="0" applyFont="1" applyFill="1" applyBorder="1" applyAlignment="1">
      <alignment horizontal="center" vertical="center"/>
    </xf>
    <xf numFmtId="0" fontId="12" fillId="12" borderId="68" xfId="0" applyFont="1" applyFill="1" applyBorder="1" applyAlignment="1">
      <alignment horizontal="right" wrapText="1"/>
    </xf>
    <xf numFmtId="43" fontId="0" fillId="11" borderId="0" xfId="1" applyFont="1" applyFill="1" applyBorder="1" applyAlignment="1"/>
    <xf numFmtId="43" fontId="12" fillId="12" borderId="8" xfId="1" applyFont="1" applyFill="1" applyBorder="1" applyAlignment="1">
      <alignment wrapText="1"/>
    </xf>
    <xf numFmtId="0" fontId="66" fillId="30" borderId="1" xfId="7" applyBorder="1"/>
    <xf numFmtId="0" fontId="67" fillId="31" borderId="1" xfId="8" applyBorder="1" applyAlignment="1">
      <alignment horizontal="right" wrapText="1"/>
    </xf>
    <xf numFmtId="0" fontId="0" fillId="12" borderId="10" xfId="0" applyFont="1" applyFill="1" applyBorder="1" applyAlignment="1">
      <alignment horizontal="right" vertical="center"/>
    </xf>
    <xf numFmtId="0" fontId="0" fillId="12" borderId="29" xfId="0" applyFont="1" applyFill="1" applyBorder="1" applyAlignment="1">
      <alignment horizontal="right" vertical="center"/>
    </xf>
    <xf numFmtId="0" fontId="0" fillId="12" borderId="3" xfId="0" applyFont="1" applyFill="1" applyBorder="1" applyAlignment="1">
      <alignment horizontal="right" vertical="center"/>
    </xf>
    <xf numFmtId="0" fontId="0" fillId="12" borderId="31" xfId="0" applyFont="1" applyFill="1" applyBorder="1" applyAlignment="1">
      <alignment horizontal="right" vertical="center"/>
    </xf>
    <xf numFmtId="0" fontId="0" fillId="12" borderId="27" xfId="0" applyFont="1" applyFill="1" applyBorder="1" applyAlignment="1">
      <alignment horizontal="right" vertical="center"/>
    </xf>
    <xf numFmtId="0" fontId="0" fillId="12" borderId="37" xfId="0" applyFont="1" applyFill="1" applyBorder="1" applyAlignment="1">
      <alignment horizontal="right" vertical="center"/>
    </xf>
    <xf numFmtId="0" fontId="0" fillId="0" borderId="24" xfId="0" applyBorder="1"/>
    <xf numFmtId="0" fontId="0" fillId="0" borderId="26" xfId="0" applyBorder="1"/>
    <xf numFmtId="0" fontId="0" fillId="0" borderId="28" xfId="0" applyBorder="1"/>
    <xf numFmtId="0" fontId="0" fillId="0" borderId="32" xfId="0" applyBorder="1"/>
    <xf numFmtId="0" fontId="0" fillId="0" borderId="6" xfId="0" applyBorder="1"/>
    <xf numFmtId="0" fontId="0" fillId="0" borderId="33" xfId="0" applyBorder="1"/>
    <xf numFmtId="0" fontId="0" fillId="0" borderId="106" xfId="0" applyFill="1" applyBorder="1"/>
    <xf numFmtId="0" fontId="0" fillId="0" borderId="14" xfId="0" applyFont="1" applyBorder="1"/>
    <xf numFmtId="0" fontId="12" fillId="0" borderId="5" xfId="0" applyFont="1" applyFill="1" applyBorder="1" applyAlignment="1">
      <alignment horizontal="center"/>
    </xf>
    <xf numFmtId="0" fontId="12" fillId="0" borderId="15" xfId="0" applyFont="1" applyFill="1" applyBorder="1" applyAlignment="1">
      <alignment horizontal="center"/>
    </xf>
    <xf numFmtId="0" fontId="12" fillId="0" borderId="14" xfId="0" applyFont="1" applyFill="1" applyBorder="1" applyAlignment="1">
      <alignment horizontal="center"/>
    </xf>
    <xf numFmtId="0" fontId="0" fillId="0" borderId="56" xfId="0" applyFill="1" applyBorder="1" applyAlignment="1">
      <alignment horizontal="center"/>
    </xf>
    <xf numFmtId="0" fontId="0" fillId="0" borderId="66" xfId="0" applyFill="1" applyBorder="1" applyAlignment="1">
      <alignment horizontal="center"/>
    </xf>
    <xf numFmtId="0" fontId="8" fillId="3" borderId="5" xfId="2" applyFill="1" applyBorder="1" applyAlignment="1">
      <alignment horizontal="center"/>
    </xf>
    <xf numFmtId="0" fontId="8" fillId="3" borderId="15" xfId="2" applyFill="1" applyBorder="1" applyAlignment="1">
      <alignment horizontal="center"/>
    </xf>
    <xf numFmtId="0" fontId="8" fillId="3" borderId="14" xfId="2" applyFill="1" applyBorder="1" applyAlignment="1">
      <alignment horizontal="center"/>
    </xf>
    <xf numFmtId="2" fontId="11" fillId="0" borderId="5" xfId="0" applyNumberFormat="1" applyFont="1" applyFill="1" applyBorder="1" applyAlignment="1">
      <alignment horizontal="center" vertical="top" wrapText="1"/>
    </xf>
    <xf numFmtId="0" fontId="0" fillId="0" borderId="14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166" fontId="26" fillId="0" borderId="15" xfId="0" applyNumberFormat="1" applyFont="1" applyFill="1" applyBorder="1" applyAlignment="1">
      <alignment horizontal="center" wrapText="1"/>
    </xf>
    <xf numFmtId="0" fontId="0" fillId="0" borderId="14" xfId="0" applyNumberFormat="1" applyFill="1" applyBorder="1"/>
    <xf numFmtId="0" fontId="12" fillId="7" borderId="5" xfId="0" applyNumberFormat="1" applyFont="1" applyFill="1" applyBorder="1" applyAlignment="1">
      <alignment horizontal="right" vertical="center" wrapText="1"/>
    </xf>
    <xf numFmtId="0" fontId="12" fillId="7" borderId="15" xfId="0" applyNumberFormat="1" applyFont="1" applyFill="1" applyBorder="1" applyAlignment="1">
      <alignment horizontal="right" vertical="center" wrapText="1"/>
    </xf>
    <xf numFmtId="0" fontId="0" fillId="7" borderId="14" xfId="0" applyNumberFormat="1" applyFill="1" applyBorder="1"/>
    <xf numFmtId="0" fontId="0" fillId="0" borderId="14" xfId="0" applyNumberFormat="1" applyFill="1" applyBorder="1" applyAlignment="1">
      <alignment horizontal="center"/>
    </xf>
    <xf numFmtId="2" fontId="0" fillId="0" borderId="15" xfId="0" applyNumberFormat="1" applyFont="1" applyFill="1" applyBorder="1"/>
    <xf numFmtId="0" fontId="26" fillId="0" borderId="5" xfId="0" applyNumberFormat="1" applyFont="1" applyFill="1" applyBorder="1" applyAlignment="1">
      <alignment horizontal="center" vertical="center"/>
    </xf>
    <xf numFmtId="0" fontId="26" fillId="0" borderId="15" xfId="0" applyNumberFormat="1" applyFont="1" applyFill="1" applyBorder="1" applyAlignment="1">
      <alignment horizontal="center" wrapText="1"/>
    </xf>
    <xf numFmtId="0" fontId="0" fillId="0" borderId="15" xfId="0" applyNumberFormat="1" applyFill="1" applyBorder="1"/>
    <xf numFmtId="0" fontId="12" fillId="0" borderId="39" xfId="0" applyNumberFormat="1" applyFont="1" applyBorder="1" applyAlignment="1">
      <alignment horizontal="center" vertical="top" wrapText="1"/>
    </xf>
    <xf numFmtId="0" fontId="12" fillId="0" borderId="69" xfId="0" applyNumberFormat="1" applyFont="1" applyBorder="1" applyAlignment="1">
      <alignment horizontal="center" vertical="top" wrapText="1"/>
    </xf>
    <xf numFmtId="0" fontId="12" fillId="0" borderId="44" xfId="0" applyNumberFormat="1" applyFont="1" applyBorder="1" applyAlignment="1">
      <alignment horizontal="center" vertical="top" wrapText="1"/>
    </xf>
    <xf numFmtId="0" fontId="12" fillId="0" borderId="39" xfId="0" applyNumberFormat="1" applyFont="1" applyBorder="1" applyAlignment="1">
      <alignment horizontal="center" wrapText="1"/>
    </xf>
    <xf numFmtId="0" fontId="12" fillId="0" borderId="69" xfId="0" applyNumberFormat="1" applyFont="1" applyBorder="1" applyAlignment="1">
      <alignment horizontal="center" wrapText="1"/>
    </xf>
    <xf numFmtId="0" fontId="12" fillId="0" borderId="44" xfId="0" applyNumberFormat="1" applyFont="1" applyBorder="1" applyAlignment="1">
      <alignment horizontal="center" wrapText="1"/>
    </xf>
    <xf numFmtId="0" fontId="12" fillId="0" borderId="39" xfId="0" applyFont="1" applyBorder="1" applyAlignment="1"/>
    <xf numFmtId="0" fontId="0" fillId="0" borderId="0" xfId="0" applyFill="1" applyAlignment="1"/>
    <xf numFmtId="0" fontId="0" fillId="3" borderId="0" xfId="0" applyFill="1" applyBorder="1" applyAlignment="1"/>
    <xf numFmtId="0" fontId="0" fillId="3" borderId="0" xfId="0" applyFont="1" applyFill="1" applyBorder="1" applyAlignment="1"/>
    <xf numFmtId="0" fontId="12" fillId="11" borderId="0" xfId="0" applyFont="1" applyFill="1" applyAlignment="1"/>
    <xf numFmtId="0" fontId="3" fillId="5" borderId="44" xfId="0" applyFont="1" applyFill="1" applyBorder="1" applyAlignment="1">
      <alignment horizontal="center" vertical="center"/>
    </xf>
    <xf numFmtId="0" fontId="16" fillId="11" borderId="0" xfId="0" applyFont="1" applyFill="1" applyBorder="1" applyAlignment="1">
      <alignment horizontal="center"/>
    </xf>
    <xf numFmtId="0" fontId="38" fillId="11" borderId="0" xfId="0" applyFont="1" applyFill="1" applyBorder="1" applyAlignment="1">
      <alignment vertical="center"/>
    </xf>
    <xf numFmtId="0" fontId="12" fillId="12" borderId="46" xfId="0" applyFont="1" applyFill="1" applyBorder="1" applyAlignment="1">
      <alignment horizontal="center" vertical="center"/>
    </xf>
    <xf numFmtId="0" fontId="12" fillId="12" borderId="18" xfId="0" applyFont="1" applyFill="1" applyBorder="1" applyAlignment="1">
      <alignment horizontal="right"/>
    </xf>
    <xf numFmtId="0" fontId="16" fillId="0" borderId="39" xfId="0" applyFont="1" applyFill="1" applyBorder="1" applyAlignment="1">
      <alignment horizontal="center" vertical="center"/>
    </xf>
    <xf numFmtId="2" fontId="46" fillId="20" borderId="39" xfId="5" applyNumberFormat="1" applyBorder="1" applyAlignment="1">
      <alignment horizontal="right"/>
    </xf>
    <xf numFmtId="2" fontId="12" fillId="0" borderId="71" xfId="0" applyNumberFormat="1" applyFont="1" applyBorder="1" applyAlignment="1">
      <alignment horizontal="right" vertical="top"/>
    </xf>
    <xf numFmtId="2" fontId="12" fillId="0" borderId="39" xfId="0" applyNumberFormat="1" applyFont="1" applyBorder="1" applyAlignment="1">
      <alignment horizontal="right" vertical="top"/>
    </xf>
    <xf numFmtId="2" fontId="12" fillId="0" borderId="39" xfId="0" applyNumberFormat="1" applyFont="1" applyFill="1" applyBorder="1" applyAlignment="1">
      <alignment horizontal="right"/>
    </xf>
    <xf numFmtId="2" fontId="12" fillId="0" borderId="70" xfId="0" applyNumberFormat="1" applyFont="1" applyFill="1" applyBorder="1" applyAlignment="1">
      <alignment vertical="center"/>
    </xf>
    <xf numFmtId="2" fontId="0" fillId="0" borderId="39" xfId="0" applyNumberFormat="1" applyFill="1" applyBorder="1" applyAlignment="1"/>
    <xf numFmtId="2" fontId="0" fillId="0" borderId="70" xfId="0" applyNumberFormat="1" applyFill="1" applyBorder="1" applyAlignment="1"/>
    <xf numFmtId="0" fontId="0" fillId="0" borderId="71" xfId="0" applyFill="1" applyBorder="1" applyAlignment="1"/>
    <xf numFmtId="0" fontId="0" fillId="0" borderId="39" xfId="0" applyFill="1" applyBorder="1" applyAlignment="1"/>
    <xf numFmtId="0" fontId="0" fillId="0" borderId="47" xfId="0" applyFill="1" applyBorder="1" applyAlignment="1"/>
    <xf numFmtId="0" fontId="16" fillId="0" borderId="69" xfId="0" applyFont="1" applyFill="1" applyBorder="1" applyAlignment="1">
      <alignment horizontal="center" vertical="center"/>
    </xf>
    <xf numFmtId="0" fontId="12" fillId="0" borderId="69" xfId="0" applyFont="1" applyBorder="1" applyAlignment="1"/>
    <xf numFmtId="2" fontId="12" fillId="0" borderId="66" xfId="0" applyNumberFormat="1" applyFont="1" applyBorder="1" applyAlignment="1">
      <alignment horizontal="right" vertical="top"/>
    </xf>
    <xf numFmtId="2" fontId="12" fillId="0" borderId="69" xfId="0" applyNumberFormat="1" applyFont="1" applyBorder="1" applyAlignment="1">
      <alignment horizontal="right" vertical="top"/>
    </xf>
    <xf numFmtId="2" fontId="12" fillId="0" borderId="69" xfId="0" applyNumberFormat="1" applyFont="1" applyFill="1" applyBorder="1" applyAlignment="1">
      <alignment horizontal="right"/>
    </xf>
    <xf numFmtId="2" fontId="12" fillId="0" borderId="65" xfId="0" applyNumberFormat="1" applyFont="1" applyFill="1" applyBorder="1" applyAlignment="1">
      <alignment vertical="center"/>
    </xf>
    <xf numFmtId="2" fontId="0" fillId="0" borderId="65" xfId="0" applyNumberFormat="1" applyFill="1" applyBorder="1" applyAlignment="1"/>
    <xf numFmtId="0" fontId="0" fillId="0" borderId="66" xfId="0" applyFill="1" applyBorder="1" applyAlignment="1"/>
    <xf numFmtId="0" fontId="0" fillId="0" borderId="72" xfId="0" applyFill="1" applyBorder="1" applyAlignment="1"/>
    <xf numFmtId="0" fontId="16" fillId="0" borderId="44" xfId="0" applyFont="1" applyFill="1" applyBorder="1" applyAlignment="1">
      <alignment horizontal="center" vertical="center"/>
    </xf>
    <xf numFmtId="0" fontId="12" fillId="0" borderId="44" xfId="0" applyFont="1" applyBorder="1" applyAlignment="1"/>
    <xf numFmtId="2" fontId="12" fillId="0" borderId="45" xfId="0" applyNumberFormat="1" applyFont="1" applyBorder="1" applyAlignment="1">
      <alignment horizontal="right" vertical="top"/>
    </xf>
    <xf numFmtId="2" fontId="12" fillId="0" borderId="44" xfId="0" applyNumberFormat="1" applyFont="1" applyBorder="1" applyAlignment="1">
      <alignment horizontal="right" vertical="top"/>
    </xf>
    <xf numFmtId="2" fontId="12" fillId="0" borderId="44" xfId="0" applyNumberFormat="1" applyFont="1" applyFill="1" applyBorder="1" applyAlignment="1">
      <alignment horizontal="right"/>
    </xf>
    <xf numFmtId="2" fontId="12" fillId="0" borderId="67" xfId="0" applyNumberFormat="1" applyFont="1" applyFill="1" applyBorder="1" applyAlignment="1">
      <alignment vertical="center"/>
    </xf>
    <xf numFmtId="2" fontId="0" fillId="0" borderId="20" xfId="0" applyNumberFormat="1" applyFill="1" applyBorder="1" applyAlignment="1"/>
    <xf numFmtId="2" fontId="0" fillId="0" borderId="67" xfId="0" applyNumberFormat="1" applyFill="1" applyBorder="1" applyAlignment="1"/>
    <xf numFmtId="2" fontId="0" fillId="0" borderId="21" xfId="0" applyNumberFormat="1" applyFill="1" applyBorder="1" applyAlignment="1"/>
    <xf numFmtId="0" fontId="0" fillId="0" borderId="45" xfId="0" applyFill="1" applyBorder="1" applyAlignment="1"/>
    <xf numFmtId="0" fontId="0" fillId="0" borderId="44" xfId="0" applyFill="1" applyBorder="1" applyAlignment="1"/>
    <xf numFmtId="0" fontId="0" fillId="0" borderId="21" xfId="0" applyFill="1" applyBorder="1" applyAlignment="1"/>
    <xf numFmtId="0" fontId="0" fillId="0" borderId="60" xfId="0" applyFill="1" applyBorder="1" applyAlignment="1"/>
    <xf numFmtId="0" fontId="16" fillId="0" borderId="5" xfId="0" applyFont="1" applyFill="1" applyBorder="1" applyAlignment="1">
      <alignment horizontal="center" vertical="center"/>
    </xf>
    <xf numFmtId="0" fontId="12" fillId="0" borderId="23" xfId="0" applyFont="1" applyBorder="1" applyAlignment="1"/>
    <xf numFmtId="0" fontId="0" fillId="0" borderId="71" xfId="0" applyBorder="1" applyAlignment="1"/>
    <xf numFmtId="2" fontId="0" fillId="0" borderId="23" xfId="0" applyNumberFormat="1" applyFill="1" applyBorder="1" applyAlignment="1"/>
    <xf numFmtId="2" fontId="0" fillId="0" borderId="8" xfId="0" applyNumberFormat="1" applyFill="1" applyBorder="1" applyAlignment="1"/>
    <xf numFmtId="2" fontId="0" fillId="0" borderId="71" xfId="0" applyNumberFormat="1" applyFill="1" applyBorder="1" applyAlignment="1"/>
    <xf numFmtId="0" fontId="16" fillId="0" borderId="15" xfId="0" applyFont="1" applyFill="1" applyBorder="1" applyAlignment="1">
      <alignment horizontal="center" vertical="center"/>
    </xf>
    <xf numFmtId="0" fontId="12" fillId="0" borderId="25" xfId="0" applyFont="1" applyBorder="1" applyAlignment="1"/>
    <xf numFmtId="2" fontId="12" fillId="0" borderId="68" xfId="0" applyNumberFormat="1" applyFont="1" applyBorder="1" applyAlignment="1">
      <alignment horizontal="right" vertical="center"/>
    </xf>
    <xf numFmtId="2" fontId="12" fillId="0" borderId="69" xfId="0" applyNumberFormat="1" applyFont="1" applyFill="1" applyBorder="1" applyAlignment="1">
      <alignment horizontal="right" vertical="center"/>
    </xf>
    <xf numFmtId="2" fontId="12" fillId="0" borderId="68" xfId="0" applyNumberFormat="1" applyFont="1" applyFill="1" applyBorder="1" applyAlignment="1">
      <alignment vertical="center"/>
    </xf>
    <xf numFmtId="2" fontId="0" fillId="0" borderId="66" xfId="0" applyNumberFormat="1" applyFill="1" applyBorder="1" applyAlignment="1"/>
    <xf numFmtId="2" fontId="0" fillId="0" borderId="68" xfId="0" applyNumberFormat="1" applyFill="1" applyBorder="1" applyAlignment="1"/>
    <xf numFmtId="0" fontId="16" fillId="0" borderId="14" xfId="0" applyFont="1" applyFill="1" applyBorder="1" applyAlignment="1">
      <alignment horizontal="center" vertical="center"/>
    </xf>
    <xf numFmtId="0" fontId="12" fillId="0" borderId="20" xfId="0" applyFont="1" applyBorder="1" applyAlignment="1"/>
    <xf numFmtId="0" fontId="0" fillId="0" borderId="45" xfId="0" applyBorder="1" applyAlignment="1"/>
    <xf numFmtId="2" fontId="12" fillId="0" borderId="21" xfId="0" applyNumberFormat="1" applyFont="1" applyFill="1" applyBorder="1" applyAlignment="1">
      <alignment vertical="center"/>
    </xf>
    <xf numFmtId="2" fontId="0" fillId="0" borderId="45" xfId="0" applyNumberFormat="1" applyFill="1" applyBorder="1" applyAlignment="1"/>
    <xf numFmtId="2" fontId="12" fillId="0" borderId="8" xfId="0" applyNumberFormat="1" applyFont="1" applyBorder="1" applyAlignment="1">
      <alignment horizontal="right" vertical="center"/>
    </xf>
    <xf numFmtId="2" fontId="12" fillId="0" borderId="39" xfId="0" applyNumberFormat="1" applyFont="1" applyFill="1" applyBorder="1" applyAlignment="1">
      <alignment horizontal="right" vertical="center"/>
    </xf>
    <xf numFmtId="2" fontId="12" fillId="0" borderId="8" xfId="0" applyNumberFormat="1" applyFont="1" applyFill="1" applyBorder="1" applyAlignment="1">
      <alignment vertical="center"/>
    </xf>
    <xf numFmtId="0" fontId="0" fillId="0" borderId="11" xfId="0" applyFill="1" applyBorder="1" applyAlignment="1"/>
    <xf numFmtId="0" fontId="0" fillId="0" borderId="42" xfId="0" applyFill="1" applyBorder="1" applyAlignment="1"/>
    <xf numFmtId="2" fontId="12" fillId="0" borderId="21" xfId="0" applyNumberFormat="1" applyFont="1" applyBorder="1" applyAlignment="1">
      <alignment horizontal="right" vertical="center"/>
    </xf>
    <xf numFmtId="2" fontId="12" fillId="0" borderId="44" xfId="0" applyNumberFormat="1" applyFont="1" applyFill="1" applyBorder="1" applyAlignment="1">
      <alignment horizontal="right" vertical="center"/>
    </xf>
    <xf numFmtId="2" fontId="0" fillId="0" borderId="13" xfId="0" applyNumberFormat="1" applyFill="1" applyBorder="1" applyAlignment="1"/>
    <xf numFmtId="0" fontId="16" fillId="0" borderId="8" xfId="0" applyFont="1" applyFill="1" applyBorder="1" applyAlignment="1">
      <alignment horizontal="center" vertical="center"/>
    </xf>
    <xf numFmtId="2" fontId="12" fillId="0" borderId="71" xfId="0" applyNumberFormat="1" applyFont="1" applyBorder="1" applyAlignment="1">
      <alignment horizontal="right"/>
    </xf>
    <xf numFmtId="2" fontId="0" fillId="0" borderId="72" xfId="0" applyNumberFormat="1" applyFill="1" applyBorder="1" applyAlignment="1"/>
    <xf numFmtId="0" fontId="16" fillId="0" borderId="68" xfId="0" applyFont="1" applyFill="1" applyBorder="1" applyAlignment="1">
      <alignment horizontal="center" vertical="center"/>
    </xf>
    <xf numFmtId="2" fontId="12" fillId="0" borderId="66" xfId="0" applyNumberFormat="1" applyFont="1" applyBorder="1" applyAlignment="1">
      <alignment horizontal="right"/>
    </xf>
    <xf numFmtId="0" fontId="16" fillId="0" borderId="21" xfId="0" applyFont="1" applyFill="1" applyBorder="1" applyAlignment="1">
      <alignment horizontal="center" vertical="center"/>
    </xf>
    <xf numFmtId="2" fontId="12" fillId="0" borderId="45" xfId="0" applyNumberFormat="1" applyFont="1" applyBorder="1" applyAlignment="1">
      <alignment horizontal="right"/>
    </xf>
    <xf numFmtId="0" fontId="0" fillId="0" borderId="13" xfId="0" applyFill="1" applyBorder="1" applyAlignment="1"/>
    <xf numFmtId="0" fontId="12" fillId="0" borderId="23" xfId="0" applyFont="1" applyBorder="1" applyAlignment="1">
      <alignment vertical="top"/>
    </xf>
    <xf numFmtId="2" fontId="12" fillId="0" borderId="8" xfId="0" applyNumberFormat="1" applyFont="1" applyBorder="1" applyAlignment="1">
      <alignment horizontal="right" vertical="top"/>
    </xf>
    <xf numFmtId="0" fontId="12" fillId="0" borderId="25" xfId="0" applyFont="1" applyBorder="1" applyAlignment="1">
      <alignment vertical="top"/>
    </xf>
    <xf numFmtId="2" fontId="12" fillId="0" borderId="68" xfId="0" applyNumberFormat="1" applyFont="1" applyBorder="1" applyAlignment="1">
      <alignment horizontal="right" vertical="top"/>
    </xf>
    <xf numFmtId="0" fontId="12" fillId="0" borderId="20" xfId="0" applyFont="1" applyBorder="1" applyAlignment="1">
      <alignment vertical="top"/>
    </xf>
    <xf numFmtId="2" fontId="12" fillId="0" borderId="21" xfId="0" applyNumberFormat="1" applyFont="1" applyBorder="1" applyAlignment="1">
      <alignment horizontal="right" vertical="top"/>
    </xf>
    <xf numFmtId="0" fontId="12" fillId="0" borderId="5" xfId="0" applyFont="1" applyBorder="1" applyAlignment="1">
      <alignment vertical="top"/>
    </xf>
    <xf numFmtId="2" fontId="12" fillId="0" borderId="0" xfId="0" applyNumberFormat="1" applyFont="1" applyBorder="1" applyAlignment="1">
      <alignment horizontal="right" vertical="top"/>
    </xf>
    <xf numFmtId="2" fontId="12" fillId="0" borderId="72" xfId="0" applyNumberFormat="1" applyFont="1" applyBorder="1" applyAlignment="1">
      <alignment horizontal="right" vertical="top"/>
    </xf>
    <xf numFmtId="2" fontId="12" fillId="0" borderId="0" xfId="0" applyNumberFormat="1" applyFont="1" applyFill="1" applyBorder="1" applyAlignment="1">
      <alignment vertical="center"/>
    </xf>
    <xf numFmtId="2" fontId="0" fillId="0" borderId="0" xfId="0" applyNumberFormat="1" applyFill="1" applyBorder="1" applyAlignment="1"/>
    <xf numFmtId="0" fontId="12" fillId="0" borderId="15" xfId="0" applyFont="1" applyBorder="1" applyAlignment="1">
      <alignment vertical="top"/>
    </xf>
    <xf numFmtId="0" fontId="12" fillId="0" borderId="14" xfId="0" applyFont="1" applyBorder="1" applyAlignment="1">
      <alignment vertical="top"/>
    </xf>
    <xf numFmtId="0" fontId="16" fillId="11" borderId="0" xfId="0" applyFont="1" applyFill="1" applyBorder="1" applyAlignment="1">
      <alignment vertical="top"/>
    </xf>
    <xf numFmtId="1" fontId="16" fillId="11" borderId="0" xfId="0" applyNumberFormat="1" applyFont="1" applyFill="1" applyBorder="1" applyAlignment="1">
      <alignment horizontal="right" vertical="center"/>
    </xf>
    <xf numFmtId="169" fontId="16" fillId="11" borderId="0" xfId="1" applyNumberFormat="1" applyFont="1" applyFill="1" applyBorder="1" applyAlignment="1">
      <alignment horizontal="right" vertical="center"/>
    </xf>
    <xf numFmtId="10" fontId="16" fillId="11" borderId="0" xfId="4" applyNumberFormat="1" applyFont="1" applyFill="1" applyBorder="1" applyAlignment="1">
      <alignment horizontal="right" vertical="center"/>
    </xf>
    <xf numFmtId="169" fontId="12" fillId="11" borderId="69" xfId="1" applyNumberFormat="1" applyFont="1" applyFill="1" applyBorder="1" applyAlignment="1">
      <alignment horizontal="center" vertical="center"/>
    </xf>
    <xf numFmtId="2" fontId="12" fillId="0" borderId="39" xfId="0" applyNumberFormat="1" applyFont="1" applyBorder="1" applyAlignment="1">
      <alignment horizontal="center"/>
    </xf>
    <xf numFmtId="2" fontId="12" fillId="0" borderId="69" xfId="0" applyNumberFormat="1" applyFont="1" applyBorder="1" applyAlignment="1">
      <alignment horizontal="center"/>
    </xf>
    <xf numFmtId="2" fontId="12" fillId="0" borderId="44" xfId="0" applyNumberFormat="1" applyFont="1" applyBorder="1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/>
    <xf numFmtId="0" fontId="0" fillId="0" borderId="0" xfId="0" applyFill="1" applyBorder="1" applyAlignment="1">
      <alignment horizontal="center"/>
    </xf>
    <xf numFmtId="0" fontId="0" fillId="0" borderId="0" xfId="0"/>
    <xf numFmtId="2" fontId="12" fillId="21" borderId="0" xfId="0" applyNumberFormat="1" applyFont="1" applyFill="1" applyBorder="1" applyAlignment="1">
      <alignment horizontal="right"/>
    </xf>
    <xf numFmtId="2" fontId="0" fillId="21" borderId="0" xfId="0" applyNumberFormat="1" applyFill="1" applyBorder="1"/>
    <xf numFmtId="2" fontId="0" fillId="21" borderId="37" xfId="0" applyNumberFormat="1" applyFill="1" applyBorder="1"/>
    <xf numFmtId="2" fontId="0" fillId="21" borderId="7" xfId="0" applyNumberFormat="1" applyFill="1" applyBorder="1"/>
    <xf numFmtId="2" fontId="16" fillId="21" borderId="7" xfId="0" applyNumberFormat="1" applyFont="1" applyFill="1" applyBorder="1" applyAlignment="1">
      <alignment horizontal="center" wrapText="1"/>
    </xf>
    <xf numFmtId="166" fontId="0" fillId="0" borderId="22" xfId="0" applyNumberFormat="1" applyFont="1" applyFill="1" applyBorder="1"/>
    <xf numFmtId="2" fontId="0" fillId="0" borderId="56" xfId="0" applyNumberFormat="1" applyFont="1" applyFill="1" applyBorder="1" applyAlignment="1">
      <alignment horizontal="right" vertical="center"/>
    </xf>
    <xf numFmtId="2" fontId="0" fillId="0" borderId="34" xfId="0" applyNumberFormat="1" applyFont="1" applyFill="1" applyBorder="1"/>
    <xf numFmtId="2" fontId="0" fillId="0" borderId="1" xfId="0" applyNumberFormat="1" applyFont="1" applyFill="1" applyBorder="1" applyAlignment="1">
      <alignment horizontal="right" vertical="center"/>
    </xf>
    <xf numFmtId="2" fontId="12" fillId="21" borderId="0" xfId="0" applyNumberFormat="1" applyFont="1" applyFill="1" applyBorder="1" applyAlignment="1">
      <alignment horizontal="right" vertical="center"/>
    </xf>
    <xf numFmtId="166" fontId="0" fillId="0" borderId="0" xfId="0" applyNumberFormat="1" applyFill="1" applyBorder="1"/>
    <xf numFmtId="2" fontId="0" fillId="0" borderId="0" xfId="0" applyNumberFormat="1" applyFill="1" applyBorder="1" applyAlignment="1">
      <alignment horizontal="right"/>
    </xf>
    <xf numFmtId="2" fontId="0" fillId="21" borderId="0" xfId="0" applyNumberFormat="1" applyFont="1" applyFill="1" applyBorder="1" applyAlignment="1">
      <alignment horizontal="center"/>
    </xf>
    <xf numFmtId="166" fontId="57" fillId="0" borderId="0" xfId="0" applyNumberFormat="1" applyFont="1" applyFill="1" applyBorder="1"/>
    <xf numFmtId="2" fontId="12" fillId="21" borderId="0" xfId="0" applyNumberFormat="1" applyFont="1" applyFill="1" applyBorder="1"/>
    <xf numFmtId="2" fontId="2" fillId="21" borderId="0" xfId="0" applyNumberFormat="1" applyFont="1" applyFill="1" applyBorder="1" applyAlignment="1">
      <alignment horizontal="right" vertical="center"/>
    </xf>
    <xf numFmtId="43" fontId="12" fillId="0" borderId="0" xfId="1" applyFont="1" applyBorder="1" applyAlignment="1">
      <alignment wrapText="1"/>
    </xf>
    <xf numFmtId="43" fontId="12" fillId="0" borderId="0" xfId="1" applyFont="1" applyBorder="1"/>
    <xf numFmtId="43" fontId="12" fillId="0" borderId="0" xfId="1" applyFont="1" applyBorder="1" applyAlignment="1">
      <alignment horizontal="right"/>
    </xf>
    <xf numFmtId="43" fontId="12" fillId="0" borderId="0" xfId="1" applyFont="1" applyBorder="1" applyAlignment="1">
      <alignment horizontal="center" vertical="center"/>
    </xf>
    <xf numFmtId="43" fontId="12" fillId="0" borderId="0" xfId="1" applyFont="1" applyFill="1" applyBorder="1"/>
    <xf numFmtId="43" fontId="0" fillId="0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4" xfId="0" applyBorder="1"/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0" fillId="0" borderId="0" xfId="0"/>
    <xf numFmtId="0" fontId="3" fillId="5" borderId="20" xfId="0" applyFont="1" applyFill="1" applyBorder="1" applyAlignment="1">
      <alignment horizontal="center" vertical="center" wrapText="1"/>
    </xf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0" fillId="0" borderId="0" xfId="0"/>
    <xf numFmtId="0" fontId="0" fillId="0" borderId="69" xfId="0" applyBorder="1"/>
    <xf numFmtId="0" fontId="0" fillId="0" borderId="4" xfId="0" applyBorder="1"/>
    <xf numFmtId="0" fontId="0" fillId="0" borderId="7" xfId="0" applyFont="1" applyBorder="1" applyAlignment="1">
      <alignment horizontal="center" vertical="center"/>
    </xf>
    <xf numFmtId="0" fontId="0" fillId="0" borderId="69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3" fillId="5" borderId="20" xfId="0" applyFont="1" applyFill="1" applyBorder="1" applyAlignment="1">
      <alignment horizontal="center" vertical="center" wrapText="1"/>
    </xf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3" fillId="14" borderId="67" xfId="0" applyFont="1" applyFill="1" applyBorder="1" applyAlignment="1">
      <alignment horizontal="center" vertical="center" wrapText="1"/>
    </xf>
    <xf numFmtId="0" fontId="12" fillId="0" borderId="69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/>
    </xf>
    <xf numFmtId="0" fontId="0" fillId="12" borderId="0" xfId="0" applyFont="1" applyFill="1" applyBorder="1" applyAlignment="1">
      <alignment horizontal="right" vertical="center"/>
    </xf>
    <xf numFmtId="0" fontId="0" fillId="0" borderId="0" xfId="0" applyFont="1" applyBorder="1" applyAlignment="1">
      <alignment horizontal="center" vertical="center"/>
    </xf>
    <xf numFmtId="9" fontId="0" fillId="0" borderId="0" xfId="4" applyFont="1" applyBorder="1" applyAlignment="1">
      <alignment horizontal="center" vertical="center"/>
    </xf>
    <xf numFmtId="10" fontId="10" fillId="0" borderId="0" xfId="4" applyNumberFormat="1" applyFont="1" applyBorder="1" applyAlignment="1">
      <alignment horizontal="center" vertical="center"/>
    </xf>
    <xf numFmtId="11" fontId="0" fillId="0" borderId="0" xfId="0" applyNumberFormat="1"/>
    <xf numFmtId="0" fontId="0" fillId="0" borderId="56" xfId="0" applyBorder="1"/>
    <xf numFmtId="0" fontId="0" fillId="0" borderId="9" xfId="0" applyBorder="1"/>
    <xf numFmtId="0" fontId="0" fillId="0" borderId="7" xfId="0" applyBorder="1"/>
    <xf numFmtId="3" fontId="0" fillId="0" borderId="7" xfId="0" applyNumberFormat="1" applyBorder="1"/>
    <xf numFmtId="3" fontId="0" fillId="0" borderId="69" xfId="0" applyNumberFormat="1" applyBorder="1"/>
    <xf numFmtId="3" fontId="0" fillId="0" borderId="4" xfId="0" applyNumberFormat="1" applyBorder="1"/>
    <xf numFmtId="166" fontId="12" fillId="0" borderId="70" xfId="0" applyNumberFormat="1" applyFont="1" applyBorder="1" applyAlignment="1">
      <alignment horizontal="center" vertical="top" wrapText="1"/>
    </xf>
    <xf numFmtId="166" fontId="12" fillId="0" borderId="65" xfId="0" applyNumberFormat="1" applyFont="1" applyBorder="1" applyAlignment="1">
      <alignment horizontal="center" vertical="top" wrapText="1"/>
    </xf>
    <xf numFmtId="166" fontId="12" fillId="0" borderId="67" xfId="0" applyNumberFormat="1" applyFont="1" applyBorder="1" applyAlignment="1">
      <alignment horizontal="center" vertical="top" wrapText="1"/>
    </xf>
    <xf numFmtId="166" fontId="12" fillId="0" borderId="70" xfId="0" applyNumberFormat="1" applyFont="1" applyBorder="1" applyAlignment="1">
      <alignment horizontal="center" wrapText="1"/>
    </xf>
    <xf numFmtId="166" fontId="12" fillId="0" borderId="65" xfId="0" applyNumberFormat="1" applyFont="1" applyBorder="1" applyAlignment="1">
      <alignment horizontal="center" wrapText="1"/>
    </xf>
    <xf numFmtId="166" fontId="12" fillId="0" borderId="67" xfId="0" applyNumberFormat="1" applyFont="1" applyBorder="1" applyAlignment="1">
      <alignment horizontal="center" wrapText="1"/>
    </xf>
    <xf numFmtId="0" fontId="0" fillId="0" borderId="0" xfId="0"/>
    <xf numFmtId="0" fontId="10" fillId="17" borderId="12" xfId="0" applyFont="1" applyFill="1" applyBorder="1" applyAlignment="1">
      <alignment horizontal="center"/>
    </xf>
    <xf numFmtId="0" fontId="10" fillId="17" borderId="16" xfId="0" applyFont="1" applyFill="1" applyBorder="1" applyAlignment="1">
      <alignment horizontal="center"/>
    </xf>
    <xf numFmtId="0" fontId="10" fillId="17" borderId="17" xfId="0" applyFont="1" applyFill="1" applyBorder="1" applyAlignment="1">
      <alignment horizontal="center"/>
    </xf>
    <xf numFmtId="0" fontId="16" fillId="9" borderId="29" xfId="0" applyFont="1" applyFill="1" applyBorder="1" applyAlignment="1">
      <alignment horizontal="center" vertical="center"/>
    </xf>
    <xf numFmtId="0" fontId="16" fillId="9" borderId="31" xfId="0" applyFont="1" applyFill="1" applyBorder="1" applyAlignment="1">
      <alignment horizontal="center" vertical="center"/>
    </xf>
    <xf numFmtId="0" fontId="16" fillId="8" borderId="10" xfId="0" applyFont="1" applyFill="1" applyBorder="1" applyAlignment="1">
      <alignment horizontal="center" vertical="center" wrapText="1"/>
    </xf>
    <xf numFmtId="0" fontId="16" fillId="8" borderId="41" xfId="0" applyFont="1" applyFill="1" applyBorder="1" applyAlignment="1">
      <alignment horizontal="center" vertical="center" wrapText="1"/>
    </xf>
    <xf numFmtId="0" fontId="12" fillId="0" borderId="39" xfId="0" applyFont="1" applyFill="1" applyBorder="1" applyAlignment="1">
      <alignment horizontal="center" vertical="center" wrapText="1"/>
    </xf>
    <xf numFmtId="0" fontId="12" fillId="0" borderId="69" xfId="0" applyFont="1" applyFill="1" applyBorder="1" applyAlignment="1">
      <alignment horizontal="center" vertical="center" wrapText="1"/>
    </xf>
    <xf numFmtId="0" fontId="12" fillId="0" borderId="44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12" fillId="0" borderId="15" xfId="0" applyFont="1" applyFill="1" applyBorder="1" applyAlignment="1">
      <alignment horizontal="center" vertical="center" wrapText="1"/>
    </xf>
    <xf numFmtId="0" fontId="12" fillId="0" borderId="14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4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7" xfId="0" applyFont="1" applyBorder="1" applyAlignment="1">
      <alignment horizontal="center" vertical="center"/>
    </xf>
    <xf numFmtId="0" fontId="10" fillId="0" borderId="69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6" borderId="12" xfId="0" applyFont="1" applyFill="1" applyBorder="1" applyAlignment="1">
      <alignment horizontal="center"/>
    </xf>
    <xf numFmtId="0" fontId="10" fillId="6" borderId="16" xfId="0" applyFont="1" applyFill="1" applyBorder="1" applyAlignment="1">
      <alignment horizontal="center"/>
    </xf>
    <xf numFmtId="0" fontId="10" fillId="6" borderId="17" xfId="0" applyFont="1" applyFill="1" applyBorder="1" applyAlignment="1">
      <alignment horizontal="center"/>
    </xf>
    <xf numFmtId="0" fontId="16" fillId="7" borderId="13" xfId="0" applyFont="1" applyFill="1" applyBorder="1" applyAlignment="1">
      <alignment horizontal="center"/>
    </xf>
    <xf numFmtId="0" fontId="16" fillId="7" borderId="63" xfId="0" applyFont="1" applyFill="1" applyBorder="1" applyAlignment="1">
      <alignment horizontal="center"/>
    </xf>
    <xf numFmtId="0" fontId="16" fillId="7" borderId="60" xfId="0" applyFont="1" applyFill="1" applyBorder="1" applyAlignment="1">
      <alignment horizontal="center"/>
    </xf>
    <xf numFmtId="0" fontId="44" fillId="3" borderId="0" xfId="0" applyFont="1" applyFill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38" fillId="10" borderId="0" xfId="0" applyFont="1" applyFill="1" applyBorder="1" applyAlignment="1">
      <alignment horizontal="center" vertical="center" wrapText="1"/>
    </xf>
    <xf numFmtId="0" fontId="16" fillId="17" borderId="46" xfId="0" applyFont="1" applyFill="1" applyBorder="1" applyAlignment="1">
      <alignment horizontal="center" vertical="center"/>
    </xf>
    <xf numFmtId="0" fontId="16" fillId="17" borderId="18" xfId="0" applyFont="1" applyFill="1" applyBorder="1" applyAlignment="1">
      <alignment horizontal="center" vertical="center"/>
    </xf>
    <xf numFmtId="0" fontId="16" fillId="17" borderId="19" xfId="0" applyFont="1" applyFill="1" applyBorder="1" applyAlignment="1">
      <alignment horizontal="center" vertical="center"/>
    </xf>
    <xf numFmtId="0" fontId="16" fillId="17" borderId="46" xfId="0" applyFont="1" applyFill="1" applyBorder="1" applyAlignment="1">
      <alignment horizontal="center" wrapText="1"/>
    </xf>
    <xf numFmtId="0" fontId="16" fillId="17" borderId="18" xfId="0" applyFont="1" applyFill="1" applyBorder="1" applyAlignment="1">
      <alignment horizontal="center" wrapText="1"/>
    </xf>
    <xf numFmtId="0" fontId="16" fillId="17" borderId="51" xfId="0" applyFont="1" applyFill="1" applyBorder="1" applyAlignment="1">
      <alignment horizontal="center" wrapText="1"/>
    </xf>
    <xf numFmtId="0" fontId="38" fillId="10" borderId="0" xfId="0" applyFont="1" applyFill="1" applyBorder="1" applyAlignment="1">
      <alignment horizontal="center" vertical="center"/>
    </xf>
    <xf numFmtId="0" fontId="0" fillId="0" borderId="0" xfId="0"/>
    <xf numFmtId="0" fontId="0" fillId="0" borderId="63" xfId="0" applyBorder="1"/>
    <xf numFmtId="0" fontId="37" fillId="0" borderId="65" xfId="0" applyFont="1" applyFill="1" applyBorder="1" applyAlignment="1">
      <alignment horizontal="left"/>
    </xf>
    <xf numFmtId="0" fontId="37" fillId="0" borderId="0" xfId="0" applyFont="1" applyFill="1" applyBorder="1" applyAlignment="1">
      <alignment horizontal="left"/>
    </xf>
    <xf numFmtId="0" fontId="37" fillId="0" borderId="66" xfId="0" applyFont="1" applyFill="1" applyBorder="1" applyAlignment="1">
      <alignment horizontal="left"/>
    </xf>
    <xf numFmtId="0" fontId="36" fillId="0" borderId="65" xfId="0" applyFont="1" applyFill="1" applyBorder="1" applyAlignment="1">
      <alignment horizontal="left"/>
    </xf>
    <xf numFmtId="0" fontId="36" fillId="0" borderId="0" xfId="0" applyFont="1" applyFill="1" applyBorder="1" applyAlignment="1">
      <alignment horizontal="left"/>
    </xf>
    <xf numFmtId="0" fontId="36" fillId="0" borderId="66" xfId="0" applyFont="1" applyFill="1" applyBorder="1" applyAlignment="1">
      <alignment horizontal="left"/>
    </xf>
    <xf numFmtId="0" fontId="37" fillId="8" borderId="2" xfId="0" applyFont="1" applyFill="1" applyBorder="1" applyAlignment="1">
      <alignment horizontal="center"/>
    </xf>
    <xf numFmtId="0" fontId="37" fillId="8" borderId="64" xfId="0" applyFont="1" applyFill="1" applyBorder="1" applyAlignment="1">
      <alignment horizontal="center"/>
    </xf>
    <xf numFmtId="0" fontId="37" fillId="8" borderId="6" xfId="0" applyFont="1" applyFill="1" applyBorder="1" applyAlignment="1">
      <alignment horizontal="center"/>
    </xf>
    <xf numFmtId="0" fontId="16" fillId="0" borderId="7" xfId="0" applyFont="1" applyFill="1" applyBorder="1" applyAlignment="1">
      <alignment horizontal="left" vertical="center"/>
    </xf>
    <xf numFmtId="0" fontId="16" fillId="0" borderId="69" xfId="0" applyFont="1" applyFill="1" applyBorder="1" applyAlignment="1">
      <alignment horizontal="left" vertical="center"/>
    </xf>
    <xf numFmtId="0" fontId="16" fillId="0" borderId="4" xfId="0" applyFont="1" applyFill="1" applyBorder="1" applyAlignment="1">
      <alignment horizontal="left" vertical="center"/>
    </xf>
    <xf numFmtId="0" fontId="16" fillId="18" borderId="0" xfId="0" applyFont="1" applyFill="1" applyBorder="1" applyAlignment="1">
      <alignment horizontal="center" vertical="center"/>
    </xf>
    <xf numFmtId="0" fontId="10" fillId="0" borderId="7" xfId="0" applyFont="1" applyBorder="1" applyAlignment="1">
      <alignment horizontal="left" vertical="center"/>
    </xf>
    <xf numFmtId="0" fontId="10" fillId="0" borderId="69" xfId="0" applyFont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10" fillId="0" borderId="22" xfId="0" applyFont="1" applyBorder="1" applyAlignment="1">
      <alignment horizontal="center" vertical="center"/>
    </xf>
    <xf numFmtId="0" fontId="10" fillId="0" borderId="106" xfId="0" applyFont="1" applyBorder="1" applyAlignment="1">
      <alignment horizontal="center" vertical="center"/>
    </xf>
    <xf numFmtId="0" fontId="10" fillId="0" borderId="56" xfId="0" applyFont="1" applyBorder="1" applyAlignment="1">
      <alignment horizontal="center" vertical="center"/>
    </xf>
    <xf numFmtId="0" fontId="10" fillId="0" borderId="65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66" xfId="0" applyFont="1" applyBorder="1" applyAlignment="1">
      <alignment horizontal="center" vertical="center"/>
    </xf>
    <xf numFmtId="0" fontId="10" fillId="0" borderId="40" xfId="0" applyFont="1" applyBorder="1" applyAlignment="1">
      <alignment horizontal="center" vertical="center"/>
    </xf>
    <xf numFmtId="0" fontId="10" fillId="0" borderId="5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0" borderId="7" xfId="0" applyFont="1" applyFill="1" applyBorder="1" applyAlignment="1">
      <alignment horizontal="left" vertical="center" wrapText="1"/>
    </xf>
    <xf numFmtId="0" fontId="16" fillId="0" borderId="69" xfId="0" applyFont="1" applyFill="1" applyBorder="1" applyAlignment="1">
      <alignment horizontal="left" vertical="center" wrapText="1"/>
    </xf>
    <xf numFmtId="0" fontId="16" fillId="0" borderId="4" xfId="0" applyFont="1" applyFill="1" applyBorder="1" applyAlignment="1">
      <alignment horizontal="left" vertical="center" wrapText="1"/>
    </xf>
    <xf numFmtId="0" fontId="10" fillId="17" borderId="48" xfId="0" applyFont="1" applyFill="1" applyBorder="1" applyAlignment="1">
      <alignment horizontal="center"/>
    </xf>
    <xf numFmtId="0" fontId="10" fillId="17" borderId="64" xfId="0" applyFont="1" applyFill="1" applyBorder="1" applyAlignment="1">
      <alignment horizontal="center"/>
    </xf>
    <xf numFmtId="0" fontId="10" fillId="17" borderId="6" xfId="0" applyFont="1" applyFill="1" applyBorder="1" applyAlignment="1">
      <alignment horizontal="center"/>
    </xf>
    <xf numFmtId="0" fontId="3" fillId="8" borderId="10" xfId="0" applyFont="1" applyFill="1" applyBorder="1" applyAlignment="1">
      <alignment horizontal="center" vertical="center" wrapText="1"/>
    </xf>
    <xf numFmtId="0" fontId="3" fillId="8" borderId="41" xfId="0" applyFont="1" applyFill="1" applyBorder="1" applyAlignment="1">
      <alignment horizontal="center" vertical="center" wrapText="1"/>
    </xf>
    <xf numFmtId="0" fontId="16" fillId="7" borderId="12" xfId="0" applyFont="1" applyFill="1" applyBorder="1" applyAlignment="1">
      <alignment horizontal="center"/>
    </xf>
    <xf numFmtId="0" fontId="16" fillId="7" borderId="16" xfId="0" applyFont="1" applyFill="1" applyBorder="1" applyAlignment="1">
      <alignment horizontal="center"/>
    </xf>
    <xf numFmtId="0" fontId="16" fillId="7" borderId="17" xfId="0" applyFont="1" applyFill="1" applyBorder="1" applyAlignment="1">
      <alignment horizontal="center"/>
    </xf>
    <xf numFmtId="0" fontId="10" fillId="0" borderId="40" xfId="0" applyFont="1" applyBorder="1" applyAlignment="1">
      <alignment horizontal="center"/>
    </xf>
    <xf numFmtId="0" fontId="10" fillId="0" borderId="58" xfId="0" applyFont="1" applyBorder="1" applyAlignment="1">
      <alignment horizontal="center"/>
    </xf>
    <xf numFmtId="0" fontId="38" fillId="11" borderId="0" xfId="0" applyFont="1" applyFill="1" applyBorder="1" applyAlignment="1">
      <alignment horizontal="center" vertical="center" wrapText="1"/>
    </xf>
    <xf numFmtId="0" fontId="45" fillId="3" borderId="0" xfId="0" applyFont="1" applyFill="1" applyAlignment="1">
      <alignment horizontal="center" vertical="center"/>
    </xf>
    <xf numFmtId="0" fontId="16" fillId="9" borderId="23" xfId="0" applyFont="1" applyFill="1" applyBorder="1" applyAlignment="1">
      <alignment horizontal="center" vertical="center"/>
    </xf>
    <xf numFmtId="0" fontId="16" fillId="9" borderId="20" xfId="0" applyFont="1" applyFill="1" applyBorder="1" applyAlignment="1">
      <alignment horizontal="center" vertical="center"/>
    </xf>
    <xf numFmtId="0" fontId="3" fillId="8" borderId="70" xfId="0" applyFont="1" applyFill="1" applyBorder="1" applyAlignment="1">
      <alignment horizontal="center" vertical="center" wrapText="1"/>
    </xf>
    <xf numFmtId="0" fontId="3" fillId="8" borderId="67" xfId="0" applyFont="1" applyFill="1" applyBorder="1" applyAlignment="1">
      <alignment horizontal="center" vertical="center" wrapText="1"/>
    </xf>
    <xf numFmtId="0" fontId="16" fillId="17" borderId="61" xfId="0" applyFont="1" applyFill="1" applyBorder="1" applyAlignment="1">
      <alignment horizontal="center" vertical="center"/>
    </xf>
    <xf numFmtId="0" fontId="16" fillId="17" borderId="51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 wrapText="1"/>
    </xf>
    <xf numFmtId="0" fontId="3" fillId="8" borderId="14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16" fillId="0" borderId="7" xfId="0" applyFont="1" applyFill="1" applyBorder="1" applyAlignment="1">
      <alignment horizontal="center" vertical="center" wrapText="1"/>
    </xf>
    <xf numFmtId="0" fontId="0" fillId="0" borderId="69" xfId="0" applyBorder="1"/>
    <xf numFmtId="0" fontId="0" fillId="0" borderId="4" xfId="0" applyBorder="1"/>
    <xf numFmtId="0" fontId="16" fillId="17" borderId="12" xfId="0" applyFont="1" applyFill="1" applyBorder="1" applyAlignment="1">
      <alignment horizontal="center"/>
    </xf>
    <xf numFmtId="0" fontId="16" fillId="17" borderId="16" xfId="0" applyFont="1" applyFill="1" applyBorder="1" applyAlignment="1">
      <alignment horizontal="center"/>
    </xf>
    <xf numFmtId="0" fontId="16" fillId="17" borderId="17" xfId="0" applyFont="1" applyFill="1" applyBorder="1" applyAlignment="1">
      <alignment horizontal="center"/>
    </xf>
    <xf numFmtId="0" fontId="16" fillId="10" borderId="0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/>
    </xf>
    <xf numFmtId="0" fontId="12" fillId="0" borderId="7" xfId="0" applyFont="1" applyFill="1" applyBorder="1" applyAlignment="1">
      <alignment horizontal="left" vertical="center" wrapText="1"/>
    </xf>
    <xf numFmtId="0" fontId="12" fillId="0" borderId="69" xfId="0" applyFont="1" applyFill="1" applyBorder="1" applyAlignment="1">
      <alignment horizontal="left" vertical="center" wrapText="1"/>
    </xf>
    <xf numFmtId="0" fontId="12" fillId="0" borderId="4" xfId="0" applyFont="1" applyFill="1" applyBorder="1" applyAlignment="1">
      <alignment horizontal="left" vertical="center" wrapText="1"/>
    </xf>
    <xf numFmtId="0" fontId="12" fillId="0" borderId="7" xfId="0" applyFont="1" applyFill="1" applyBorder="1" applyAlignment="1">
      <alignment horizontal="left" vertical="center"/>
    </xf>
    <xf numFmtId="0" fontId="12" fillId="0" borderId="69" xfId="0" applyFont="1" applyFill="1" applyBorder="1" applyAlignment="1">
      <alignment horizontal="left" vertical="center"/>
    </xf>
    <xf numFmtId="0" fontId="12" fillId="0" borderId="4" xfId="0" applyFont="1" applyFill="1" applyBorder="1" applyAlignment="1">
      <alignment horizontal="left" vertical="center"/>
    </xf>
    <xf numFmtId="0" fontId="0" fillId="0" borderId="7" xfId="0" applyFont="1" applyBorder="1" applyAlignment="1">
      <alignment horizontal="center" vertical="center"/>
    </xf>
    <xf numFmtId="0" fontId="0" fillId="0" borderId="69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10" fillId="0" borderId="5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7" xfId="0" applyFont="1" applyBorder="1" applyAlignment="1">
      <alignment horizontal="center" vertical="center" wrapText="1"/>
    </xf>
    <xf numFmtId="0" fontId="0" fillId="0" borderId="69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10" fillId="5" borderId="5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14" borderId="5" xfId="0" applyFont="1" applyFill="1" applyBorder="1" applyAlignment="1">
      <alignment horizontal="center" vertical="center"/>
    </xf>
    <xf numFmtId="0" fontId="10" fillId="14" borderId="15" xfId="0" applyFont="1" applyFill="1" applyBorder="1" applyAlignment="1">
      <alignment horizontal="center" vertical="center"/>
    </xf>
    <xf numFmtId="0" fontId="3" fillId="16" borderId="39" xfId="0" applyFont="1" applyFill="1" applyBorder="1" applyAlignment="1">
      <alignment horizontal="center" vertical="center" wrapText="1"/>
    </xf>
    <xf numFmtId="0" fontId="3" fillId="16" borderId="69" xfId="0" applyFont="1" applyFill="1" applyBorder="1" applyAlignment="1">
      <alignment horizontal="center" vertical="center" wrapText="1"/>
    </xf>
    <xf numFmtId="0" fontId="3" fillId="14" borderId="8" xfId="0" applyFont="1" applyFill="1" applyBorder="1" applyAlignment="1">
      <alignment horizontal="center" vertical="center" wrapText="1"/>
    </xf>
    <xf numFmtId="0" fontId="3" fillId="14" borderId="68" xfId="0" applyFont="1" applyFill="1" applyBorder="1" applyAlignment="1">
      <alignment horizontal="center" vertical="center" wrapText="1"/>
    </xf>
    <xf numFmtId="0" fontId="3" fillId="14" borderId="21" xfId="0" applyFont="1" applyFill="1" applyBorder="1" applyAlignment="1">
      <alignment horizontal="center" vertical="center" wrapText="1"/>
    </xf>
    <xf numFmtId="0" fontId="10" fillId="14" borderId="14" xfId="0" applyFont="1" applyFill="1" applyBorder="1" applyAlignment="1">
      <alignment horizontal="center" vertical="center"/>
    </xf>
    <xf numFmtId="0" fontId="41" fillId="10" borderId="0" xfId="0" applyFont="1" applyFill="1" applyBorder="1" applyAlignment="1">
      <alignment horizontal="center" vertical="center"/>
    </xf>
    <xf numFmtId="0" fontId="41" fillId="10" borderId="63" xfId="0" applyFont="1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 wrapText="1"/>
    </xf>
    <xf numFmtId="0" fontId="3" fillId="5" borderId="20" xfId="0" applyFont="1" applyFill="1" applyBorder="1" applyAlignment="1">
      <alignment horizontal="center" vertical="center" wrapText="1"/>
    </xf>
    <xf numFmtId="0" fontId="3" fillId="15" borderId="39" xfId="0" applyFont="1" applyFill="1" applyBorder="1" applyAlignment="1">
      <alignment horizontal="center" vertical="center" wrapText="1"/>
    </xf>
    <xf numFmtId="0" fontId="3" fillId="15" borderId="44" xfId="0" applyFont="1" applyFill="1" applyBorder="1" applyAlignment="1">
      <alignment horizontal="center" vertical="center" wrapText="1"/>
    </xf>
    <xf numFmtId="0" fontId="3" fillId="16" borderId="44" xfId="0" applyFont="1" applyFill="1" applyBorder="1" applyAlignment="1">
      <alignment horizontal="center" vertical="center" wrapText="1"/>
    </xf>
    <xf numFmtId="0" fontId="10" fillId="5" borderId="14" xfId="0" applyFont="1" applyFill="1" applyBorder="1" applyAlignment="1">
      <alignment horizontal="center" vertical="center"/>
    </xf>
    <xf numFmtId="0" fontId="35" fillId="10" borderId="0" xfId="0" applyFont="1" applyFill="1" applyBorder="1" applyAlignment="1">
      <alignment horizontal="center" vertical="center"/>
    </xf>
    <xf numFmtId="0" fontId="35" fillId="10" borderId="63" xfId="0" applyFont="1" applyFill="1" applyBorder="1" applyAlignment="1">
      <alignment horizontal="center" vertical="center"/>
    </xf>
    <xf numFmtId="0" fontId="39" fillId="10" borderId="0" xfId="0" applyFont="1" applyFill="1" applyBorder="1" applyAlignment="1">
      <alignment horizontal="center" vertical="center"/>
    </xf>
    <xf numFmtId="0" fontId="39" fillId="10" borderId="63" xfId="0" applyFont="1" applyFill="1" applyBorder="1" applyAlignment="1">
      <alignment horizontal="center" vertical="center"/>
    </xf>
    <xf numFmtId="0" fontId="39" fillId="10" borderId="66" xfId="0" applyFont="1" applyFill="1" applyBorder="1" applyAlignment="1">
      <alignment horizontal="center" vertical="center"/>
    </xf>
    <xf numFmtId="0" fontId="41" fillId="10" borderId="66" xfId="0" applyFont="1" applyFill="1" applyBorder="1" applyAlignment="1">
      <alignment horizontal="center" vertical="center"/>
    </xf>
    <xf numFmtId="0" fontId="35" fillId="10" borderId="66" xfId="0" applyFont="1" applyFill="1" applyBorder="1" applyAlignment="1">
      <alignment horizontal="center" vertical="center"/>
    </xf>
    <xf numFmtId="0" fontId="16" fillId="9" borderId="5" xfId="0" applyFont="1" applyFill="1" applyBorder="1" applyAlignment="1">
      <alignment horizontal="center" vertical="center"/>
    </xf>
    <xf numFmtId="0" fontId="16" fillId="9" borderId="15" xfId="0" applyFont="1" applyFill="1" applyBorder="1" applyAlignment="1">
      <alignment horizontal="center" vertical="center"/>
    </xf>
    <xf numFmtId="0" fontId="16" fillId="9" borderId="14" xfId="0" applyFont="1" applyFill="1" applyBorder="1" applyAlignment="1">
      <alignment horizontal="center" vertical="center"/>
    </xf>
    <xf numFmtId="0" fontId="3" fillId="8" borderId="15" xfId="0" applyFont="1" applyFill="1" applyBorder="1" applyAlignment="1">
      <alignment horizontal="center" vertical="center" wrapText="1"/>
    </xf>
    <xf numFmtId="0" fontId="35" fillId="10" borderId="72" xfId="0" applyFont="1" applyFill="1" applyBorder="1" applyAlignment="1">
      <alignment horizontal="center" vertical="center"/>
    </xf>
    <xf numFmtId="0" fontId="36" fillId="6" borderId="12" xfId="0" applyFont="1" applyFill="1" applyBorder="1" applyAlignment="1">
      <alignment horizontal="center"/>
    </xf>
    <xf numFmtId="0" fontId="36" fillId="6" borderId="16" xfId="0" applyFont="1" applyFill="1" applyBorder="1" applyAlignment="1">
      <alignment horizontal="center"/>
    </xf>
    <xf numFmtId="0" fontId="36" fillId="6" borderId="17" xfId="0" applyFont="1" applyFill="1" applyBorder="1" applyAlignment="1">
      <alignment horizontal="center"/>
    </xf>
    <xf numFmtId="0" fontId="3" fillId="14" borderId="70" xfId="0" applyFont="1" applyFill="1" applyBorder="1" applyAlignment="1">
      <alignment horizontal="center" vertical="center" wrapText="1"/>
    </xf>
    <xf numFmtId="0" fontId="3" fillId="14" borderId="67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43" fontId="3" fillId="5" borderId="25" xfId="1" applyFont="1" applyFill="1" applyBorder="1" applyAlignment="1">
      <alignment horizontal="center" vertical="center"/>
    </xf>
    <xf numFmtId="43" fontId="3" fillId="5" borderId="20" xfId="1" applyFont="1" applyFill="1" applyBorder="1" applyAlignment="1">
      <alignment horizontal="center" vertical="center"/>
    </xf>
    <xf numFmtId="0" fontId="10" fillId="17" borderId="12" xfId="1" applyNumberFormat="1" applyFont="1" applyFill="1" applyBorder="1" applyAlignment="1">
      <alignment horizontal="center"/>
    </xf>
    <xf numFmtId="0" fontId="10" fillId="17" borderId="16" xfId="1" applyNumberFormat="1" applyFont="1" applyFill="1" applyBorder="1" applyAlignment="1">
      <alignment horizontal="center"/>
    </xf>
    <xf numFmtId="169" fontId="3" fillId="15" borderId="69" xfId="1" applyNumberFormat="1" applyFont="1" applyFill="1" applyBorder="1" applyAlignment="1">
      <alignment horizontal="center" vertical="center"/>
    </xf>
    <xf numFmtId="169" fontId="3" fillId="15" borderId="44" xfId="1" applyNumberFormat="1" applyFont="1" applyFill="1" applyBorder="1" applyAlignment="1">
      <alignment horizontal="center" vertical="center"/>
    </xf>
    <xf numFmtId="169" fontId="3" fillId="16" borderId="69" xfId="0" applyNumberFormat="1" applyFont="1" applyFill="1" applyBorder="1" applyAlignment="1">
      <alignment horizontal="center" vertical="center"/>
    </xf>
    <xf numFmtId="169" fontId="3" fillId="16" borderId="44" xfId="0" applyNumberFormat="1" applyFont="1" applyFill="1" applyBorder="1" applyAlignment="1">
      <alignment horizontal="center" vertical="center"/>
    </xf>
    <xf numFmtId="0" fontId="3" fillId="14" borderId="68" xfId="0" applyFont="1" applyFill="1" applyBorder="1" applyAlignment="1">
      <alignment horizontal="center" vertical="center"/>
    </xf>
    <xf numFmtId="0" fontId="3" fillId="14" borderId="21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15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16" fillId="17" borderId="46" xfId="0" applyFont="1" applyFill="1" applyBorder="1" applyAlignment="1">
      <alignment horizontal="center"/>
    </xf>
    <xf numFmtId="0" fontId="16" fillId="17" borderId="18" xfId="0" applyFont="1" applyFill="1" applyBorder="1" applyAlignment="1">
      <alignment horizontal="center"/>
    </xf>
    <xf numFmtId="0" fontId="16" fillId="17" borderId="51" xfId="0" applyFont="1" applyFill="1" applyBorder="1" applyAlignment="1">
      <alignment horizontal="center"/>
    </xf>
    <xf numFmtId="0" fontId="3" fillId="5" borderId="23" xfId="0" applyFont="1" applyFill="1" applyBorder="1" applyAlignment="1">
      <alignment horizontal="center" vertical="center"/>
    </xf>
    <xf numFmtId="0" fontId="3" fillId="5" borderId="20" xfId="0" applyFont="1" applyFill="1" applyBorder="1" applyAlignment="1">
      <alignment horizontal="center" vertical="center"/>
    </xf>
    <xf numFmtId="0" fontId="3" fillId="15" borderId="39" xfId="0" applyFont="1" applyFill="1" applyBorder="1" applyAlignment="1">
      <alignment horizontal="center" vertical="center"/>
    </xf>
    <xf numFmtId="0" fontId="3" fillId="15" borderId="44" xfId="0" applyFont="1" applyFill="1" applyBorder="1" applyAlignment="1">
      <alignment horizontal="center" vertical="center"/>
    </xf>
    <xf numFmtId="0" fontId="3" fillId="16" borderId="39" xfId="0" applyFont="1" applyFill="1" applyBorder="1" applyAlignment="1">
      <alignment horizontal="center" vertical="center"/>
    </xf>
    <xf numFmtId="0" fontId="3" fillId="16" borderId="44" xfId="0" applyFont="1" applyFill="1" applyBorder="1" applyAlignment="1">
      <alignment horizontal="center" vertical="center"/>
    </xf>
    <xf numFmtId="0" fontId="3" fillId="14" borderId="70" xfId="0" applyFont="1" applyFill="1" applyBorder="1" applyAlignment="1">
      <alignment horizontal="center" vertical="center"/>
    </xf>
    <xf numFmtId="0" fontId="3" fillId="14" borderId="67" xfId="0" applyFont="1" applyFill="1" applyBorder="1" applyAlignment="1">
      <alignment horizontal="center" vertical="center"/>
    </xf>
    <xf numFmtId="43" fontId="41" fillId="10" borderId="0" xfId="1" applyFont="1" applyFill="1" applyBorder="1" applyAlignment="1">
      <alignment horizontal="center" vertical="center"/>
    </xf>
    <xf numFmtId="43" fontId="41" fillId="10" borderId="66" xfId="1" applyFont="1" applyFill="1" applyBorder="1" applyAlignment="1">
      <alignment horizontal="center" vertical="center"/>
    </xf>
    <xf numFmtId="43" fontId="41" fillId="10" borderId="63" xfId="1" applyFont="1" applyFill="1" applyBorder="1" applyAlignment="1">
      <alignment horizontal="center" vertical="center"/>
    </xf>
    <xf numFmtId="43" fontId="35" fillId="10" borderId="0" xfId="1" applyFont="1" applyFill="1" applyBorder="1" applyAlignment="1">
      <alignment horizontal="center" vertical="center"/>
    </xf>
    <xf numFmtId="43" fontId="35" fillId="10" borderId="66" xfId="1" applyFont="1" applyFill="1" applyBorder="1" applyAlignment="1">
      <alignment horizontal="center" vertical="center"/>
    </xf>
    <xf numFmtId="43" fontId="35" fillId="10" borderId="63" xfId="1" applyFont="1" applyFill="1" applyBorder="1" applyAlignment="1">
      <alignment horizontal="center" vertical="center"/>
    </xf>
    <xf numFmtId="43" fontId="39" fillId="11" borderId="0" xfId="1" applyFont="1" applyFill="1" applyBorder="1" applyAlignment="1">
      <alignment horizontal="center" vertical="center"/>
    </xf>
    <xf numFmtId="43" fontId="39" fillId="11" borderId="66" xfId="1" applyFont="1" applyFill="1" applyBorder="1" applyAlignment="1">
      <alignment horizontal="center" vertical="center"/>
    </xf>
    <xf numFmtId="43" fontId="39" fillId="11" borderId="63" xfId="1" applyFont="1" applyFill="1" applyBorder="1" applyAlignment="1">
      <alignment horizontal="center" vertical="center"/>
    </xf>
    <xf numFmtId="43" fontId="41" fillId="11" borderId="0" xfId="1" applyFont="1" applyFill="1" applyBorder="1" applyAlignment="1">
      <alignment horizontal="center" vertical="center"/>
    </xf>
    <xf numFmtId="43" fontId="41" fillId="11" borderId="63" xfId="1" applyFont="1" applyFill="1" applyBorder="1" applyAlignment="1">
      <alignment horizontal="center" vertical="center"/>
    </xf>
    <xf numFmtId="43" fontId="41" fillId="11" borderId="66" xfId="1" applyFont="1" applyFill="1" applyBorder="1" applyAlignment="1">
      <alignment horizontal="center" vertical="center"/>
    </xf>
    <xf numFmtId="169" fontId="3" fillId="5" borderId="25" xfId="1" applyNumberFormat="1" applyFont="1" applyFill="1" applyBorder="1" applyAlignment="1">
      <alignment horizontal="center" vertical="center"/>
    </xf>
    <xf numFmtId="169" fontId="3" fillId="5" borderId="20" xfId="1" applyNumberFormat="1" applyFont="1" applyFill="1" applyBorder="1" applyAlignment="1">
      <alignment horizontal="center" vertical="center"/>
    </xf>
    <xf numFmtId="0" fontId="3" fillId="14" borderId="15" xfId="0" applyFont="1" applyFill="1" applyBorder="1" applyAlignment="1">
      <alignment horizontal="center" vertical="center"/>
    </xf>
    <xf numFmtId="0" fontId="3" fillId="14" borderId="14" xfId="0" applyFont="1" applyFill="1" applyBorder="1" applyAlignment="1">
      <alignment horizontal="center" vertical="center"/>
    </xf>
    <xf numFmtId="0" fontId="12" fillId="0" borderId="39" xfId="0" applyFont="1" applyFill="1" applyBorder="1" applyAlignment="1">
      <alignment horizontal="center" vertical="center"/>
    </xf>
    <xf numFmtId="0" fontId="12" fillId="0" borderId="69" xfId="0" applyFont="1" applyFill="1" applyBorder="1" applyAlignment="1">
      <alignment horizontal="center" vertical="center"/>
    </xf>
    <xf numFmtId="0" fontId="12" fillId="0" borderId="44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63" xfId="0" applyBorder="1" applyAlignment="1"/>
    <xf numFmtId="0" fontId="16" fillId="8" borderId="10" xfId="0" applyFont="1" applyFill="1" applyBorder="1" applyAlignment="1">
      <alignment horizontal="center" vertical="center"/>
    </xf>
    <xf numFmtId="0" fontId="16" fillId="8" borderId="41" xfId="0" applyFont="1" applyFill="1" applyBorder="1" applyAlignment="1">
      <alignment horizontal="center" vertical="center"/>
    </xf>
    <xf numFmtId="0" fontId="10" fillId="5" borderId="42" xfId="0" applyFont="1" applyFill="1" applyBorder="1" applyAlignment="1">
      <alignment horizontal="center" vertical="center"/>
    </xf>
    <xf numFmtId="0" fontId="3" fillId="15" borderId="69" xfId="0" applyFont="1" applyFill="1" applyBorder="1" applyAlignment="1">
      <alignment horizontal="center" vertical="center" wrapText="1"/>
    </xf>
    <xf numFmtId="0" fontId="3" fillId="5" borderId="25" xfId="0" applyFont="1" applyFill="1" applyBorder="1" applyAlignment="1">
      <alignment horizontal="center" vertical="center" wrapText="1"/>
    </xf>
    <xf numFmtId="0" fontId="43" fillId="3" borderId="0" xfId="0" applyFont="1" applyFill="1" applyAlignment="1">
      <alignment horizontal="center" vertical="center"/>
    </xf>
    <xf numFmtId="0" fontId="3" fillId="14" borderId="42" xfId="0" applyFont="1" applyFill="1" applyBorder="1" applyAlignment="1">
      <alignment horizontal="center" vertical="center" wrapText="1"/>
    </xf>
    <xf numFmtId="0" fontId="16" fillId="6" borderId="5" xfId="0" applyFont="1" applyFill="1" applyBorder="1" applyAlignment="1">
      <alignment horizontal="center" vertical="center"/>
    </xf>
    <xf numFmtId="0" fontId="16" fillId="6" borderId="14" xfId="0" applyFont="1" applyFill="1" applyBorder="1" applyAlignment="1">
      <alignment horizontal="center" vertical="center"/>
    </xf>
    <xf numFmtId="0" fontId="0" fillId="10" borderId="12" xfId="0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0" fillId="10" borderId="17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0" borderId="38" xfId="0" applyFill="1" applyBorder="1" applyAlignment="1">
      <alignment horizontal="center"/>
    </xf>
    <xf numFmtId="0" fontId="0" fillId="10" borderId="47" xfId="0" applyFill="1" applyBorder="1" applyAlignment="1">
      <alignment horizontal="center"/>
    </xf>
    <xf numFmtId="0" fontId="14" fillId="0" borderId="33" xfId="0" applyFont="1" applyBorder="1" applyAlignment="1">
      <alignment horizontal="center" vertical="center" wrapText="1"/>
    </xf>
    <xf numFmtId="0" fontId="14" fillId="0" borderId="27" xfId="0" applyFont="1" applyBorder="1" applyAlignment="1">
      <alignment horizontal="center" vertical="center" wrapText="1"/>
    </xf>
    <xf numFmtId="0" fontId="14" fillId="10" borderId="16" xfId="0" applyFont="1" applyFill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6" fillId="8" borderId="11" xfId="0" applyFont="1" applyFill="1" applyBorder="1" applyAlignment="1">
      <alignment horizontal="center" vertical="center"/>
    </xf>
    <xf numFmtId="0" fontId="16" fillId="8" borderId="47" xfId="0" applyFont="1" applyFill="1" applyBorder="1" applyAlignment="1">
      <alignment horizontal="center" vertical="center"/>
    </xf>
    <xf numFmtId="0" fontId="16" fillId="8" borderId="13" xfId="0" applyFont="1" applyFill="1" applyBorder="1" applyAlignment="1">
      <alignment horizontal="center" vertical="center"/>
    </xf>
    <xf numFmtId="0" fontId="16" fillId="8" borderId="60" xfId="0" applyFont="1" applyFill="1" applyBorder="1" applyAlignment="1">
      <alignment horizontal="center" vertical="center"/>
    </xf>
    <xf numFmtId="0" fontId="0" fillId="10" borderId="43" xfId="0" applyFill="1" applyBorder="1" applyAlignment="1">
      <alignment horizontal="center"/>
    </xf>
    <xf numFmtId="0" fontId="0" fillId="10" borderId="74" xfId="0" applyFill="1" applyBorder="1" applyAlignment="1">
      <alignment horizontal="center"/>
    </xf>
    <xf numFmtId="0" fontId="0" fillId="10" borderId="109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0" fillId="9" borderId="47" xfId="0" applyFill="1" applyBorder="1" applyAlignment="1">
      <alignment horizontal="center"/>
    </xf>
    <xf numFmtId="0" fontId="0" fillId="0" borderId="42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10" fillId="17" borderId="51" xfId="0" applyFont="1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0" fillId="13" borderId="5" xfId="0" applyFont="1" applyFill="1" applyBorder="1" applyAlignment="1">
      <alignment horizontal="center" vertical="center"/>
    </xf>
    <xf numFmtId="0" fontId="10" fillId="13" borderId="14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 wrapText="1"/>
    </xf>
    <xf numFmtId="0" fontId="0" fillId="0" borderId="63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 wrapText="1"/>
    </xf>
    <xf numFmtId="0" fontId="0" fillId="0" borderId="17" xfId="0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45" fillId="3" borderId="0" xfId="0" applyFont="1" applyFill="1" applyAlignment="1">
      <alignment horizontal="center"/>
    </xf>
    <xf numFmtId="0" fontId="0" fillId="9" borderId="12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16" fillId="0" borderId="43" xfId="0" applyFont="1" applyBorder="1" applyAlignment="1">
      <alignment horizontal="center" vertical="center" wrapText="1"/>
    </xf>
    <xf numFmtId="0" fontId="16" fillId="0" borderId="50" xfId="0" applyFont="1" applyBorder="1" applyAlignment="1">
      <alignment horizontal="center" vertical="center" wrapText="1"/>
    </xf>
    <xf numFmtId="0" fontId="16" fillId="0" borderId="48" xfId="0" applyFont="1" applyBorder="1" applyAlignment="1">
      <alignment horizontal="center" vertical="center" wrapText="1"/>
    </xf>
    <xf numFmtId="0" fontId="16" fillId="0" borderId="49" xfId="0" applyFont="1" applyBorder="1" applyAlignment="1">
      <alignment horizontal="center" vertical="center" wrapText="1"/>
    </xf>
    <xf numFmtId="0" fontId="12" fillId="11" borderId="0" xfId="0" applyFont="1" applyFill="1" applyBorder="1" applyAlignment="1">
      <alignment horizontal="center" vertical="center"/>
    </xf>
    <xf numFmtId="0" fontId="16" fillId="0" borderId="53" xfId="0" applyFont="1" applyBorder="1" applyAlignment="1">
      <alignment horizontal="center" vertical="center" wrapText="1"/>
    </xf>
    <xf numFmtId="0" fontId="16" fillId="0" borderId="54" xfId="0" applyFont="1" applyBorder="1" applyAlignment="1">
      <alignment horizontal="center" vertical="center" wrapText="1"/>
    </xf>
    <xf numFmtId="0" fontId="16" fillId="0" borderId="59" xfId="0" applyFont="1" applyBorder="1" applyAlignment="1">
      <alignment horizontal="center" vertical="center" wrapText="1"/>
    </xf>
    <xf numFmtId="0" fontId="16" fillId="0" borderId="55" xfId="0" applyFont="1" applyBorder="1" applyAlignment="1">
      <alignment horizontal="center" vertical="center" wrapText="1"/>
    </xf>
    <xf numFmtId="0" fontId="16" fillId="0" borderId="52" xfId="0" applyFont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10" fillId="0" borderId="22" xfId="0" applyFont="1" applyFill="1" applyBorder="1" applyAlignment="1">
      <alignment horizontal="center" vertical="center"/>
    </xf>
    <xf numFmtId="0" fontId="10" fillId="0" borderId="56" xfId="0" applyFont="1" applyFill="1" applyBorder="1" applyAlignment="1">
      <alignment horizontal="center" vertical="center"/>
    </xf>
    <xf numFmtId="0" fontId="10" fillId="0" borderId="40" xfId="0" applyFont="1" applyFill="1" applyBorder="1" applyAlignment="1">
      <alignment horizontal="center" vertical="center"/>
    </xf>
    <xf numFmtId="0" fontId="10" fillId="0" borderId="9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0" fontId="16" fillId="8" borderId="38" xfId="0" applyFont="1" applyFill="1" applyBorder="1" applyAlignment="1">
      <alignment horizontal="center" vertical="center"/>
    </xf>
    <xf numFmtId="0" fontId="16" fillId="8" borderId="45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left"/>
    </xf>
    <xf numFmtId="0" fontId="10" fillId="0" borderId="6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7" xfId="0" applyBorder="1" applyAlignment="1">
      <alignment horizontal="center"/>
    </xf>
    <xf numFmtId="0" fontId="10" fillId="13" borderId="1" xfId="0" applyFont="1" applyFill="1" applyBorder="1" applyAlignment="1">
      <alignment horizontal="center" vertical="center"/>
    </xf>
    <xf numFmtId="0" fontId="10" fillId="22" borderId="81" xfId="0" applyFont="1" applyFill="1" applyBorder="1" applyAlignment="1">
      <alignment horizontal="center" vertical="center"/>
    </xf>
    <xf numFmtId="0" fontId="10" fillId="22" borderId="73" xfId="0" applyFont="1" applyFill="1" applyBorder="1" applyAlignment="1">
      <alignment horizontal="center" vertical="center"/>
    </xf>
    <xf numFmtId="0" fontId="10" fillId="22" borderId="82" xfId="0" applyFont="1" applyFill="1" applyBorder="1" applyAlignment="1">
      <alignment horizontal="center" vertical="center" wrapText="1"/>
    </xf>
    <xf numFmtId="0" fontId="10" fillId="22" borderId="83" xfId="0" applyFont="1" applyFill="1" applyBorder="1" applyAlignment="1">
      <alignment horizontal="center" vertical="center" wrapText="1"/>
    </xf>
    <xf numFmtId="10" fontId="10" fillId="22" borderId="5" xfId="4" applyNumberFormat="1" applyFont="1" applyFill="1" applyBorder="1" applyAlignment="1">
      <alignment horizontal="center" vertical="center" wrapText="1"/>
    </xf>
    <xf numFmtId="10" fontId="10" fillId="22" borderId="57" xfId="4" applyNumberFormat="1" applyFont="1" applyFill="1" applyBorder="1" applyAlignment="1">
      <alignment horizontal="center" vertical="center" wrapText="1"/>
    </xf>
    <xf numFmtId="0" fontId="10" fillId="22" borderId="53" xfId="0" applyFont="1" applyFill="1" applyBorder="1" applyAlignment="1">
      <alignment horizontal="center" vertical="center"/>
    </xf>
    <xf numFmtId="10" fontId="10" fillId="22" borderId="73" xfId="4" applyNumberFormat="1" applyFont="1" applyFill="1" applyBorder="1" applyAlignment="1">
      <alignment horizontal="center" vertical="center"/>
    </xf>
    <xf numFmtId="10" fontId="10" fillId="22" borderId="53" xfId="4" applyNumberFormat="1" applyFont="1" applyFill="1" applyBorder="1" applyAlignment="1">
      <alignment horizontal="center" vertical="center"/>
    </xf>
    <xf numFmtId="0" fontId="10" fillId="3" borderId="73" xfId="0" applyFont="1" applyFill="1" applyBorder="1" applyAlignment="1">
      <alignment horizontal="center" vertical="center"/>
    </xf>
    <xf numFmtId="0" fontId="10" fillId="3" borderId="12" xfId="0" applyFont="1" applyFill="1" applyBorder="1" applyAlignment="1">
      <alignment horizontal="center" vertical="center"/>
    </xf>
    <xf numFmtId="0" fontId="10" fillId="23" borderId="81" xfId="0" applyFont="1" applyFill="1" applyBorder="1" applyAlignment="1">
      <alignment horizontal="center" vertical="center"/>
    </xf>
    <xf numFmtId="0" fontId="10" fillId="23" borderId="73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 wrapText="1"/>
    </xf>
    <xf numFmtId="0" fontId="10" fillId="3" borderId="57" xfId="0" applyFont="1" applyFill="1" applyBorder="1" applyAlignment="1">
      <alignment horizontal="center" vertical="center" wrapText="1"/>
    </xf>
    <xf numFmtId="10" fontId="10" fillId="3" borderId="5" xfId="4" applyNumberFormat="1" applyFont="1" applyFill="1" applyBorder="1" applyAlignment="1">
      <alignment horizontal="center" vertical="center" wrapText="1"/>
    </xf>
    <xf numFmtId="10" fontId="10" fillId="3" borderId="57" xfId="4" applyNumberFormat="1" applyFont="1" applyFill="1" applyBorder="1" applyAlignment="1">
      <alignment horizontal="center" vertical="center" wrapText="1"/>
    </xf>
    <xf numFmtId="0" fontId="10" fillId="3" borderId="53" xfId="0" applyFont="1" applyFill="1" applyBorder="1" applyAlignment="1">
      <alignment horizontal="center" vertical="center"/>
    </xf>
    <xf numFmtId="10" fontId="10" fillId="3" borderId="12" xfId="4" applyNumberFormat="1" applyFont="1" applyFill="1" applyBorder="1" applyAlignment="1">
      <alignment horizontal="center" vertical="center"/>
    </xf>
    <xf numFmtId="10" fontId="10" fillId="3" borderId="43" xfId="4" applyNumberFormat="1" applyFont="1" applyFill="1" applyBorder="1" applyAlignment="1">
      <alignment horizontal="center" vertical="center"/>
    </xf>
    <xf numFmtId="0" fontId="10" fillId="23" borderId="82" xfId="0" applyFont="1" applyFill="1" applyBorder="1" applyAlignment="1">
      <alignment horizontal="center" vertical="center" wrapText="1"/>
    </xf>
    <xf numFmtId="0" fontId="10" fillId="23" borderId="83" xfId="0" applyFont="1" applyFill="1" applyBorder="1" applyAlignment="1">
      <alignment horizontal="center" vertical="center" wrapText="1"/>
    </xf>
    <xf numFmtId="10" fontId="10" fillId="23" borderId="5" xfId="4" applyNumberFormat="1" applyFont="1" applyFill="1" applyBorder="1" applyAlignment="1">
      <alignment horizontal="center" vertical="center" wrapText="1"/>
    </xf>
    <xf numFmtId="10" fontId="10" fillId="23" borderId="57" xfId="4" applyNumberFormat="1" applyFont="1" applyFill="1" applyBorder="1" applyAlignment="1">
      <alignment horizontal="center" vertical="center" wrapText="1"/>
    </xf>
    <xf numFmtId="0" fontId="10" fillId="23" borderId="53" xfId="0" applyFont="1" applyFill="1" applyBorder="1" applyAlignment="1">
      <alignment horizontal="center" vertical="center"/>
    </xf>
    <xf numFmtId="10" fontId="10" fillId="23" borderId="73" xfId="4" applyNumberFormat="1" applyFont="1" applyFill="1" applyBorder="1" applyAlignment="1">
      <alignment horizontal="center" vertical="center"/>
    </xf>
    <xf numFmtId="10" fontId="10" fillId="23" borderId="53" xfId="4" applyNumberFormat="1" applyFont="1" applyFill="1" applyBorder="1" applyAlignment="1">
      <alignment horizontal="center" vertical="center"/>
    </xf>
    <xf numFmtId="0" fontId="10" fillId="0" borderId="73" xfId="0" applyFont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 wrapText="1"/>
    </xf>
    <xf numFmtId="0" fontId="10" fillId="0" borderId="14" xfId="0" applyFont="1" applyFill="1" applyBorder="1" applyAlignment="1">
      <alignment horizontal="center" vertical="center" wrapText="1"/>
    </xf>
    <xf numFmtId="10" fontId="10" fillId="0" borderId="5" xfId="4" applyNumberFormat="1" applyFont="1" applyFill="1" applyBorder="1" applyAlignment="1">
      <alignment horizontal="center" vertical="center" wrapText="1"/>
    </xf>
    <xf numFmtId="10" fontId="10" fillId="0" borderId="14" xfId="4" applyNumberFormat="1" applyFont="1" applyFill="1" applyBorder="1" applyAlignment="1">
      <alignment horizontal="center" vertical="center" wrapText="1"/>
    </xf>
    <xf numFmtId="10" fontId="10" fillId="0" borderId="73" xfId="4" applyNumberFormat="1" applyFont="1" applyBorder="1" applyAlignment="1">
      <alignment horizontal="center" vertical="center"/>
    </xf>
    <xf numFmtId="0" fontId="10" fillId="23" borderId="5" xfId="0" applyFont="1" applyFill="1" applyBorder="1" applyAlignment="1">
      <alignment horizontal="center" vertical="center" wrapText="1"/>
    </xf>
    <xf numFmtId="0" fontId="10" fillId="23" borderId="14" xfId="0" applyFont="1" applyFill="1" applyBorder="1" applyAlignment="1">
      <alignment horizontal="center" vertical="center" wrapText="1"/>
    </xf>
    <xf numFmtId="10" fontId="10" fillId="23" borderId="14" xfId="4" applyNumberFormat="1" applyFont="1" applyFill="1" applyBorder="1" applyAlignment="1">
      <alignment horizontal="center" vertical="center" wrapText="1"/>
    </xf>
    <xf numFmtId="0" fontId="10" fillId="3" borderId="15" xfId="0" applyFont="1" applyFill="1" applyBorder="1" applyAlignment="1">
      <alignment horizontal="center" vertical="center" wrapText="1"/>
    </xf>
    <xf numFmtId="10" fontId="10" fillId="3" borderId="15" xfId="4" applyNumberFormat="1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10" fontId="10" fillId="3" borderId="73" xfId="4" applyNumberFormat="1" applyFont="1" applyFill="1" applyBorder="1" applyAlignment="1">
      <alignment horizontal="center" vertical="center"/>
    </xf>
    <xf numFmtId="10" fontId="10" fillId="3" borderId="5" xfId="4" applyNumberFormat="1" applyFont="1" applyFill="1" applyBorder="1" applyAlignment="1">
      <alignment horizontal="center" vertical="center"/>
    </xf>
    <xf numFmtId="0" fontId="10" fillId="22" borderId="5" xfId="0" applyFont="1" applyFill="1" applyBorder="1" applyAlignment="1">
      <alignment horizontal="center" vertical="center" wrapText="1"/>
    </xf>
    <xf numFmtId="0" fontId="10" fillId="22" borderId="14" xfId="0" applyFont="1" applyFill="1" applyBorder="1" applyAlignment="1">
      <alignment horizontal="center" vertical="center" wrapText="1"/>
    </xf>
    <xf numFmtId="10" fontId="10" fillId="22" borderId="14" xfId="4" applyNumberFormat="1" applyFont="1" applyFill="1" applyBorder="1" applyAlignment="1">
      <alignment horizontal="center" vertical="center" wrapText="1"/>
    </xf>
    <xf numFmtId="10" fontId="10" fillId="26" borderId="92" xfId="4" applyNumberFormat="1" applyFont="1" applyFill="1" applyBorder="1" applyAlignment="1">
      <alignment horizontal="center" vertical="center"/>
    </xf>
    <xf numFmtId="10" fontId="10" fillId="26" borderId="93" xfId="4" applyNumberFormat="1" applyFont="1" applyFill="1" applyBorder="1" applyAlignment="1">
      <alignment horizontal="center" vertical="center"/>
    </xf>
    <xf numFmtId="0" fontId="10" fillId="23" borderId="47" xfId="0" applyFont="1" applyFill="1" applyBorder="1" applyAlignment="1">
      <alignment horizontal="center" vertical="center" wrapText="1"/>
    </xf>
    <xf numFmtId="0" fontId="10" fillId="23" borderId="60" xfId="0" applyFont="1" applyFill="1" applyBorder="1" applyAlignment="1">
      <alignment horizontal="center" vertical="center" wrapText="1"/>
    </xf>
    <xf numFmtId="0" fontId="10" fillId="23" borderId="5" xfId="0" applyFont="1" applyFill="1" applyBorder="1" applyAlignment="1">
      <alignment horizontal="center" vertical="center"/>
    </xf>
    <xf numFmtId="0" fontId="10" fillId="23" borderId="14" xfId="0" applyFont="1" applyFill="1" applyBorder="1" applyAlignment="1">
      <alignment horizontal="center" vertical="center"/>
    </xf>
    <xf numFmtId="0" fontId="10" fillId="26" borderId="91" xfId="0" applyFont="1" applyFill="1" applyBorder="1" applyAlignment="1">
      <alignment horizontal="center" vertical="center"/>
    </xf>
    <xf numFmtId="0" fontId="10" fillId="26" borderId="73" xfId="0" applyFont="1" applyFill="1" applyBorder="1" applyAlignment="1">
      <alignment horizontal="center" vertical="center"/>
    </xf>
    <xf numFmtId="0" fontId="10" fillId="26" borderId="92" xfId="0" applyFont="1" applyFill="1" applyBorder="1" applyAlignment="1">
      <alignment horizontal="center" vertical="center"/>
    </xf>
    <xf numFmtId="0" fontId="10" fillId="26" borderId="82" xfId="0" applyFont="1" applyFill="1" applyBorder="1" applyAlignment="1">
      <alignment horizontal="center" vertical="center" wrapText="1"/>
    </xf>
    <xf numFmtId="0" fontId="10" fillId="26" borderId="83" xfId="0" applyFont="1" applyFill="1" applyBorder="1" applyAlignment="1">
      <alignment horizontal="center" vertical="center" wrapText="1"/>
    </xf>
    <xf numFmtId="10" fontId="10" fillId="26" borderId="5" xfId="4" applyNumberFormat="1" applyFont="1" applyFill="1" applyBorder="1" applyAlignment="1">
      <alignment horizontal="center" vertical="center" wrapText="1"/>
    </xf>
    <xf numFmtId="10" fontId="10" fillId="26" borderId="57" xfId="4" applyNumberFormat="1" applyFont="1" applyFill="1" applyBorder="1" applyAlignment="1">
      <alignment horizontal="center" vertical="center" wrapText="1"/>
    </xf>
    <xf numFmtId="0" fontId="10" fillId="26" borderId="53" xfId="0" applyFont="1" applyFill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0" fontId="10" fillId="0" borderId="5" xfId="4" applyNumberFormat="1" applyFont="1" applyBorder="1" applyAlignment="1">
      <alignment horizontal="center" vertical="center"/>
    </xf>
    <xf numFmtId="10" fontId="10" fillId="0" borderId="14" xfId="4" applyNumberFormat="1" applyFont="1" applyBorder="1" applyAlignment="1">
      <alignment horizontal="center" vertical="center"/>
    </xf>
    <xf numFmtId="0" fontId="10" fillId="0" borderId="38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10" fillId="0" borderId="63" xfId="0" applyFont="1" applyFill="1" applyBorder="1" applyAlignment="1">
      <alignment horizontal="center" vertical="center" wrapText="1"/>
    </xf>
    <xf numFmtId="0" fontId="10" fillId="23" borderId="86" xfId="0" applyFont="1" applyFill="1" applyBorder="1" applyAlignment="1">
      <alignment horizontal="center" vertical="center"/>
    </xf>
    <xf numFmtId="0" fontId="10" fillId="23" borderId="87" xfId="0" applyFont="1" applyFill="1" applyBorder="1" applyAlignment="1">
      <alignment horizontal="center" vertical="center"/>
    </xf>
    <xf numFmtId="10" fontId="10" fillId="23" borderId="47" xfId="4" applyNumberFormat="1" applyFont="1" applyFill="1" applyBorder="1" applyAlignment="1">
      <alignment horizontal="center" vertical="center" wrapText="1"/>
    </xf>
    <xf numFmtId="10" fontId="10" fillId="23" borderId="60" xfId="4" applyNumberFormat="1" applyFont="1" applyFill="1" applyBorder="1" applyAlignment="1">
      <alignment horizontal="center" vertical="center" wrapText="1"/>
    </xf>
    <xf numFmtId="10" fontId="10" fillId="23" borderId="12" xfId="4" applyNumberFormat="1" applyFont="1" applyFill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69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69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10" fillId="0" borderId="1" xfId="0" applyFont="1" applyFill="1" applyBorder="1" applyAlignment="1">
      <alignment horizontal="left" vertical="center"/>
    </xf>
    <xf numFmtId="0" fontId="10" fillId="0" borderId="7" xfId="0" applyFont="1" applyFill="1" applyBorder="1" applyAlignment="1">
      <alignment horizontal="left" vertical="center"/>
    </xf>
    <xf numFmtId="0" fontId="10" fillId="0" borderId="69" xfId="0" applyFont="1" applyFill="1" applyBorder="1" applyAlignment="1">
      <alignment horizontal="left" vertical="center"/>
    </xf>
    <xf numFmtId="0" fontId="10" fillId="0" borderId="4" xfId="0" applyFont="1" applyFill="1" applyBorder="1" applyAlignment="1">
      <alignment horizontal="left" vertical="center"/>
    </xf>
    <xf numFmtId="0" fontId="60" fillId="29" borderId="5" xfId="0" applyFont="1" applyFill="1" applyBorder="1" applyAlignment="1">
      <alignment horizontal="center"/>
    </xf>
    <xf numFmtId="0" fontId="60" fillId="29" borderId="107" xfId="0" applyFont="1" applyFill="1" applyBorder="1" applyAlignment="1">
      <alignment horizontal="center"/>
    </xf>
    <xf numFmtId="0" fontId="58" fillId="0" borderId="0" xfId="0" applyFont="1" applyAlignment="1">
      <alignment horizontal="center" wrapText="1"/>
    </xf>
    <xf numFmtId="0" fontId="59" fillId="0" borderId="63" xfId="0" applyFont="1" applyBorder="1" applyAlignment="1">
      <alignment horizontal="center" wrapText="1"/>
    </xf>
    <xf numFmtId="0" fontId="60" fillId="0" borderId="5" xfId="0" applyFont="1" applyBorder="1" applyAlignment="1">
      <alignment horizontal="center"/>
    </xf>
    <xf numFmtId="0" fontId="60" fillId="0" borderId="15" xfId="0" applyFont="1" applyBorder="1" applyAlignment="1">
      <alignment horizontal="center"/>
    </xf>
    <xf numFmtId="0" fontId="60" fillId="0" borderId="14" xfId="0" applyFont="1" applyBorder="1" applyAlignment="1">
      <alignment horizontal="center"/>
    </xf>
    <xf numFmtId="0" fontId="60" fillId="28" borderId="12" xfId="0" applyFont="1" applyFill="1" applyBorder="1" applyAlignment="1">
      <alignment horizontal="center"/>
    </xf>
    <xf numFmtId="0" fontId="60" fillId="28" borderId="16" xfId="0" applyFont="1" applyFill="1" applyBorder="1" applyAlignment="1">
      <alignment horizontal="center"/>
    </xf>
    <xf numFmtId="0" fontId="60" fillId="28" borderId="17" xfId="0" applyFont="1" applyFill="1" applyBorder="1" applyAlignment="1">
      <alignment horizontal="center"/>
    </xf>
    <xf numFmtId="0" fontId="60" fillId="29" borderId="12" xfId="0" applyFont="1" applyFill="1" applyBorder="1" applyAlignment="1">
      <alignment horizontal="center"/>
    </xf>
    <xf numFmtId="0" fontId="60" fillId="29" borderId="16" xfId="0" applyFont="1" applyFill="1" applyBorder="1" applyAlignment="1">
      <alignment horizontal="center"/>
    </xf>
    <xf numFmtId="0" fontId="60" fillId="29" borderId="17" xfId="0" applyFont="1" applyFill="1" applyBorder="1" applyAlignment="1">
      <alignment horizontal="center"/>
    </xf>
    <xf numFmtId="0" fontId="60" fillId="28" borderId="5" xfId="0" applyFont="1" applyFill="1" applyBorder="1" applyAlignment="1">
      <alignment horizontal="center" wrapText="1"/>
    </xf>
    <xf numFmtId="0" fontId="60" fillId="28" borderId="14" xfId="0" applyFont="1" applyFill="1" applyBorder="1" applyAlignment="1">
      <alignment horizontal="center" wrapText="1"/>
    </xf>
    <xf numFmtId="0" fontId="60" fillId="29" borderId="5" xfId="0" applyFont="1" applyFill="1" applyBorder="1" applyAlignment="1">
      <alignment horizontal="center" wrapText="1"/>
    </xf>
    <xf numFmtId="0" fontId="60" fillId="29" borderId="107" xfId="0" applyFont="1" applyFill="1" applyBorder="1" applyAlignment="1">
      <alignment horizontal="center" wrapText="1"/>
    </xf>
    <xf numFmtId="0" fontId="0" fillId="0" borderId="12" xfId="0" applyBorder="1"/>
    <xf numFmtId="0" fontId="0" fillId="0" borderId="17" xfId="0" applyBorder="1"/>
    <xf numFmtId="0" fontId="60" fillId="0" borderId="12" xfId="0" applyFont="1" applyBorder="1"/>
    <xf numFmtId="0" fontId="60" fillId="0" borderId="17" xfId="0" applyFont="1" applyBorder="1"/>
    <xf numFmtId="0" fontId="10" fillId="0" borderId="0" xfId="0" applyFont="1" applyAlignment="1">
      <alignment horizontal="center" vertical="center"/>
    </xf>
  </cellXfs>
  <cellStyles count="9">
    <cellStyle name="Accent3" xfId="5" builtinId="37"/>
    <cellStyle name="Bad" xfId="8" builtinId="27"/>
    <cellStyle name="Comma" xfId="1" builtinId="3"/>
    <cellStyle name="Currency" xfId="6" builtinId="4"/>
    <cellStyle name="Good" xfId="7" builtinId="26"/>
    <cellStyle name="Normal" xfId="0" builtinId="0"/>
    <cellStyle name="Normal 2" xfId="2"/>
    <cellStyle name="Normal_Sheet1_1" xfId="3"/>
    <cellStyle name="Percent" xfId="4" builtinId="5"/>
  </cellStyles>
  <dxfs count="25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CFFCC"/>
      <color rgb="FFCCFF6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4"/>
          <c:order val="0"/>
          <c:tx>
            <c:strRef>
              <c:f>DO!$D$14</c:f>
              <c:strCache>
                <c:ptCount val="1"/>
                <c:pt idx="0">
                  <c:v>Standard</c:v>
                </c:pt>
              </c:strCache>
            </c:strRef>
          </c:tx>
          <c:cat>
            <c:multiLvlStrRef>
              <c:f>DO!$E$8:$T$9</c:f>
              <c:multiLvlStrCache>
                <c:ptCount val="16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DO!$E$14:$T$14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</c:numCache>
            </c:numRef>
          </c:val>
        </c:ser>
        <c:ser>
          <c:idx val="5"/>
          <c:order val="1"/>
          <c:tx>
            <c:strRef>
              <c:f>DO!$D$15</c:f>
              <c:strCache>
                <c:ptCount val="1"/>
                <c:pt idx="0">
                  <c:v>Baliwag-Bustos Bridge</c:v>
                </c:pt>
              </c:strCache>
            </c:strRef>
          </c:tx>
          <c:cat>
            <c:multiLvlStrRef>
              <c:f>DO!$E$8:$T$9</c:f>
              <c:multiLvlStrCache>
                <c:ptCount val="16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DO!$E$15:$T$15</c:f>
              <c:numCache>
                <c:formatCode>0.00</c:formatCode>
                <c:ptCount val="16"/>
                <c:pt idx="0">
                  <c:v>6.3</c:v>
                </c:pt>
                <c:pt idx="1">
                  <c:v>6.5</c:v>
                </c:pt>
                <c:pt idx="2">
                  <c:v>8</c:v>
                </c:pt>
                <c:pt idx="3">
                  <c:v>5.69</c:v>
                </c:pt>
                <c:pt idx="4">
                  <c:v>6.5</c:v>
                </c:pt>
                <c:pt idx="5">
                  <c:v>4.4000000000000004</c:v>
                </c:pt>
                <c:pt idx="6">
                  <c:v>5.3</c:v>
                </c:pt>
                <c:pt idx="7">
                  <c:v>4.9000000000000004</c:v>
                </c:pt>
                <c:pt idx="8">
                  <c:v>5.2</c:v>
                </c:pt>
                <c:pt idx="9">
                  <c:v>5.8</c:v>
                </c:pt>
                <c:pt idx="10">
                  <c:v>5.8</c:v>
                </c:pt>
                <c:pt idx="11">
                  <c:v>4.7</c:v>
                </c:pt>
                <c:pt idx="12" formatCode="General">
                  <c:v>5.3</c:v>
                </c:pt>
                <c:pt idx="13" formatCode="General">
                  <c:v>4.2</c:v>
                </c:pt>
                <c:pt idx="14" formatCode="General">
                  <c:v>4.71</c:v>
                </c:pt>
                <c:pt idx="15" formatCode="General">
                  <c:v>3.84</c:v>
                </c:pt>
              </c:numCache>
            </c:numRef>
          </c:val>
        </c:ser>
        <c:ser>
          <c:idx val="6"/>
          <c:order val="2"/>
          <c:tx>
            <c:strRef>
              <c:f>DO!$D$16</c:f>
              <c:strCache>
                <c:ptCount val="1"/>
                <c:pt idx="0">
                  <c:v>Expressway Bridge</c:v>
                </c:pt>
              </c:strCache>
            </c:strRef>
          </c:tx>
          <c:cat>
            <c:multiLvlStrRef>
              <c:f>DO!$E$8:$T$9</c:f>
              <c:multiLvlStrCache>
                <c:ptCount val="16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DO!$E$16:$T$16</c:f>
              <c:numCache>
                <c:formatCode>0.00</c:formatCode>
                <c:ptCount val="16"/>
                <c:pt idx="0">
                  <c:v>6.13</c:v>
                </c:pt>
                <c:pt idx="1">
                  <c:v>6.1</c:v>
                </c:pt>
                <c:pt idx="2">
                  <c:v>5.5</c:v>
                </c:pt>
                <c:pt idx="3">
                  <c:v>4.7</c:v>
                </c:pt>
                <c:pt idx="4">
                  <c:v>6.7</c:v>
                </c:pt>
                <c:pt idx="5">
                  <c:v>3.7</c:v>
                </c:pt>
                <c:pt idx="6">
                  <c:v>4.3</c:v>
                </c:pt>
                <c:pt idx="7">
                  <c:v>5.2</c:v>
                </c:pt>
                <c:pt idx="8">
                  <c:v>5.3</c:v>
                </c:pt>
                <c:pt idx="9">
                  <c:v>3.1</c:v>
                </c:pt>
                <c:pt idx="10">
                  <c:v>3.8</c:v>
                </c:pt>
                <c:pt idx="11">
                  <c:v>4.0999999999999996</c:v>
                </c:pt>
                <c:pt idx="12" formatCode="General">
                  <c:v>3.92</c:v>
                </c:pt>
                <c:pt idx="13" formatCode="General">
                  <c:v>3.8</c:v>
                </c:pt>
                <c:pt idx="14" formatCode="General">
                  <c:v>3.01</c:v>
                </c:pt>
                <c:pt idx="15" formatCode="General">
                  <c:v>2.23</c:v>
                </c:pt>
              </c:numCache>
            </c:numRef>
          </c:val>
        </c:ser>
        <c:ser>
          <c:idx val="7"/>
          <c:order val="3"/>
          <c:tx>
            <c:strRef>
              <c:f>DO!$D$17</c:f>
              <c:strCache>
                <c:ptCount val="1"/>
                <c:pt idx="0">
                  <c:v>Labangan Bridge</c:v>
                </c:pt>
              </c:strCache>
            </c:strRef>
          </c:tx>
          <c:cat>
            <c:multiLvlStrRef>
              <c:f>DO!$E$8:$T$9</c:f>
              <c:multiLvlStrCache>
                <c:ptCount val="16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DO!$E$17:$T$17</c:f>
              <c:numCache>
                <c:formatCode>0.00</c:formatCode>
                <c:ptCount val="16"/>
                <c:pt idx="0">
                  <c:v>5.83</c:v>
                </c:pt>
                <c:pt idx="1">
                  <c:v>5.4</c:v>
                </c:pt>
                <c:pt idx="2">
                  <c:v>7.3</c:v>
                </c:pt>
                <c:pt idx="3">
                  <c:v>6.95</c:v>
                </c:pt>
                <c:pt idx="4">
                  <c:v>5.4</c:v>
                </c:pt>
                <c:pt idx="5">
                  <c:v>4.8</c:v>
                </c:pt>
                <c:pt idx="6">
                  <c:v>3.4</c:v>
                </c:pt>
                <c:pt idx="7">
                  <c:v>4.5</c:v>
                </c:pt>
                <c:pt idx="8">
                  <c:v>5.0999999999999996</c:v>
                </c:pt>
                <c:pt idx="9">
                  <c:v>2.8</c:v>
                </c:pt>
                <c:pt idx="10">
                  <c:v>4.8</c:v>
                </c:pt>
                <c:pt idx="11">
                  <c:v>3.5</c:v>
                </c:pt>
                <c:pt idx="12" formatCode="General">
                  <c:v>3.94</c:v>
                </c:pt>
                <c:pt idx="13" formatCode="General">
                  <c:v>3.4</c:v>
                </c:pt>
                <c:pt idx="14" formatCode="General">
                  <c:v>3</c:v>
                </c:pt>
                <c:pt idx="15" formatCode="General">
                  <c:v>3.87</c:v>
                </c:pt>
              </c:numCache>
            </c:numRef>
          </c:val>
        </c:ser>
        <c:ser>
          <c:idx val="8"/>
          <c:order val="4"/>
          <c:tx>
            <c:strRef>
              <c:f>DO!$D$18</c:f>
              <c:strCache>
                <c:ptCount val="1"/>
                <c:pt idx="0">
                  <c:v>Pulilan-Plaridel Bridge</c:v>
                </c:pt>
              </c:strCache>
            </c:strRef>
          </c:tx>
          <c:cat>
            <c:multiLvlStrRef>
              <c:f>DO!$E$8:$T$9</c:f>
              <c:multiLvlStrCache>
                <c:ptCount val="16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DO!$E$18:$T$18</c:f>
              <c:numCache>
                <c:formatCode>0.00</c:formatCode>
                <c:ptCount val="16"/>
                <c:pt idx="0">
                  <c:v>6.23</c:v>
                </c:pt>
                <c:pt idx="1">
                  <c:v>6.2</c:v>
                </c:pt>
                <c:pt idx="2">
                  <c:v>7.4</c:v>
                </c:pt>
                <c:pt idx="3">
                  <c:v>4.08</c:v>
                </c:pt>
                <c:pt idx="4">
                  <c:v>4.29</c:v>
                </c:pt>
                <c:pt idx="5">
                  <c:v>4.7</c:v>
                </c:pt>
                <c:pt idx="6">
                  <c:v>5.0999999999999996</c:v>
                </c:pt>
                <c:pt idx="7">
                  <c:v>5.0999999999999996</c:v>
                </c:pt>
                <c:pt idx="8">
                  <c:v>3.6</c:v>
                </c:pt>
                <c:pt idx="9">
                  <c:v>3.6</c:v>
                </c:pt>
                <c:pt idx="10">
                  <c:v>4.2</c:v>
                </c:pt>
                <c:pt idx="11">
                  <c:v>4.2</c:v>
                </c:pt>
                <c:pt idx="12" formatCode="General">
                  <c:v>4.53</c:v>
                </c:pt>
                <c:pt idx="13" formatCode="General">
                  <c:v>4.0999999999999996</c:v>
                </c:pt>
                <c:pt idx="14" formatCode="General">
                  <c:v>2.58</c:v>
                </c:pt>
                <c:pt idx="15" formatCode="General">
                  <c:v>1.56</c:v>
                </c:pt>
              </c:numCache>
            </c:numRef>
          </c:val>
        </c:ser>
        <c:marker val="1"/>
        <c:axId val="73885952"/>
        <c:axId val="73896704"/>
      </c:lineChart>
      <c:catAx>
        <c:axId val="738859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PH"/>
                  <a:t>Period</a:t>
                </a:r>
              </a:p>
            </c:rich>
          </c:tx>
        </c:title>
        <c:numFmt formatCode="General" sourceLinked="0"/>
        <c:majorTickMark val="none"/>
        <c:tickLblPos val="nextTo"/>
        <c:crossAx val="73896704"/>
        <c:crosses val="autoZero"/>
        <c:lblAlgn val="ctr"/>
        <c:lblOffset val="100"/>
      </c:catAx>
      <c:valAx>
        <c:axId val="7389670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PH"/>
                  <a:t>DO Concentrations mg/L</a:t>
                </a:r>
              </a:p>
            </c:rich>
          </c:tx>
        </c:title>
        <c:numFmt formatCode="General" sourceLinked="1"/>
        <c:tickLblPos val="nextTo"/>
        <c:crossAx val="73885952"/>
        <c:crosses val="autoZero"/>
        <c:crossBetween val="between"/>
      </c:valAx>
    </c:plotArea>
    <c:legend>
      <c:legendPos val="t"/>
    </c:legend>
    <c:plotVisOnly val="1"/>
    <c:dispBlanksAs val="gap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2"/>
  <c:chart>
    <c:plotArea>
      <c:layout/>
      <c:lineChart>
        <c:grouping val="standard"/>
        <c:ser>
          <c:idx val="0"/>
          <c:order val="0"/>
          <c:tx>
            <c:strRef>
              <c:f>BOD!$C$12</c:f>
              <c:strCache>
                <c:ptCount val="1"/>
                <c:pt idx="0">
                  <c:v>Standard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cat>
            <c:multiLvlStrRef>
              <c:f>BOD!$L$8:$S$9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BOD!$L$12:$S$12</c:f>
              <c:numCache>
                <c:formatCode>General</c:formatCode>
                <c:ptCount val="8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</c:numCache>
            </c:numRef>
          </c:val>
        </c:ser>
        <c:ser>
          <c:idx val="1"/>
          <c:order val="1"/>
          <c:tx>
            <c:strRef>
              <c:f>BOD!$C$69</c:f>
              <c:strCache>
                <c:ptCount val="1"/>
                <c:pt idx="0">
                  <c:v>Coloong Creek</c:v>
                </c:pt>
              </c:strCache>
            </c:strRef>
          </c:tx>
          <c:cat>
            <c:multiLvlStrRef>
              <c:f>BOD!$L$8:$S$9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BOD!$L$69:$P$69</c:f>
              <c:numCache>
                <c:formatCode>_(* #,##0_);_(* \(#,##0\);_(* "-"??_);_(@_)</c:formatCode>
                <c:ptCount val="5"/>
                <c:pt idx="0">
                  <c:v>22</c:v>
                </c:pt>
                <c:pt idx="1">
                  <c:v>63</c:v>
                </c:pt>
                <c:pt idx="2" formatCode="0.00">
                  <c:v>19</c:v>
                </c:pt>
                <c:pt idx="4" formatCode="0.00">
                  <c:v>11.67</c:v>
                </c:pt>
              </c:numCache>
            </c:numRef>
          </c:val>
        </c:ser>
        <c:ser>
          <c:idx val="2"/>
          <c:order val="2"/>
          <c:tx>
            <c:strRef>
              <c:f>BOD!$C$70</c:f>
              <c:strCache>
                <c:ptCount val="1"/>
                <c:pt idx="0">
                  <c:v>Lingunan (Canuma Creek)</c:v>
                </c:pt>
              </c:strCache>
            </c:strRef>
          </c:tx>
          <c:cat>
            <c:multiLvlStrRef>
              <c:f>BOD!$L$8:$S$9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BOD!$L$70:$P$70</c:f>
              <c:numCache>
                <c:formatCode>_(* #,##0_);_(* \(#,##0\);_(* "-"??_);_(@_)</c:formatCode>
                <c:ptCount val="5"/>
                <c:pt idx="1">
                  <c:v>121</c:v>
                </c:pt>
                <c:pt idx="2" formatCode="0.00">
                  <c:v>36</c:v>
                </c:pt>
                <c:pt idx="4" formatCode="0.00">
                  <c:v>180</c:v>
                </c:pt>
              </c:numCache>
            </c:numRef>
          </c:val>
        </c:ser>
        <c:ser>
          <c:idx val="3"/>
          <c:order val="3"/>
          <c:tx>
            <c:strRef>
              <c:f>BOD!$C$71</c:f>
              <c:strCache>
                <c:ptCount val="1"/>
                <c:pt idx="0">
                  <c:v>Maysilo River</c:v>
                </c:pt>
              </c:strCache>
            </c:strRef>
          </c:tx>
          <c:cat>
            <c:multiLvlStrRef>
              <c:f>BOD!$L$8:$S$9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BOD!$L$71:$P$71</c:f>
              <c:numCache>
                <c:formatCode>_(* #,##0_);_(* \(#,##0\);_(* "-"??_);_(@_)</c:formatCode>
                <c:ptCount val="5"/>
                <c:pt idx="0">
                  <c:v>50.67</c:v>
                </c:pt>
                <c:pt idx="1">
                  <c:v>23</c:v>
                </c:pt>
                <c:pt idx="2" formatCode="General">
                  <c:v>23.33</c:v>
                </c:pt>
                <c:pt idx="4" formatCode="0.00">
                  <c:v>27.67</c:v>
                </c:pt>
              </c:numCache>
            </c:numRef>
          </c:val>
        </c:ser>
        <c:ser>
          <c:idx val="4"/>
          <c:order val="4"/>
          <c:tx>
            <c:strRef>
              <c:f>BOD!$C$72</c:f>
              <c:strCache>
                <c:ptCount val="1"/>
                <c:pt idx="0">
                  <c:v>Meycauayan River</c:v>
                </c:pt>
              </c:strCache>
            </c:strRef>
          </c:tx>
          <c:cat>
            <c:multiLvlStrRef>
              <c:f>BOD!$L$8:$S$9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BOD!$L$72:$P$72</c:f>
              <c:numCache>
                <c:formatCode>_(* #,##0_);_(* \(#,##0\);_(* "-"??_);_(@_)</c:formatCode>
                <c:ptCount val="5"/>
                <c:pt idx="0">
                  <c:v>55.33</c:v>
                </c:pt>
                <c:pt idx="1">
                  <c:v>25</c:v>
                </c:pt>
                <c:pt idx="2" formatCode="General">
                  <c:v>32</c:v>
                </c:pt>
                <c:pt idx="4" formatCode="0.00">
                  <c:v>94</c:v>
                </c:pt>
              </c:numCache>
            </c:numRef>
          </c:val>
        </c:ser>
        <c:ser>
          <c:idx val="5"/>
          <c:order val="5"/>
          <c:tx>
            <c:strRef>
              <c:f>BOD!$C$73</c:f>
              <c:strCache>
                <c:ptCount val="1"/>
                <c:pt idx="0">
                  <c:v>Polo Creek</c:v>
                </c:pt>
              </c:strCache>
            </c:strRef>
          </c:tx>
          <c:cat>
            <c:multiLvlStrRef>
              <c:f>BOD!$L$8:$S$9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BOD!$L$73:$P$73</c:f>
              <c:numCache>
                <c:formatCode>_(* #,##0_);_(* \(#,##0\);_(* "-"??_);_(@_)</c:formatCode>
                <c:ptCount val="5"/>
                <c:pt idx="0">
                  <c:v>28.67</c:v>
                </c:pt>
                <c:pt idx="1">
                  <c:v>42</c:v>
                </c:pt>
                <c:pt idx="2" formatCode="General">
                  <c:v>18.670000000000002</c:v>
                </c:pt>
                <c:pt idx="4" formatCode="0.00">
                  <c:v>14.67</c:v>
                </c:pt>
              </c:numCache>
            </c:numRef>
          </c:val>
        </c:ser>
        <c:ser>
          <c:idx val="6"/>
          <c:order val="6"/>
          <c:tx>
            <c:strRef>
              <c:f>BOD!$C$74</c:f>
              <c:strCache>
                <c:ptCount val="1"/>
                <c:pt idx="0">
                  <c:v>Polo River</c:v>
                </c:pt>
              </c:strCache>
            </c:strRef>
          </c:tx>
          <c:cat>
            <c:multiLvlStrRef>
              <c:f>BOD!$L$8:$S$9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BOD!$L$74:$P$74</c:f>
              <c:numCache>
                <c:formatCode>_(* #,##0_);_(* \(#,##0\);_(* "-"??_);_(@_)</c:formatCode>
                <c:ptCount val="5"/>
                <c:pt idx="0">
                  <c:v>20.329999999999998</c:v>
                </c:pt>
                <c:pt idx="1">
                  <c:v>28</c:v>
                </c:pt>
                <c:pt idx="2" formatCode="General">
                  <c:v>15.33</c:v>
                </c:pt>
                <c:pt idx="4" formatCode="0.00">
                  <c:v>26</c:v>
                </c:pt>
              </c:numCache>
            </c:numRef>
          </c:val>
        </c:ser>
        <c:ser>
          <c:idx val="7"/>
          <c:order val="7"/>
          <c:tx>
            <c:strRef>
              <c:f>BOD!$C$75</c:f>
              <c:strCache>
                <c:ptCount val="1"/>
                <c:pt idx="0">
                  <c:v>Pugad Baboy Creek</c:v>
                </c:pt>
              </c:strCache>
            </c:strRef>
          </c:tx>
          <c:cat>
            <c:multiLvlStrRef>
              <c:f>BOD!$L$8:$S$9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BOD!$L$75:$P$75</c:f>
              <c:numCache>
                <c:formatCode>_(* #,##0_);_(* \(#,##0\);_(* "-"??_);_(@_)</c:formatCode>
                <c:ptCount val="5"/>
                <c:pt idx="0">
                  <c:v>97.33</c:v>
                </c:pt>
                <c:pt idx="1">
                  <c:v>95</c:v>
                </c:pt>
                <c:pt idx="2" formatCode="General">
                  <c:v>37.33</c:v>
                </c:pt>
                <c:pt idx="4" formatCode="0.00">
                  <c:v>105.33</c:v>
                </c:pt>
              </c:numCache>
            </c:numRef>
          </c:val>
        </c:ser>
        <c:dropLines/>
        <c:marker val="1"/>
        <c:axId val="76614272"/>
        <c:axId val="76624640"/>
      </c:lineChart>
      <c:catAx>
        <c:axId val="766142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lang="en-PH"/>
                </a:pPr>
                <a:r>
                  <a:rPr lang="en-US"/>
                  <a:t>Period</a:t>
                </a:r>
              </a:p>
            </c:rich>
          </c:tx>
        </c:title>
        <c:numFmt formatCode="General" sourceLinked="0"/>
        <c:majorTickMark val="none"/>
        <c:tickLblPos val="nextTo"/>
        <c:txPr>
          <a:bodyPr/>
          <a:lstStyle/>
          <a:p>
            <a:pPr>
              <a:defRPr lang="en-PH"/>
            </a:pPr>
            <a:endParaRPr lang="en-US"/>
          </a:p>
        </c:txPr>
        <c:crossAx val="76624640"/>
        <c:crosses val="autoZero"/>
        <c:auto val="1"/>
        <c:lblAlgn val="ctr"/>
        <c:lblOffset val="100"/>
      </c:catAx>
      <c:valAx>
        <c:axId val="7662464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 lang="en-PH"/>
                </a:pPr>
                <a:r>
                  <a:rPr lang="en-US"/>
                  <a:t>BOD Concentration mg/L</a:t>
                </a:r>
              </a:p>
            </c:rich>
          </c:tx>
        </c:title>
        <c:numFmt formatCode="General" sourceLinked="1"/>
        <c:tickLblPos val="nextTo"/>
        <c:txPr>
          <a:bodyPr/>
          <a:lstStyle/>
          <a:p>
            <a:pPr>
              <a:defRPr lang="en-PH"/>
            </a:pPr>
            <a:endParaRPr lang="en-US"/>
          </a:p>
        </c:txPr>
        <c:crossAx val="76614272"/>
        <c:crosses val="autoZero"/>
        <c:crossBetween val="between"/>
      </c:valAx>
      <c:spPr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c:spPr>
    </c:plotArea>
    <c:legend>
      <c:legendPos val="r"/>
      <c:legendEntry>
        <c:idx val="0"/>
        <c:txPr>
          <a:bodyPr/>
          <a:lstStyle/>
          <a:p>
            <a:pPr>
              <a:defRPr b="1"/>
            </a:pPr>
            <a:endParaRPr lang="en-US"/>
          </a:p>
        </c:txPr>
      </c:legendEntry>
      <c:layout>
        <c:manualLayout>
          <c:xMode val="edge"/>
          <c:yMode val="edge"/>
          <c:x val="0.67603157250308676"/>
          <c:y val="0.10694956125416208"/>
          <c:w val="0.29828989641598797"/>
          <c:h val="0.84486654030254549"/>
        </c:manualLayout>
      </c:layout>
      <c:txPr>
        <a:bodyPr/>
        <a:lstStyle/>
        <a:p>
          <a:pPr>
            <a:defRPr lang="en-PH"/>
          </a:pPr>
          <a:endParaRPr lang="en-US"/>
        </a:p>
      </c:txPr>
    </c:legend>
    <c:plotVisOnly val="1"/>
    <c:dispBlanksAs val="gap"/>
  </c:chart>
  <c:spPr>
    <a:solidFill>
      <a:schemeClr val="bg1">
        <a:lumMod val="65000"/>
      </a:schemeClr>
    </a:solidFill>
    <a:ln>
      <a:noFill/>
    </a:ln>
    <a:effectLst>
      <a:outerShdw blurRad="40000" dist="23000" dir="5400000" rotWithShape="0">
        <a:srgbClr val="000000">
          <a:alpha val="35000"/>
        </a:srgbClr>
      </a:outerShdw>
    </a:effectLst>
    <a:scene3d>
      <a:camera prst="orthographicFront">
        <a:rot lat="0" lon="0" rev="0"/>
      </a:camera>
      <a:lightRig rig="threePt" dir="t">
        <a:rot lat="0" lon="0" rev="1200000"/>
      </a:lightRig>
    </a:scene3d>
    <a:sp3d>
      <a:bevelT w="63500" h="25400"/>
    </a:sp3d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0977" l="0.70000000000000062" r="0.70000000000000062" t="0.75000000000000977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2"/>
  <c:chart>
    <c:plotArea>
      <c:layout/>
      <c:lineChart>
        <c:grouping val="standard"/>
        <c:ser>
          <c:idx val="4"/>
          <c:order val="0"/>
          <c:tx>
            <c:v>Standard Higher</c:v>
          </c:tx>
          <c:cat>
            <c:multiLvlStrRef>
              <c:f>pH!$L$8:$S$9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pH!$L$11:$S$11</c:f>
              <c:numCache>
                <c:formatCode>General</c:formatCode>
                <c:ptCount val="8"/>
                <c:pt idx="0">
                  <c:v>8.5</c:v>
                </c:pt>
                <c:pt idx="1">
                  <c:v>8.5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8.5</c:v>
                </c:pt>
              </c:numCache>
            </c:numRef>
          </c:val>
        </c:ser>
        <c:ser>
          <c:idx val="3"/>
          <c:order val="1"/>
          <c:tx>
            <c:v>Standard Lower</c:v>
          </c:tx>
          <c:cat>
            <c:multiLvlStrRef>
              <c:f>pH!$L$8:$S$9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pH!$L$10:$S$10</c:f>
              <c:numCache>
                <c:formatCode>General</c:formatCode>
                <c:ptCount val="8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</c:numCache>
            </c:numRef>
          </c:val>
        </c:ser>
        <c:ser>
          <c:idx val="0"/>
          <c:order val="2"/>
          <c:tx>
            <c:strRef>
              <c:f>pH!$C$75</c:f>
              <c:strCache>
                <c:ptCount val="1"/>
                <c:pt idx="0">
                  <c:v>Bangkulasi Creek</c:v>
                </c:pt>
              </c:strCache>
            </c:strRef>
          </c:tx>
          <c:cat>
            <c:multiLvlStrRef>
              <c:f>pH!$L$8:$S$9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pH!$L$75:$P$75</c:f>
              <c:numCache>
                <c:formatCode>0.00</c:formatCode>
                <c:ptCount val="5"/>
                <c:pt idx="2">
                  <c:v>9.6</c:v>
                </c:pt>
                <c:pt idx="4">
                  <c:v>6.69</c:v>
                </c:pt>
              </c:numCache>
            </c:numRef>
          </c:val>
        </c:ser>
        <c:ser>
          <c:idx val="1"/>
          <c:order val="3"/>
          <c:tx>
            <c:strRef>
              <c:f>pH!$C$76</c:f>
              <c:strCache>
                <c:ptCount val="1"/>
                <c:pt idx="0">
                  <c:v>Bangkulasi River</c:v>
                </c:pt>
              </c:strCache>
            </c:strRef>
          </c:tx>
          <c:cat>
            <c:multiLvlStrRef>
              <c:f>pH!$L$8:$S$9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pH!$L$76:$P$76</c:f>
              <c:numCache>
                <c:formatCode>0.00</c:formatCode>
                <c:ptCount val="5"/>
                <c:pt idx="2">
                  <c:v>9.0299999999999994</c:v>
                </c:pt>
                <c:pt idx="4">
                  <c:v>6.85</c:v>
                </c:pt>
              </c:numCache>
            </c:numRef>
          </c:val>
        </c:ser>
        <c:ser>
          <c:idx val="2"/>
          <c:order val="4"/>
          <c:tx>
            <c:strRef>
              <c:f>pH!$C$77</c:f>
              <c:strCache>
                <c:ptCount val="1"/>
                <c:pt idx="0">
                  <c:v>Fairview Station</c:v>
                </c:pt>
              </c:strCache>
            </c:strRef>
          </c:tx>
          <c:cat>
            <c:multiLvlStrRef>
              <c:f>pH!$L$8:$S$9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pH!$L$77:$P$77</c:f>
              <c:numCache>
                <c:formatCode>0.00</c:formatCode>
                <c:ptCount val="5"/>
                <c:pt idx="2">
                  <c:v>9.1300000000000008</c:v>
                </c:pt>
                <c:pt idx="4">
                  <c:v>7.21</c:v>
                </c:pt>
              </c:numCache>
            </c:numRef>
          </c:val>
        </c:ser>
        <c:ser>
          <c:idx val="5"/>
          <c:order val="5"/>
          <c:tx>
            <c:strRef>
              <c:f>pH!$C$78</c:f>
              <c:strCache>
                <c:ptCount val="1"/>
                <c:pt idx="0">
                  <c:v>Gov. Pascual</c:v>
                </c:pt>
              </c:strCache>
            </c:strRef>
          </c:tx>
          <c:cat>
            <c:multiLvlStrRef>
              <c:f>pH!$L$8:$S$9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pH!$L$78:$P$78</c:f>
              <c:numCache>
                <c:formatCode>0.00</c:formatCode>
                <c:ptCount val="5"/>
                <c:pt idx="2">
                  <c:v>10</c:v>
                </c:pt>
                <c:pt idx="4">
                  <c:v>6.98</c:v>
                </c:pt>
              </c:numCache>
            </c:numRef>
          </c:val>
        </c:ser>
        <c:ser>
          <c:idx val="6"/>
          <c:order val="6"/>
          <c:tx>
            <c:strRef>
              <c:f>pH!$C$79</c:f>
              <c:strCache>
                <c:ptCount val="1"/>
                <c:pt idx="0">
                  <c:v>Gulod</c:v>
                </c:pt>
              </c:strCache>
            </c:strRef>
          </c:tx>
          <c:cat>
            <c:multiLvlStrRef>
              <c:f>pH!$L$8:$S$9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pH!$L$79:$P$79</c:f>
              <c:numCache>
                <c:formatCode>0.00</c:formatCode>
                <c:ptCount val="5"/>
                <c:pt idx="2">
                  <c:v>10.3</c:v>
                </c:pt>
                <c:pt idx="4">
                  <c:v>7.23</c:v>
                </c:pt>
              </c:numCache>
            </c:numRef>
          </c:val>
        </c:ser>
        <c:ser>
          <c:idx val="7"/>
          <c:order val="7"/>
          <c:tx>
            <c:strRef>
              <c:f>pH!$C$80</c:f>
              <c:strCache>
                <c:ptCount val="1"/>
                <c:pt idx="0">
                  <c:v>Longos</c:v>
                </c:pt>
              </c:strCache>
            </c:strRef>
          </c:tx>
          <c:cat>
            <c:multiLvlStrRef>
              <c:f>pH!$L$8:$S$9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pH!$L$80:$P$80</c:f>
              <c:numCache>
                <c:formatCode>0.00</c:formatCode>
                <c:ptCount val="5"/>
                <c:pt idx="2">
                  <c:v>9.4700000000000006</c:v>
                </c:pt>
                <c:pt idx="4">
                  <c:v>6.83</c:v>
                </c:pt>
              </c:numCache>
            </c:numRef>
          </c:val>
        </c:ser>
        <c:ser>
          <c:idx val="8"/>
          <c:order val="8"/>
          <c:tx>
            <c:strRef>
              <c:f>pH!$C$81</c:f>
              <c:strCache>
                <c:ptCount val="1"/>
                <c:pt idx="0">
                  <c:v>McArthur</c:v>
                </c:pt>
              </c:strCache>
            </c:strRef>
          </c:tx>
          <c:cat>
            <c:multiLvlStrRef>
              <c:f>pH!$L$8:$S$9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pH!$L$81:$P$81</c:f>
              <c:numCache>
                <c:formatCode>0.00</c:formatCode>
                <c:ptCount val="5"/>
                <c:pt idx="2">
                  <c:v>10.5</c:v>
                </c:pt>
                <c:pt idx="4">
                  <c:v>7.37</c:v>
                </c:pt>
              </c:numCache>
            </c:numRef>
          </c:val>
        </c:ser>
        <c:ser>
          <c:idx val="9"/>
          <c:order val="9"/>
          <c:tx>
            <c:strRef>
              <c:f>pH!$C$82</c:f>
              <c:strCache>
                <c:ptCount val="1"/>
                <c:pt idx="0">
                  <c:v>N. Expressway Station</c:v>
                </c:pt>
              </c:strCache>
            </c:strRef>
          </c:tx>
          <c:cat>
            <c:multiLvlStrRef>
              <c:f>pH!$L$8:$S$9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pH!$L$82:$P$82</c:f>
              <c:numCache>
                <c:formatCode>0.00</c:formatCode>
                <c:ptCount val="5"/>
                <c:pt idx="2">
                  <c:v>10.33</c:v>
                </c:pt>
                <c:pt idx="4">
                  <c:v>7.1</c:v>
                </c:pt>
              </c:numCache>
            </c:numRef>
          </c:val>
        </c:ser>
        <c:ser>
          <c:idx val="10"/>
          <c:order val="10"/>
          <c:tx>
            <c:strRef>
              <c:f>pH!$C$83</c:f>
              <c:strCache>
                <c:ptCount val="1"/>
                <c:pt idx="0">
                  <c:v>Tañong</c:v>
                </c:pt>
              </c:strCache>
            </c:strRef>
          </c:tx>
          <c:cat>
            <c:multiLvlStrRef>
              <c:f>pH!$L$8:$S$9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pH!$L$83:$P$83</c:f>
              <c:numCache>
                <c:formatCode>0.00</c:formatCode>
                <c:ptCount val="5"/>
                <c:pt idx="2">
                  <c:v>9.73</c:v>
                </c:pt>
                <c:pt idx="4">
                  <c:v>6.88</c:v>
                </c:pt>
              </c:numCache>
            </c:numRef>
          </c:val>
        </c:ser>
        <c:dropLines/>
        <c:marker val="1"/>
        <c:axId val="77228672"/>
        <c:axId val="77234944"/>
      </c:lineChart>
      <c:catAx>
        <c:axId val="772286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lang="en-PH"/>
                </a:pPr>
                <a:r>
                  <a:rPr lang="en-US"/>
                  <a:t>Period</a:t>
                </a:r>
              </a:p>
            </c:rich>
          </c:tx>
        </c:title>
        <c:numFmt formatCode="General" sourceLinked="0"/>
        <c:majorTickMark val="none"/>
        <c:tickLblPos val="nextTo"/>
        <c:txPr>
          <a:bodyPr/>
          <a:lstStyle/>
          <a:p>
            <a:pPr>
              <a:defRPr lang="en-PH"/>
            </a:pPr>
            <a:endParaRPr lang="en-US"/>
          </a:p>
        </c:txPr>
        <c:crossAx val="77234944"/>
        <c:crosses val="autoZero"/>
        <c:auto val="1"/>
        <c:lblAlgn val="ctr"/>
        <c:lblOffset val="100"/>
      </c:catAx>
      <c:valAx>
        <c:axId val="7723494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 lang="en-PH"/>
                </a:pPr>
                <a:r>
                  <a:rPr lang="en-US"/>
                  <a:t>pH Concentration </a:t>
                </a:r>
              </a:p>
            </c:rich>
          </c:tx>
        </c:title>
        <c:numFmt formatCode="General" sourceLinked="1"/>
        <c:tickLblPos val="nextTo"/>
        <c:txPr>
          <a:bodyPr/>
          <a:lstStyle/>
          <a:p>
            <a:pPr>
              <a:defRPr lang="en-PH"/>
            </a:pPr>
            <a:endParaRPr lang="en-US"/>
          </a:p>
        </c:txPr>
        <c:crossAx val="77228672"/>
        <c:crosses val="autoZero"/>
        <c:crossBetween val="between"/>
      </c:valAx>
      <c:spPr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c:spPr>
    </c:plotArea>
    <c:legend>
      <c:legendPos val="r"/>
      <c:layout>
        <c:manualLayout>
          <c:xMode val="edge"/>
          <c:yMode val="edge"/>
          <c:x val="0.67603157250308676"/>
          <c:y val="0.10694956125416208"/>
          <c:w val="0.32396846945422519"/>
          <c:h val="0.86986906113321261"/>
        </c:manualLayout>
      </c:layout>
      <c:txPr>
        <a:bodyPr/>
        <a:lstStyle/>
        <a:p>
          <a:pPr>
            <a:defRPr lang="en-PH"/>
          </a:pPr>
          <a:endParaRPr lang="en-US"/>
        </a:p>
      </c:txPr>
    </c:legend>
    <c:plotVisOnly val="1"/>
    <c:dispBlanksAs val="gap"/>
  </c:chart>
  <c:spPr>
    <a:solidFill>
      <a:schemeClr val="bg1">
        <a:lumMod val="65000"/>
      </a:schemeClr>
    </a:solidFill>
    <a:ln>
      <a:noFill/>
    </a:ln>
    <a:effectLst>
      <a:outerShdw blurRad="40000" dist="23000" dir="5400000" rotWithShape="0">
        <a:srgbClr val="000000">
          <a:alpha val="35000"/>
        </a:srgbClr>
      </a:outerShdw>
    </a:effectLst>
    <a:scene3d>
      <a:camera prst="orthographicFront">
        <a:rot lat="0" lon="0" rev="0"/>
      </a:camera>
      <a:lightRig rig="threePt" dir="t">
        <a:rot lat="0" lon="0" rev="1200000"/>
      </a:lightRig>
    </a:scene3d>
    <a:sp3d>
      <a:bevelT w="63500" h="25400"/>
    </a:sp3d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0977" l="0.70000000000000062" r="0.70000000000000062" t="0.75000000000000977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2"/>
  <c:chart>
    <c:autoTitleDeleted val="1"/>
    <c:plotArea>
      <c:layout/>
      <c:lineChart>
        <c:grouping val="standard"/>
        <c:ser>
          <c:idx val="0"/>
          <c:order val="0"/>
          <c:tx>
            <c:strRef>
              <c:f>'Oil &amp; Grease'!$C$14</c:f>
              <c:strCache>
                <c:ptCount val="1"/>
                <c:pt idx="0">
                  <c:v>Standard</c:v>
                </c:pt>
              </c:strCache>
            </c:strRef>
          </c:tx>
          <c:cat>
            <c:multiLvlStrRef>
              <c:f>'Oil &amp; Grease'!$L$8:$S$9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'Oil &amp; Grease'!$L$14:$S$14</c:f>
              <c:numCache>
                <c:formatCode>General</c:formatCode>
                <c:ptCount val="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</c:numCache>
            </c:numRef>
          </c:val>
        </c:ser>
        <c:ser>
          <c:idx val="1"/>
          <c:order val="1"/>
          <c:tx>
            <c:strRef>
              <c:f>'Oil &amp; Grease'!$C$22</c:f>
              <c:strCache>
                <c:ptCount val="1"/>
                <c:pt idx="0">
                  <c:v>Bangkulasi Creek</c:v>
                </c:pt>
              </c:strCache>
            </c:strRef>
          </c:tx>
          <c:cat>
            <c:multiLvlStrRef>
              <c:f>'Oil &amp; Grease'!$L$8:$S$9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'Oil &amp; Grease'!$L$22:$P$22</c:f>
              <c:numCache>
                <c:formatCode>0.00</c:formatCode>
                <c:ptCount val="5"/>
                <c:pt idx="0">
                  <c:v>3.87</c:v>
                </c:pt>
                <c:pt idx="1">
                  <c:v>4.8</c:v>
                </c:pt>
                <c:pt idx="2">
                  <c:v>3.3</c:v>
                </c:pt>
                <c:pt idx="4">
                  <c:v>4.8</c:v>
                </c:pt>
              </c:numCache>
            </c:numRef>
          </c:val>
        </c:ser>
        <c:ser>
          <c:idx val="2"/>
          <c:order val="2"/>
          <c:tx>
            <c:strRef>
              <c:f>'Oil &amp; Grease'!$C$23</c:f>
              <c:strCache>
                <c:ptCount val="1"/>
                <c:pt idx="0">
                  <c:v>Bangkulasi River</c:v>
                </c:pt>
              </c:strCache>
            </c:strRef>
          </c:tx>
          <c:cat>
            <c:multiLvlStrRef>
              <c:f>'Oil &amp; Grease'!$L$8:$S$9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'Oil &amp; Grease'!$L$23:$P$23</c:f>
              <c:numCache>
                <c:formatCode>0.00</c:formatCode>
                <c:ptCount val="5"/>
                <c:pt idx="0">
                  <c:v>4.2699999999999996</c:v>
                </c:pt>
                <c:pt idx="1">
                  <c:v>5.7</c:v>
                </c:pt>
                <c:pt idx="2">
                  <c:v>2.7</c:v>
                </c:pt>
                <c:pt idx="4">
                  <c:v>4.3499999999999996</c:v>
                </c:pt>
              </c:numCache>
            </c:numRef>
          </c:val>
        </c:ser>
        <c:ser>
          <c:idx val="3"/>
          <c:order val="3"/>
          <c:tx>
            <c:strRef>
              <c:f>'Oil &amp; Grease'!$C$24</c:f>
              <c:strCache>
                <c:ptCount val="1"/>
                <c:pt idx="0">
                  <c:v>Fairview Station</c:v>
                </c:pt>
              </c:strCache>
            </c:strRef>
          </c:tx>
          <c:cat>
            <c:multiLvlStrRef>
              <c:f>'Oil &amp; Grease'!$L$8:$S$9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'Oil &amp; Grease'!$L$24:$P$24</c:f>
              <c:numCache>
                <c:formatCode>0.00</c:formatCode>
                <c:ptCount val="5"/>
                <c:pt idx="0">
                  <c:v>3.7</c:v>
                </c:pt>
                <c:pt idx="1">
                  <c:v>3.8</c:v>
                </c:pt>
                <c:pt idx="2">
                  <c:v>3.3</c:v>
                </c:pt>
                <c:pt idx="4">
                  <c:v>3.9</c:v>
                </c:pt>
              </c:numCache>
            </c:numRef>
          </c:val>
        </c:ser>
        <c:ser>
          <c:idx val="4"/>
          <c:order val="4"/>
          <c:tx>
            <c:strRef>
              <c:f>'Oil &amp; Grease'!$C$25</c:f>
              <c:strCache>
                <c:ptCount val="1"/>
                <c:pt idx="0">
                  <c:v>Gov. Pascual</c:v>
                </c:pt>
              </c:strCache>
            </c:strRef>
          </c:tx>
          <c:cat>
            <c:multiLvlStrRef>
              <c:f>'Oil &amp; Grease'!$L$8:$S$9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'Oil &amp; Grease'!$L$25:$P$25</c:f>
              <c:numCache>
                <c:formatCode>0.00</c:formatCode>
                <c:ptCount val="5"/>
                <c:pt idx="0">
                  <c:v>4.7</c:v>
                </c:pt>
                <c:pt idx="1">
                  <c:v>4.5</c:v>
                </c:pt>
                <c:pt idx="2">
                  <c:v>4.0999999999999996</c:v>
                </c:pt>
                <c:pt idx="4">
                  <c:v>5.5</c:v>
                </c:pt>
              </c:numCache>
            </c:numRef>
          </c:val>
        </c:ser>
        <c:ser>
          <c:idx val="5"/>
          <c:order val="5"/>
          <c:tx>
            <c:strRef>
              <c:f>'Oil &amp; Grease'!$C$26</c:f>
              <c:strCache>
                <c:ptCount val="1"/>
                <c:pt idx="0">
                  <c:v>Gulod</c:v>
                </c:pt>
              </c:strCache>
            </c:strRef>
          </c:tx>
          <c:cat>
            <c:multiLvlStrRef>
              <c:f>'Oil &amp; Grease'!$L$8:$S$9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'Oil &amp; Grease'!$L$26:$P$26</c:f>
              <c:numCache>
                <c:formatCode>0.00</c:formatCode>
                <c:ptCount val="5"/>
                <c:pt idx="0">
                  <c:v>3.77</c:v>
                </c:pt>
                <c:pt idx="1">
                  <c:v>4.3</c:v>
                </c:pt>
                <c:pt idx="2">
                  <c:v>4.43</c:v>
                </c:pt>
                <c:pt idx="4">
                  <c:v>5</c:v>
                </c:pt>
              </c:numCache>
            </c:numRef>
          </c:val>
        </c:ser>
        <c:ser>
          <c:idx val="6"/>
          <c:order val="6"/>
          <c:tx>
            <c:strRef>
              <c:f>'Oil &amp; Grease'!$C$27</c:f>
              <c:strCache>
                <c:ptCount val="1"/>
                <c:pt idx="0">
                  <c:v>Longos</c:v>
                </c:pt>
              </c:strCache>
            </c:strRef>
          </c:tx>
          <c:cat>
            <c:multiLvlStrRef>
              <c:f>'Oil &amp; Grease'!$L$8:$S$9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'Oil &amp; Grease'!$L$27:$P$27</c:f>
              <c:numCache>
                <c:formatCode>0.00</c:formatCode>
                <c:ptCount val="5"/>
                <c:pt idx="0">
                  <c:v>5.13</c:v>
                </c:pt>
                <c:pt idx="1">
                  <c:v>3.8</c:v>
                </c:pt>
                <c:pt idx="2">
                  <c:v>4.47</c:v>
                </c:pt>
                <c:pt idx="4">
                  <c:v>3.4</c:v>
                </c:pt>
              </c:numCache>
            </c:numRef>
          </c:val>
        </c:ser>
        <c:ser>
          <c:idx val="7"/>
          <c:order val="7"/>
          <c:tx>
            <c:strRef>
              <c:f>'Oil &amp; Grease'!$C$28</c:f>
              <c:strCache>
                <c:ptCount val="1"/>
                <c:pt idx="0">
                  <c:v>McArthur</c:v>
                </c:pt>
              </c:strCache>
            </c:strRef>
          </c:tx>
          <c:cat>
            <c:multiLvlStrRef>
              <c:f>'Oil &amp; Grease'!$L$8:$S$9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'Oil &amp; Grease'!$L$28:$P$28</c:f>
              <c:numCache>
                <c:formatCode>0.00</c:formatCode>
                <c:ptCount val="5"/>
                <c:pt idx="0">
                  <c:v>5.57</c:v>
                </c:pt>
                <c:pt idx="1">
                  <c:v>5.5</c:v>
                </c:pt>
                <c:pt idx="2">
                  <c:v>4.8</c:v>
                </c:pt>
                <c:pt idx="4">
                  <c:v>5.55</c:v>
                </c:pt>
              </c:numCache>
            </c:numRef>
          </c:val>
        </c:ser>
        <c:ser>
          <c:idx val="8"/>
          <c:order val="8"/>
          <c:tx>
            <c:strRef>
              <c:f>'Oil &amp; Grease'!$C$29</c:f>
              <c:strCache>
                <c:ptCount val="1"/>
                <c:pt idx="0">
                  <c:v>N. Expressway Station</c:v>
                </c:pt>
              </c:strCache>
            </c:strRef>
          </c:tx>
          <c:cat>
            <c:multiLvlStrRef>
              <c:f>'Oil &amp; Grease'!$L$8:$S$9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'Oil &amp; Grease'!$L$29:$P$29</c:f>
              <c:numCache>
                <c:formatCode>0.00</c:formatCode>
                <c:ptCount val="5"/>
                <c:pt idx="0">
                  <c:v>5.37</c:v>
                </c:pt>
                <c:pt idx="1">
                  <c:v>0</c:v>
                </c:pt>
                <c:pt idx="2">
                  <c:v>4.63</c:v>
                </c:pt>
                <c:pt idx="4">
                  <c:v>5.8</c:v>
                </c:pt>
              </c:numCache>
            </c:numRef>
          </c:val>
        </c:ser>
        <c:ser>
          <c:idx val="9"/>
          <c:order val="9"/>
          <c:tx>
            <c:strRef>
              <c:f>'Oil &amp; Grease'!$C$30</c:f>
              <c:strCache>
                <c:ptCount val="1"/>
                <c:pt idx="0">
                  <c:v>Tañong</c:v>
                </c:pt>
              </c:strCache>
            </c:strRef>
          </c:tx>
          <c:cat>
            <c:multiLvlStrRef>
              <c:f>'Oil &amp; Grease'!$L$8:$S$9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</c:lvl>
              </c:multiLvlStrCache>
            </c:multiLvlStrRef>
          </c:cat>
          <c:val>
            <c:numRef>
              <c:f>'Oil &amp; Grease'!$L$30:$P$30</c:f>
              <c:numCache>
                <c:formatCode>0.00</c:formatCode>
                <c:ptCount val="5"/>
                <c:pt idx="0">
                  <c:v>4.2</c:v>
                </c:pt>
                <c:pt idx="1">
                  <c:v>3.8</c:v>
                </c:pt>
                <c:pt idx="2">
                  <c:v>3.5</c:v>
                </c:pt>
                <c:pt idx="4">
                  <c:v>4.2</c:v>
                </c:pt>
              </c:numCache>
            </c:numRef>
          </c:val>
        </c:ser>
        <c:dropLines/>
        <c:marker val="1"/>
        <c:axId val="86978944"/>
        <c:axId val="86980864"/>
      </c:lineChart>
      <c:catAx>
        <c:axId val="869789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lang="en-PH"/>
                </a:pPr>
                <a:r>
                  <a:rPr lang="en-US"/>
                  <a:t>Period</a:t>
                </a:r>
              </a:p>
            </c:rich>
          </c:tx>
        </c:title>
        <c:numFmt formatCode="General" sourceLinked="1"/>
        <c:majorTickMark val="none"/>
        <c:tickLblPos val="nextTo"/>
        <c:txPr>
          <a:bodyPr/>
          <a:lstStyle/>
          <a:p>
            <a:pPr>
              <a:defRPr lang="en-PH"/>
            </a:pPr>
            <a:endParaRPr lang="en-US"/>
          </a:p>
        </c:txPr>
        <c:crossAx val="86980864"/>
        <c:crosses val="autoZero"/>
        <c:auto val="1"/>
        <c:lblAlgn val="ctr"/>
        <c:lblOffset val="100"/>
      </c:catAx>
      <c:valAx>
        <c:axId val="8698086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 lang="en-PH"/>
                </a:pPr>
                <a:r>
                  <a:rPr lang="en-US"/>
                  <a:t>Oil</a:t>
                </a:r>
                <a:r>
                  <a:rPr lang="en-US" baseline="0"/>
                  <a:t> and Grease</a:t>
                </a:r>
                <a:r>
                  <a:rPr lang="en-US"/>
                  <a:t> Concentration mg/L </a:t>
                </a:r>
              </a:p>
            </c:rich>
          </c:tx>
          <c:layout>
            <c:manualLayout>
              <c:xMode val="edge"/>
              <c:yMode val="edge"/>
              <c:x val="3.0358787847705376E-2"/>
              <c:y val="0.16885882927342918"/>
            </c:manualLayout>
          </c:layout>
        </c:title>
        <c:numFmt formatCode="General" sourceLinked="1"/>
        <c:tickLblPos val="nextTo"/>
        <c:txPr>
          <a:bodyPr/>
          <a:lstStyle/>
          <a:p>
            <a:pPr>
              <a:defRPr lang="en-PH"/>
            </a:pPr>
            <a:endParaRPr lang="en-US"/>
          </a:p>
        </c:txPr>
        <c:crossAx val="86978944"/>
        <c:crosses val="autoZero"/>
        <c:crossBetween val="between"/>
      </c:valAx>
      <c:spPr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c:spPr>
    </c:plotArea>
    <c:legend>
      <c:legendPos val="r"/>
      <c:layout>
        <c:manualLayout>
          <c:xMode val="edge"/>
          <c:yMode val="edge"/>
          <c:x val="0.67603157250308676"/>
          <c:y val="0.10694956125416208"/>
          <c:w val="0.32396846945422519"/>
          <c:h val="0.86986906113321261"/>
        </c:manualLayout>
      </c:layout>
      <c:txPr>
        <a:bodyPr/>
        <a:lstStyle/>
        <a:p>
          <a:pPr>
            <a:defRPr lang="en-PH"/>
          </a:pPr>
          <a:endParaRPr lang="en-US"/>
        </a:p>
      </c:txPr>
    </c:legend>
    <c:plotVisOnly val="1"/>
    <c:dispBlanksAs val="gap"/>
  </c:chart>
  <c:spPr>
    <a:solidFill>
      <a:schemeClr val="bg1">
        <a:lumMod val="65000"/>
      </a:schemeClr>
    </a:solidFill>
    <a:ln>
      <a:noFill/>
    </a:ln>
    <a:effectLst>
      <a:outerShdw blurRad="40000" dist="23000" dir="5400000" rotWithShape="0">
        <a:srgbClr val="000000">
          <a:alpha val="35000"/>
        </a:srgbClr>
      </a:outerShdw>
    </a:effectLst>
    <a:scene3d>
      <a:camera prst="orthographicFront">
        <a:rot lat="0" lon="0" rev="0"/>
      </a:camera>
      <a:lightRig rig="threePt" dir="t">
        <a:rot lat="0" lon="0" rev="1200000"/>
      </a:lightRig>
    </a:scene3d>
    <a:sp3d>
      <a:bevelT w="63500" h="25400"/>
    </a:sp3d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0977" l="0.70000000000000062" r="0.70000000000000062" t="0.75000000000000977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427567</xdr:colOff>
      <xdr:row>23</xdr:row>
      <xdr:rowOff>116416</xdr:rowOff>
    </xdr:from>
    <xdr:to>
      <xdr:col>51</xdr:col>
      <xdr:colOff>232833</xdr:colOff>
      <xdr:row>40</xdr:row>
      <xdr:rowOff>63500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533400</xdr:colOff>
      <xdr:row>0</xdr:row>
      <xdr:rowOff>0</xdr:rowOff>
    </xdr:from>
    <xdr:to>
      <xdr:col>1</xdr:col>
      <xdr:colOff>0</xdr:colOff>
      <xdr:row>5</xdr:row>
      <xdr:rowOff>38100</xdr:rowOff>
    </xdr:to>
    <xdr:pic>
      <xdr:nvPicPr>
        <xdr:cNvPr id="1025" name="Picture 1" descr="ts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33400" y="0"/>
          <a:ext cx="1000125" cy="1000125"/>
        </a:xfrm>
        <a:prstGeom prst="rect">
          <a:avLst/>
        </a:prstGeom>
        <a:noFill/>
        <a:ln w="9525" algn="in">
          <a:noFill/>
          <a:miter lim="800000"/>
          <a:headEnd/>
          <a:tailEnd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0</xdr:row>
      <xdr:rowOff>0</xdr:rowOff>
    </xdr:from>
    <xdr:to>
      <xdr:col>1</xdr:col>
      <xdr:colOff>0</xdr:colOff>
      <xdr:row>5</xdr:row>
      <xdr:rowOff>38100</xdr:rowOff>
    </xdr:to>
    <xdr:pic>
      <xdr:nvPicPr>
        <xdr:cNvPr id="3" name="Picture 1" descr="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33400" y="0"/>
          <a:ext cx="1000125" cy="1000125"/>
        </a:xfrm>
        <a:prstGeom prst="rect">
          <a:avLst/>
        </a:prstGeom>
        <a:noFill/>
        <a:ln w="9525" algn="in">
          <a:noFill/>
          <a:miter lim="800000"/>
          <a:headEnd/>
          <a:tailEnd/>
        </a:ln>
        <a:effectLst/>
      </xdr:spPr>
    </xdr:pic>
    <xdr:clientData/>
  </xdr:twoCellAnchor>
  <xdr:twoCellAnchor>
    <xdr:from>
      <xdr:col>31</xdr:col>
      <xdr:colOff>273844</xdr:colOff>
      <xdr:row>34</xdr:row>
      <xdr:rowOff>11907</xdr:rowOff>
    </xdr:from>
    <xdr:to>
      <xdr:col>39</xdr:col>
      <xdr:colOff>26458</xdr:colOff>
      <xdr:row>48</xdr:row>
      <xdr:rowOff>17991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0</xdr:row>
      <xdr:rowOff>0</xdr:rowOff>
    </xdr:from>
    <xdr:to>
      <xdr:col>1</xdr:col>
      <xdr:colOff>0</xdr:colOff>
      <xdr:row>5</xdr:row>
      <xdr:rowOff>28575</xdr:rowOff>
    </xdr:to>
    <xdr:pic>
      <xdr:nvPicPr>
        <xdr:cNvPr id="3" name="Picture 1" descr="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2925" y="0"/>
          <a:ext cx="1000125" cy="1000125"/>
        </a:xfrm>
        <a:prstGeom prst="rect">
          <a:avLst/>
        </a:prstGeom>
        <a:noFill/>
        <a:ln w="9525" algn="in">
          <a:noFill/>
          <a:miter lim="800000"/>
          <a:headEnd/>
          <a:tailEnd/>
        </a:ln>
        <a:effectLst/>
      </xdr:spPr>
    </xdr:pic>
    <xdr:clientData/>
  </xdr:twoCellAnchor>
  <xdr:twoCellAnchor>
    <xdr:from>
      <xdr:col>40</xdr:col>
      <xdr:colOff>50346</xdr:colOff>
      <xdr:row>81</xdr:row>
      <xdr:rowOff>69397</xdr:rowOff>
    </xdr:from>
    <xdr:to>
      <xdr:col>47</xdr:col>
      <xdr:colOff>365729</xdr:colOff>
      <xdr:row>95</xdr:row>
      <xdr:rowOff>28876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0</xdr:row>
      <xdr:rowOff>0</xdr:rowOff>
    </xdr:from>
    <xdr:to>
      <xdr:col>1</xdr:col>
      <xdr:colOff>0</xdr:colOff>
      <xdr:row>5</xdr:row>
      <xdr:rowOff>28575</xdr:rowOff>
    </xdr:to>
    <xdr:pic>
      <xdr:nvPicPr>
        <xdr:cNvPr id="4" name="Picture 1" descr="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2925" y="0"/>
          <a:ext cx="1228725" cy="1000125"/>
        </a:xfrm>
        <a:prstGeom prst="rect">
          <a:avLst/>
        </a:prstGeom>
        <a:noFill/>
        <a:ln w="9525" algn="in">
          <a:noFill/>
          <a:miter lim="800000"/>
          <a:headEnd/>
          <a:tailEnd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0</xdr:row>
      <xdr:rowOff>0</xdr:rowOff>
    </xdr:from>
    <xdr:to>
      <xdr:col>1</xdr:col>
      <xdr:colOff>0</xdr:colOff>
      <xdr:row>5</xdr:row>
      <xdr:rowOff>28575</xdr:rowOff>
    </xdr:to>
    <xdr:pic>
      <xdr:nvPicPr>
        <xdr:cNvPr id="3" name="Picture 1" descr="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2925" y="0"/>
          <a:ext cx="1000125" cy="1000125"/>
        </a:xfrm>
        <a:prstGeom prst="rect">
          <a:avLst/>
        </a:prstGeom>
        <a:noFill/>
        <a:ln w="9525" algn="in">
          <a:noFill/>
          <a:miter lim="800000"/>
          <a:headEnd/>
          <a:tailEnd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0</xdr:row>
      <xdr:rowOff>0</xdr:rowOff>
    </xdr:from>
    <xdr:to>
      <xdr:col>1</xdr:col>
      <xdr:colOff>0</xdr:colOff>
      <xdr:row>5</xdr:row>
      <xdr:rowOff>28575</xdr:rowOff>
    </xdr:to>
    <xdr:pic>
      <xdr:nvPicPr>
        <xdr:cNvPr id="3" name="Picture 1" descr="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33400" y="0"/>
          <a:ext cx="1000125" cy="1000125"/>
        </a:xfrm>
        <a:prstGeom prst="rect">
          <a:avLst/>
        </a:prstGeom>
        <a:noFill/>
        <a:ln w="9525" algn="in">
          <a:noFill/>
          <a:miter lim="800000"/>
          <a:headEnd/>
          <a:tailEnd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0</xdr:row>
      <xdr:rowOff>0</xdr:rowOff>
    </xdr:from>
    <xdr:to>
      <xdr:col>1</xdr:col>
      <xdr:colOff>0</xdr:colOff>
      <xdr:row>5</xdr:row>
      <xdr:rowOff>28575</xdr:rowOff>
    </xdr:to>
    <xdr:pic>
      <xdr:nvPicPr>
        <xdr:cNvPr id="3" name="Picture 1" descr="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2925" y="0"/>
          <a:ext cx="1000125" cy="1000125"/>
        </a:xfrm>
        <a:prstGeom prst="rect">
          <a:avLst/>
        </a:prstGeom>
        <a:noFill/>
        <a:ln w="9525" algn="in">
          <a:noFill/>
          <a:miter lim="800000"/>
          <a:headEnd/>
          <a:tailEnd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0</xdr:row>
      <xdr:rowOff>0</xdr:rowOff>
    </xdr:from>
    <xdr:to>
      <xdr:col>1</xdr:col>
      <xdr:colOff>0</xdr:colOff>
      <xdr:row>5</xdr:row>
      <xdr:rowOff>28575</xdr:rowOff>
    </xdr:to>
    <xdr:pic>
      <xdr:nvPicPr>
        <xdr:cNvPr id="3" name="Picture 1" descr="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2925" y="0"/>
          <a:ext cx="1000125" cy="1000125"/>
        </a:xfrm>
        <a:prstGeom prst="rect">
          <a:avLst/>
        </a:prstGeom>
        <a:noFill/>
        <a:ln w="9525" algn="in">
          <a:noFill/>
          <a:miter lim="800000"/>
          <a:headEnd/>
          <a:tailEnd/>
        </a:ln>
        <a:effectLst/>
      </xdr:spPr>
    </xdr:pic>
    <xdr:clientData/>
  </xdr:twoCellAnchor>
  <xdr:twoCellAnchor>
    <xdr:from>
      <xdr:col>27</xdr:col>
      <xdr:colOff>518583</xdr:colOff>
      <xdr:row>19</xdr:row>
      <xdr:rowOff>74084</xdr:rowOff>
    </xdr:from>
    <xdr:to>
      <xdr:col>35</xdr:col>
      <xdr:colOff>239183</xdr:colOff>
      <xdr:row>32</xdr:row>
      <xdr:rowOff>140304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0</xdr:row>
      <xdr:rowOff>0</xdr:rowOff>
    </xdr:from>
    <xdr:to>
      <xdr:col>1</xdr:col>
      <xdr:colOff>0</xdr:colOff>
      <xdr:row>5</xdr:row>
      <xdr:rowOff>38100</xdr:rowOff>
    </xdr:to>
    <xdr:pic>
      <xdr:nvPicPr>
        <xdr:cNvPr id="3" name="Picture 1" descr="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23900" y="0"/>
          <a:ext cx="1000125" cy="1000125"/>
        </a:xfrm>
        <a:prstGeom prst="rect">
          <a:avLst/>
        </a:prstGeom>
        <a:noFill/>
        <a:ln w="9525" algn="in">
          <a:noFill/>
          <a:miter lim="800000"/>
          <a:headEnd/>
          <a:tailEnd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0</xdr:row>
      <xdr:rowOff>0</xdr:rowOff>
    </xdr:from>
    <xdr:to>
      <xdr:col>1</xdr:col>
      <xdr:colOff>0</xdr:colOff>
      <xdr:row>5</xdr:row>
      <xdr:rowOff>38100</xdr:rowOff>
    </xdr:to>
    <xdr:pic>
      <xdr:nvPicPr>
        <xdr:cNvPr id="3" name="Picture 1" descr="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23900" y="0"/>
          <a:ext cx="1000125" cy="1000125"/>
        </a:xfrm>
        <a:prstGeom prst="rect">
          <a:avLst/>
        </a:prstGeom>
        <a:noFill/>
        <a:ln w="9525" algn="in">
          <a:noFill/>
          <a:miter lim="800000"/>
          <a:headEnd/>
          <a:tailEnd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1047750</xdr:colOff>
      <xdr:row>0</xdr:row>
      <xdr:rowOff>0</xdr:rowOff>
    </xdr:from>
    <xdr:to>
      <xdr:col>1</xdr:col>
      <xdr:colOff>0</xdr:colOff>
      <xdr:row>5</xdr:row>
      <xdr:rowOff>47625</xdr:rowOff>
    </xdr:to>
    <xdr:pic>
      <xdr:nvPicPr>
        <xdr:cNvPr id="3" name="Picture 1" descr="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47750" y="0"/>
          <a:ext cx="1000125" cy="1000125"/>
        </a:xfrm>
        <a:prstGeom prst="rect">
          <a:avLst/>
        </a:prstGeom>
        <a:noFill/>
        <a:ln w="9525" algn="in">
          <a:noFill/>
          <a:miter lim="800000"/>
          <a:headEnd/>
          <a:tailEnd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0</xdr:row>
      <xdr:rowOff>0</xdr:rowOff>
    </xdr:from>
    <xdr:to>
      <xdr:col>1</xdr:col>
      <xdr:colOff>0</xdr:colOff>
      <xdr:row>5</xdr:row>
      <xdr:rowOff>28575</xdr:rowOff>
    </xdr:to>
    <xdr:pic>
      <xdr:nvPicPr>
        <xdr:cNvPr id="3" name="Picture 1" descr="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33400" y="0"/>
          <a:ext cx="1000125" cy="1000125"/>
        </a:xfrm>
        <a:prstGeom prst="rect">
          <a:avLst/>
        </a:prstGeom>
        <a:noFill/>
        <a:ln w="9525" algn="in">
          <a:noFill/>
          <a:miter lim="800000"/>
          <a:headEnd/>
          <a:tailEnd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0</xdr:row>
      <xdr:rowOff>0</xdr:rowOff>
    </xdr:from>
    <xdr:to>
      <xdr:col>1</xdr:col>
      <xdr:colOff>0</xdr:colOff>
      <xdr:row>5</xdr:row>
      <xdr:rowOff>28575</xdr:rowOff>
    </xdr:to>
    <xdr:pic>
      <xdr:nvPicPr>
        <xdr:cNvPr id="3" name="Picture 1" descr="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2925" y="0"/>
          <a:ext cx="1000125" cy="1000125"/>
        </a:xfrm>
        <a:prstGeom prst="rect">
          <a:avLst/>
        </a:prstGeom>
        <a:noFill/>
        <a:ln w="9525" algn="in">
          <a:noFill/>
          <a:miter lim="800000"/>
          <a:headEnd/>
          <a:tailEnd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0</xdr:row>
      <xdr:rowOff>0</xdr:rowOff>
    </xdr:from>
    <xdr:to>
      <xdr:col>1</xdr:col>
      <xdr:colOff>0</xdr:colOff>
      <xdr:row>5</xdr:row>
      <xdr:rowOff>28575</xdr:rowOff>
    </xdr:to>
    <xdr:pic>
      <xdr:nvPicPr>
        <xdr:cNvPr id="3" name="Picture 1" descr="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2925" y="0"/>
          <a:ext cx="1000125" cy="1000125"/>
        </a:xfrm>
        <a:prstGeom prst="rect">
          <a:avLst/>
        </a:prstGeom>
        <a:noFill/>
        <a:ln w="9525" algn="in">
          <a:noFill/>
          <a:miter lim="800000"/>
          <a:headEnd/>
          <a:tailEnd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mtastillero\Documents\Documents\WATER%20QUALITY\WQ%202013%20WITH%204TH%20QTR%20FRM%20MIKE\WATER%20QUALITY%20LATEST%20VERSION%20WITH%20NC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O"/>
      <sheetName val="BOD"/>
      <sheetName val="pH"/>
      <sheetName val="Nitrate"/>
      <sheetName val="Phosphate"/>
      <sheetName val="TSS"/>
      <sheetName val="Oil &amp; Grease"/>
      <sheetName val="Fecal Coliform"/>
      <sheetName val="Total Coliform"/>
      <sheetName val="Bathing Beaches DO,pH"/>
      <sheetName val="Offshore DO, pH, Phos. Sal. Con"/>
      <sheetName val="Heavy metals"/>
      <sheetName val="% Overall Water Body"/>
      <sheetName val=" Summary% Pass Regions"/>
      <sheetName val="Summary per parameter"/>
      <sheetName val="Summary per parameter 1ST 2014"/>
      <sheetName val="Overall summary"/>
      <sheetName val="TOP 5 LIST"/>
    </sheetNames>
    <sheetDataSet>
      <sheetData sheetId="0" refreshError="1">
        <row r="118">
          <cell r="L118">
            <v>24</v>
          </cell>
          <cell r="M118">
            <v>23</v>
          </cell>
          <cell r="N118">
            <v>28</v>
          </cell>
          <cell r="O118">
            <v>24</v>
          </cell>
          <cell r="Q118">
            <v>16</v>
          </cell>
        </row>
        <row r="119">
          <cell r="L119">
            <v>80</v>
          </cell>
          <cell r="M119">
            <v>84</v>
          </cell>
          <cell r="N119">
            <v>84</v>
          </cell>
          <cell r="O119">
            <v>79</v>
          </cell>
          <cell r="Q119">
            <v>79</v>
          </cell>
        </row>
        <row r="142">
          <cell r="L142">
            <v>1</v>
          </cell>
          <cell r="M142">
            <v>1</v>
          </cell>
          <cell r="N142">
            <v>1</v>
          </cell>
          <cell r="O142">
            <v>4</v>
          </cell>
          <cell r="Q142">
            <v>1</v>
          </cell>
        </row>
        <row r="143">
          <cell r="M143">
            <v>14</v>
          </cell>
          <cell r="N143">
            <v>14</v>
          </cell>
          <cell r="O143">
            <v>14</v>
          </cell>
          <cell r="Q143">
            <v>14</v>
          </cell>
        </row>
        <row r="176">
          <cell r="L176">
            <v>7</v>
          </cell>
          <cell r="O176">
            <v>11</v>
          </cell>
          <cell r="S176">
            <v>0</v>
          </cell>
        </row>
        <row r="177">
          <cell r="L177">
            <v>23</v>
          </cell>
          <cell r="O177">
            <v>25</v>
          </cell>
          <cell r="Q177">
            <v>25</v>
          </cell>
        </row>
        <row r="192">
          <cell r="L192">
            <v>9</v>
          </cell>
          <cell r="N192">
            <v>9</v>
          </cell>
          <cell r="O192">
            <v>9</v>
          </cell>
          <cell r="S192">
            <v>0</v>
          </cell>
        </row>
        <row r="193">
          <cell r="L193">
            <v>9</v>
          </cell>
          <cell r="M193">
            <v>9</v>
          </cell>
          <cell r="N193">
            <v>9</v>
          </cell>
          <cell r="O193">
            <v>9</v>
          </cell>
          <cell r="Q193">
            <v>9</v>
          </cell>
        </row>
      </sheetData>
      <sheetData sheetId="1" refreshError="1">
        <row r="114">
          <cell r="K114">
            <v>33</v>
          </cell>
          <cell r="L114">
            <v>29</v>
          </cell>
          <cell r="M114">
            <v>34</v>
          </cell>
          <cell r="N114">
            <v>47</v>
          </cell>
          <cell r="O114">
            <v>39</v>
          </cell>
          <cell r="Q114">
            <v>23</v>
          </cell>
        </row>
        <row r="115">
          <cell r="K115">
            <v>79</v>
          </cell>
          <cell r="L115">
            <v>80</v>
          </cell>
          <cell r="M115">
            <v>84</v>
          </cell>
          <cell r="N115">
            <v>84</v>
          </cell>
          <cell r="O115">
            <v>79</v>
          </cell>
          <cell r="Q115">
            <v>76</v>
          </cell>
        </row>
        <row r="117">
          <cell r="D117">
            <v>84</v>
          </cell>
        </row>
        <row r="137">
          <cell r="K137">
            <v>8</v>
          </cell>
          <cell r="L137">
            <v>5</v>
          </cell>
          <cell r="M137">
            <v>1</v>
          </cell>
          <cell r="N137">
            <v>3</v>
          </cell>
          <cell r="O137">
            <v>2</v>
          </cell>
          <cell r="Q137">
            <v>1</v>
          </cell>
          <cell r="U137">
            <v>0</v>
          </cell>
        </row>
        <row r="138">
          <cell r="K138">
            <v>14</v>
          </cell>
          <cell r="L138">
            <v>14</v>
          </cell>
          <cell r="M138">
            <v>14</v>
          </cell>
          <cell r="N138">
            <v>14</v>
          </cell>
          <cell r="O138">
            <v>14</v>
          </cell>
          <cell r="Q138">
            <v>14</v>
          </cell>
          <cell r="U138">
            <v>0</v>
          </cell>
        </row>
        <row r="140">
          <cell r="D140">
            <v>14</v>
          </cell>
        </row>
        <row r="171">
          <cell r="K171">
            <v>17</v>
          </cell>
          <cell r="O171">
            <v>11</v>
          </cell>
          <cell r="S171">
            <v>0</v>
          </cell>
        </row>
        <row r="172">
          <cell r="K172">
            <v>26</v>
          </cell>
          <cell r="O172">
            <v>25</v>
          </cell>
          <cell r="S172">
            <v>0</v>
          </cell>
        </row>
        <row r="187">
          <cell r="K187">
            <v>9</v>
          </cell>
          <cell r="N187">
            <v>9</v>
          </cell>
          <cell r="O187">
            <v>9</v>
          </cell>
          <cell r="Q187">
            <v>9</v>
          </cell>
        </row>
        <row r="188">
          <cell r="K188">
            <v>9</v>
          </cell>
          <cell r="N188">
            <v>9</v>
          </cell>
          <cell r="O188">
            <v>9</v>
          </cell>
          <cell r="Q188">
            <v>9</v>
          </cell>
        </row>
      </sheetData>
      <sheetData sheetId="2" refreshError="1">
        <row r="45">
          <cell r="B45">
            <v>34</v>
          </cell>
        </row>
        <row r="77">
          <cell r="B77">
            <v>26</v>
          </cell>
        </row>
        <row r="106">
          <cell r="B106">
            <v>24</v>
          </cell>
        </row>
        <row r="111">
          <cell r="K111">
            <v>65</v>
          </cell>
          <cell r="L111">
            <v>45</v>
          </cell>
          <cell r="M111">
            <v>58</v>
          </cell>
          <cell r="N111">
            <v>71</v>
          </cell>
          <cell r="O111">
            <v>74</v>
          </cell>
          <cell r="Q111">
            <v>73</v>
          </cell>
        </row>
        <row r="112">
          <cell r="K112">
            <v>79</v>
          </cell>
          <cell r="L112">
            <v>61</v>
          </cell>
          <cell r="M112">
            <v>64</v>
          </cell>
          <cell r="N112">
            <v>84</v>
          </cell>
          <cell r="O112">
            <v>79</v>
          </cell>
          <cell r="Q112">
            <v>79</v>
          </cell>
        </row>
        <row r="146">
          <cell r="K146">
            <v>26</v>
          </cell>
          <cell r="L146">
            <v>23</v>
          </cell>
          <cell r="Q146">
            <v>25</v>
          </cell>
          <cell r="U146">
            <v>0</v>
          </cell>
        </row>
        <row r="147">
          <cell r="K147">
            <v>26</v>
          </cell>
          <cell r="L147">
            <v>23</v>
          </cell>
        </row>
        <row r="164">
          <cell r="K164">
            <v>0</v>
          </cell>
          <cell r="L164">
            <v>9</v>
          </cell>
          <cell r="M164">
            <v>1</v>
          </cell>
          <cell r="N164">
            <v>4</v>
          </cell>
        </row>
        <row r="165">
          <cell r="K165">
            <v>9</v>
          </cell>
          <cell r="L165">
            <v>9</v>
          </cell>
          <cell r="M165">
            <v>9</v>
          </cell>
          <cell r="N165">
            <v>9</v>
          </cell>
          <cell r="Q165">
            <v>9</v>
          </cell>
        </row>
        <row r="186">
          <cell r="K186">
            <v>14</v>
          </cell>
          <cell r="L186">
            <v>14</v>
          </cell>
          <cell r="M186">
            <v>14</v>
          </cell>
          <cell r="N186">
            <v>14</v>
          </cell>
          <cell r="Q186">
            <v>0</v>
          </cell>
        </row>
        <row r="187">
          <cell r="K187">
            <v>14</v>
          </cell>
          <cell r="N187">
            <v>14</v>
          </cell>
          <cell r="Q187">
            <v>0</v>
          </cell>
          <cell r="U187">
            <v>0</v>
          </cell>
        </row>
      </sheetData>
      <sheetData sheetId="3" refreshError="1">
        <row r="107">
          <cell r="Q107">
            <v>24</v>
          </cell>
        </row>
        <row r="112">
          <cell r="K112">
            <v>71</v>
          </cell>
          <cell r="L112">
            <v>64</v>
          </cell>
          <cell r="M112">
            <v>14</v>
          </cell>
          <cell r="N112">
            <v>45</v>
          </cell>
          <cell r="O112">
            <v>20</v>
          </cell>
        </row>
        <row r="113">
          <cell r="K113">
            <v>79</v>
          </cell>
          <cell r="L113">
            <v>75</v>
          </cell>
          <cell r="M113">
            <v>26</v>
          </cell>
          <cell r="N113">
            <v>57</v>
          </cell>
          <cell r="O113">
            <v>26</v>
          </cell>
          <cell r="Q113">
            <v>79</v>
          </cell>
        </row>
        <row r="147">
          <cell r="K147">
            <v>26</v>
          </cell>
          <cell r="L147">
            <v>23</v>
          </cell>
          <cell r="Q147">
            <v>24</v>
          </cell>
        </row>
        <row r="148">
          <cell r="K148">
            <v>26</v>
          </cell>
          <cell r="L148">
            <v>23</v>
          </cell>
          <cell r="Q148">
            <v>24</v>
          </cell>
        </row>
        <row r="163">
          <cell r="K163">
            <v>9</v>
          </cell>
          <cell r="L163">
            <v>9</v>
          </cell>
          <cell r="M163">
            <v>9</v>
          </cell>
          <cell r="Q163">
            <v>9</v>
          </cell>
          <cell r="U163">
            <v>0</v>
          </cell>
        </row>
        <row r="164">
          <cell r="K164">
            <v>9</v>
          </cell>
          <cell r="L164">
            <v>9</v>
          </cell>
          <cell r="M164">
            <v>9</v>
          </cell>
          <cell r="N164">
            <v>9</v>
          </cell>
          <cell r="Q164">
            <v>9</v>
          </cell>
          <cell r="U164">
            <v>0</v>
          </cell>
        </row>
        <row r="184">
          <cell r="K184">
            <v>14</v>
          </cell>
          <cell r="L184">
            <v>12</v>
          </cell>
          <cell r="M184">
            <v>11</v>
          </cell>
          <cell r="Q184">
            <v>10</v>
          </cell>
          <cell r="U184">
            <v>0</v>
          </cell>
        </row>
        <row r="185">
          <cell r="K185">
            <v>14</v>
          </cell>
          <cell r="L185">
            <v>14</v>
          </cell>
          <cell r="M185">
            <v>14</v>
          </cell>
          <cell r="Q185">
            <v>14</v>
          </cell>
          <cell r="U185">
            <v>0</v>
          </cell>
        </row>
      </sheetData>
      <sheetData sheetId="4" refreshError="1">
        <row r="112">
          <cell r="Q112">
            <v>2</v>
          </cell>
        </row>
        <row r="113">
          <cell r="Q113">
            <v>24</v>
          </cell>
        </row>
        <row r="117">
          <cell r="K117">
            <v>15</v>
          </cell>
          <cell r="L117">
            <v>14</v>
          </cell>
          <cell r="M117">
            <v>5</v>
          </cell>
          <cell r="N117">
            <v>17</v>
          </cell>
          <cell r="O117">
            <v>0</v>
          </cell>
        </row>
        <row r="118">
          <cell r="K118">
            <v>79</v>
          </cell>
          <cell r="L118">
            <v>80</v>
          </cell>
          <cell r="M118">
            <v>50</v>
          </cell>
          <cell r="N118">
            <v>81</v>
          </cell>
          <cell r="O118">
            <v>26</v>
          </cell>
        </row>
        <row r="151">
          <cell r="K151">
            <v>14</v>
          </cell>
          <cell r="L151">
            <v>10</v>
          </cell>
          <cell r="Q151">
            <v>9</v>
          </cell>
        </row>
        <row r="152">
          <cell r="K152">
            <v>26</v>
          </cell>
          <cell r="L152">
            <v>23</v>
          </cell>
          <cell r="Q152">
            <v>24</v>
          </cell>
        </row>
        <row r="167">
          <cell r="K167">
            <v>9</v>
          </cell>
          <cell r="L167">
            <v>9</v>
          </cell>
          <cell r="N167">
            <v>9</v>
          </cell>
          <cell r="Q167">
            <v>9</v>
          </cell>
        </row>
        <row r="168">
          <cell r="K168">
            <v>9</v>
          </cell>
          <cell r="L168">
            <v>9</v>
          </cell>
          <cell r="M168">
            <v>9</v>
          </cell>
          <cell r="N168">
            <v>9</v>
          </cell>
          <cell r="Q168">
            <v>9</v>
          </cell>
        </row>
        <row r="188"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Q188">
            <v>0</v>
          </cell>
          <cell r="U188">
            <v>0</v>
          </cell>
        </row>
        <row r="189">
          <cell r="K189">
            <v>14</v>
          </cell>
          <cell r="L189">
            <v>14</v>
          </cell>
          <cell r="M189">
            <v>14</v>
          </cell>
          <cell r="N189">
            <v>14</v>
          </cell>
          <cell r="Q189">
            <v>0</v>
          </cell>
          <cell r="U189">
            <v>0</v>
          </cell>
        </row>
      </sheetData>
      <sheetData sheetId="5" refreshError="1">
        <row r="114">
          <cell r="K114">
            <v>78</v>
          </cell>
          <cell r="L114">
            <v>64</v>
          </cell>
          <cell r="M114">
            <v>72</v>
          </cell>
          <cell r="N114">
            <v>63</v>
          </cell>
          <cell r="O114">
            <v>68</v>
          </cell>
          <cell r="Q114">
            <v>66</v>
          </cell>
        </row>
        <row r="115">
          <cell r="K115">
            <v>79</v>
          </cell>
          <cell r="L115">
            <v>80</v>
          </cell>
          <cell r="M115">
            <v>84</v>
          </cell>
          <cell r="N115">
            <v>84</v>
          </cell>
          <cell r="O115">
            <v>78</v>
          </cell>
          <cell r="Q115">
            <v>79</v>
          </cell>
        </row>
        <row r="117">
          <cell r="D117">
            <v>84</v>
          </cell>
        </row>
        <row r="137">
          <cell r="K137">
            <v>14</v>
          </cell>
          <cell r="L137">
            <v>12</v>
          </cell>
          <cell r="M137">
            <v>13</v>
          </cell>
          <cell r="N137">
            <v>14</v>
          </cell>
          <cell r="Q137">
            <v>0</v>
          </cell>
          <cell r="U137">
            <v>0</v>
          </cell>
        </row>
        <row r="138">
          <cell r="K138">
            <v>14</v>
          </cell>
          <cell r="L138">
            <v>14</v>
          </cell>
          <cell r="M138">
            <v>14</v>
          </cell>
          <cell r="N138">
            <v>14</v>
          </cell>
          <cell r="Q138">
            <v>0</v>
          </cell>
          <cell r="U138">
            <v>0</v>
          </cell>
        </row>
        <row r="140">
          <cell r="D140">
            <v>14</v>
          </cell>
        </row>
      </sheetData>
      <sheetData sheetId="6" refreshError="1"/>
      <sheetData sheetId="7" refreshError="1"/>
      <sheetData sheetId="8" refreshError="1">
        <row r="20">
          <cell r="L20">
            <v>5</v>
          </cell>
        </row>
        <row r="35">
          <cell r="L35">
            <v>4</v>
          </cell>
        </row>
        <row r="53">
          <cell r="L53">
            <v>10</v>
          </cell>
        </row>
        <row r="56">
          <cell r="J56">
            <v>7</v>
          </cell>
          <cell r="L56">
            <v>3</v>
          </cell>
          <cell r="M56">
            <v>5</v>
          </cell>
          <cell r="N56">
            <v>1</v>
          </cell>
          <cell r="O56">
            <v>1</v>
          </cell>
        </row>
        <row r="57">
          <cell r="J57">
            <v>14</v>
          </cell>
          <cell r="M57">
            <v>19</v>
          </cell>
          <cell r="N57">
            <v>13</v>
          </cell>
          <cell r="O57">
            <v>9</v>
          </cell>
        </row>
        <row r="72">
          <cell r="J72">
            <v>9</v>
          </cell>
          <cell r="N72">
            <v>9</v>
          </cell>
          <cell r="O72">
            <v>9</v>
          </cell>
        </row>
        <row r="73">
          <cell r="J73">
            <v>9</v>
          </cell>
          <cell r="N73">
            <v>9</v>
          </cell>
          <cell r="O73">
            <v>9</v>
          </cell>
          <cell r="Q73">
            <v>9</v>
          </cell>
        </row>
        <row r="107">
          <cell r="J107">
            <v>0</v>
          </cell>
          <cell r="O107">
            <v>0</v>
          </cell>
        </row>
        <row r="108">
          <cell r="J108">
            <v>26</v>
          </cell>
          <cell r="O108">
            <v>21</v>
          </cell>
        </row>
        <row r="129">
          <cell r="J129">
            <v>0</v>
          </cell>
          <cell r="L129">
            <v>0</v>
          </cell>
          <cell r="M129">
            <v>0</v>
          </cell>
        </row>
        <row r="130">
          <cell r="J130">
            <v>13</v>
          </cell>
          <cell r="L130">
            <v>14</v>
          </cell>
          <cell r="M130">
            <v>14</v>
          </cell>
          <cell r="N130">
            <v>14</v>
          </cell>
          <cell r="Q130">
            <v>10</v>
          </cell>
        </row>
      </sheetData>
      <sheetData sheetId="9" refreshError="1">
        <row r="58">
          <cell r="L58">
            <v>13</v>
          </cell>
          <cell r="M58">
            <v>15</v>
          </cell>
          <cell r="N58">
            <v>13</v>
          </cell>
          <cell r="P58">
            <v>11</v>
          </cell>
        </row>
        <row r="59">
          <cell r="L59">
            <v>19</v>
          </cell>
          <cell r="M59">
            <v>19</v>
          </cell>
          <cell r="N59">
            <v>13</v>
          </cell>
          <cell r="P59">
            <v>19</v>
          </cell>
        </row>
        <row r="114">
          <cell r="J114">
            <v>16</v>
          </cell>
          <cell r="K114">
            <v>12</v>
          </cell>
          <cell r="L114">
            <v>14</v>
          </cell>
          <cell r="M114">
            <v>14</v>
          </cell>
          <cell r="N114">
            <v>12</v>
          </cell>
          <cell r="P114">
            <v>19</v>
          </cell>
        </row>
        <row r="115">
          <cell r="J115">
            <v>19</v>
          </cell>
          <cell r="K115">
            <v>14</v>
          </cell>
          <cell r="L115">
            <v>14</v>
          </cell>
          <cell r="M115">
            <v>19</v>
          </cell>
          <cell r="N115">
            <v>13</v>
          </cell>
          <cell r="P115">
            <v>19</v>
          </cell>
        </row>
        <row r="163">
          <cell r="K163">
            <v>10</v>
          </cell>
        </row>
        <row r="167">
          <cell r="J167">
            <v>8</v>
          </cell>
          <cell r="K167">
            <v>7</v>
          </cell>
          <cell r="L167">
            <v>10</v>
          </cell>
          <cell r="M167">
            <v>8</v>
          </cell>
          <cell r="P167">
            <v>10</v>
          </cell>
        </row>
        <row r="168">
          <cell r="J168">
            <v>15</v>
          </cell>
          <cell r="L168">
            <v>15</v>
          </cell>
          <cell r="M168">
            <v>15</v>
          </cell>
          <cell r="P168">
            <v>15</v>
          </cell>
        </row>
        <row r="171">
          <cell r="C171">
            <v>19</v>
          </cell>
        </row>
      </sheetData>
      <sheetData sheetId="10" refreshError="1">
        <row r="82">
          <cell r="M82">
            <v>9</v>
          </cell>
          <cell r="N82">
            <v>5</v>
          </cell>
          <cell r="P82">
            <v>0</v>
          </cell>
          <cell r="AF82">
            <v>9</v>
          </cell>
          <cell r="AG82">
            <v>9</v>
          </cell>
          <cell r="AH82">
            <v>9</v>
          </cell>
          <cell r="AI82">
            <v>6</v>
          </cell>
          <cell r="AK82">
            <v>0</v>
          </cell>
        </row>
        <row r="83">
          <cell r="L83">
            <v>9</v>
          </cell>
          <cell r="M83">
            <v>9</v>
          </cell>
          <cell r="N83">
            <v>5</v>
          </cell>
          <cell r="P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</row>
        <row r="84">
          <cell r="C84">
            <v>9</v>
          </cell>
        </row>
        <row r="97">
          <cell r="C97">
            <v>9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U279"/>
  <sheetViews>
    <sheetView topLeftCell="B1" zoomScale="70" zoomScaleNormal="70" workbookViewId="0">
      <pane xSplit="3" ySplit="9" topLeftCell="T100" activePane="bottomRight" state="frozen"/>
      <selection activeCell="B1" sqref="B1"/>
      <selection pane="topRight" activeCell="D1" sqref="D1"/>
      <selection pane="bottomLeft" activeCell="B10" sqref="B10"/>
      <selection pane="bottomRight" activeCell="AC129" sqref="AC129"/>
    </sheetView>
  </sheetViews>
  <sheetFormatPr defaultRowHeight="15"/>
  <cols>
    <col min="1" max="1" width="25.7109375" style="3" bestFit="1" customWidth="1"/>
    <col min="2" max="2" width="25.7109375" style="3" customWidth="1"/>
    <col min="3" max="3" width="23" style="1013" customWidth="1"/>
    <col min="4" max="4" width="40.85546875" style="3" customWidth="1"/>
    <col min="5" max="8" width="11.42578125" style="3" bestFit="1" customWidth="1"/>
    <col min="9" max="9" width="8.5703125" style="3" bestFit="1" customWidth="1"/>
    <col min="10" max="10" width="11.42578125" style="3" bestFit="1" customWidth="1"/>
    <col min="11" max="12" width="11.42578125" bestFit="1" customWidth="1"/>
    <col min="13" max="15" width="8.5703125" bestFit="1" customWidth="1"/>
    <col min="16" max="16" width="7.7109375" bestFit="1" customWidth="1"/>
    <col min="17" max="17" width="8.5703125" bestFit="1" customWidth="1"/>
    <col min="18" max="20" width="10.140625" bestFit="1" customWidth="1"/>
    <col min="21" max="23" width="10.140625" style="2837" customWidth="1"/>
    <col min="24" max="24" width="10.140625" style="2837" bestFit="1" customWidth="1"/>
    <col min="25" max="26" width="10.140625" style="2837" customWidth="1"/>
    <col min="28" max="28" width="9.85546875" customWidth="1"/>
  </cols>
  <sheetData>
    <row r="1" spans="1:177" ht="15" customHeight="1">
      <c r="A1" s="752"/>
      <c r="B1" s="752"/>
      <c r="C1" s="1012"/>
      <c r="D1" s="752"/>
      <c r="E1" s="752"/>
      <c r="F1" s="762"/>
      <c r="G1" s="762"/>
      <c r="H1" s="762"/>
      <c r="I1" s="762"/>
      <c r="J1" s="762"/>
      <c r="K1" s="762"/>
      <c r="L1" s="762"/>
      <c r="M1" s="762"/>
      <c r="N1" s="762"/>
      <c r="O1" s="726"/>
      <c r="P1" s="726"/>
      <c r="Q1" s="726"/>
      <c r="R1" s="726"/>
      <c r="S1" s="726"/>
      <c r="T1" s="726"/>
      <c r="U1" s="726"/>
      <c r="V1" s="726"/>
      <c r="W1" s="726"/>
      <c r="X1" s="726"/>
      <c r="Y1" s="726"/>
      <c r="Z1" s="726"/>
      <c r="AA1" s="764"/>
      <c r="AB1" s="79"/>
    </row>
    <row r="2" spans="1:177" ht="15" customHeight="1">
      <c r="A2" s="752"/>
      <c r="B2" s="752"/>
      <c r="C2" s="1012"/>
      <c r="D2" s="752"/>
      <c r="E2" s="3544" t="s">
        <v>264</v>
      </c>
      <c r="F2" s="3544"/>
      <c r="G2" s="3544"/>
      <c r="H2" s="3544"/>
      <c r="I2" s="3544"/>
      <c r="J2" s="3544"/>
      <c r="K2" s="3544"/>
      <c r="L2" s="3544"/>
      <c r="M2" s="3544"/>
      <c r="N2" s="3544"/>
      <c r="O2" s="3544"/>
      <c r="P2" s="726"/>
      <c r="Q2" s="726"/>
      <c r="R2" s="726"/>
      <c r="S2" s="726"/>
      <c r="T2" s="726"/>
      <c r="U2" s="726"/>
      <c r="V2" s="726"/>
      <c r="W2" s="726"/>
      <c r="X2" s="726"/>
      <c r="Y2" s="726"/>
      <c r="Z2" s="726"/>
      <c r="AA2" s="764"/>
      <c r="AB2" s="79"/>
    </row>
    <row r="3" spans="1:177" ht="15" customHeight="1">
      <c r="A3" s="752"/>
      <c r="B3" s="752"/>
      <c r="C3" s="1012"/>
      <c r="D3" s="752"/>
      <c r="E3" s="3544"/>
      <c r="F3" s="3544"/>
      <c r="G3" s="3544"/>
      <c r="H3" s="3544"/>
      <c r="I3" s="3544"/>
      <c r="J3" s="3544"/>
      <c r="K3" s="3544"/>
      <c r="L3" s="3544"/>
      <c r="M3" s="3544"/>
      <c r="N3" s="3544"/>
      <c r="O3" s="3544"/>
      <c r="P3" s="726"/>
      <c r="Q3" s="726"/>
      <c r="R3" s="726"/>
      <c r="S3" s="726"/>
      <c r="T3" s="726"/>
      <c r="U3" s="726"/>
      <c r="V3" s="726"/>
      <c r="W3" s="726"/>
      <c r="X3" s="726"/>
      <c r="Y3" s="726"/>
      <c r="Z3" s="726"/>
      <c r="AA3" s="764"/>
      <c r="AB3" s="79"/>
    </row>
    <row r="4" spans="1:177" ht="15.75" thickBot="1">
      <c r="A4" s="752"/>
      <c r="B4" s="752"/>
      <c r="C4" s="1012"/>
      <c r="D4" s="752"/>
      <c r="E4" s="752"/>
      <c r="F4" s="752"/>
      <c r="G4" s="752"/>
      <c r="H4" s="752"/>
      <c r="I4" s="752"/>
      <c r="J4" s="752"/>
      <c r="K4" s="726"/>
      <c r="L4" s="726"/>
      <c r="M4" s="726"/>
      <c r="N4" s="726"/>
      <c r="O4" s="726"/>
      <c r="P4" s="726"/>
      <c r="Q4" s="726"/>
      <c r="R4" s="726"/>
      <c r="S4" s="726"/>
      <c r="T4" s="726"/>
      <c r="U4" s="726"/>
      <c r="V4" s="726"/>
      <c r="W4" s="726"/>
      <c r="X4" s="726"/>
      <c r="Y4" s="726"/>
      <c r="Z4" s="726"/>
      <c r="AA4" s="764"/>
      <c r="AB4" s="79"/>
    </row>
    <row r="5" spans="1:177" ht="15" customHeight="1" thickBot="1">
      <c r="A5" s="752"/>
      <c r="B5" s="752"/>
      <c r="C5" s="1012"/>
      <c r="D5" s="752"/>
      <c r="E5" s="752"/>
      <c r="F5" s="3538" t="s">
        <v>195</v>
      </c>
      <c r="G5" s="3539"/>
      <c r="H5" s="3539"/>
      <c r="I5" s="3539"/>
      <c r="J5" s="3539"/>
      <c r="K5" s="3539"/>
      <c r="L5" s="3539"/>
      <c r="M5" s="3539"/>
      <c r="N5" s="3540"/>
      <c r="O5" s="750"/>
      <c r="P5" s="754"/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64"/>
      <c r="AB5" s="79"/>
    </row>
    <row r="6" spans="1:177" ht="15.75" thickBot="1">
      <c r="A6" s="752"/>
      <c r="B6" s="752"/>
      <c r="C6" s="1012"/>
      <c r="D6" s="752"/>
      <c r="E6" s="753"/>
      <c r="F6" s="751"/>
      <c r="G6" s="3541" t="s">
        <v>236</v>
      </c>
      <c r="H6" s="3542"/>
      <c r="I6" s="3542"/>
      <c r="J6" s="3542"/>
      <c r="K6" s="3542"/>
      <c r="L6" s="3542"/>
      <c r="M6" s="3543"/>
      <c r="N6" s="754"/>
      <c r="O6" s="754"/>
      <c r="P6" s="754"/>
      <c r="Q6" s="726"/>
      <c r="R6" s="726"/>
      <c r="S6" s="726"/>
      <c r="T6" s="726"/>
      <c r="U6" s="726"/>
      <c r="V6" s="726"/>
      <c r="W6" s="726"/>
      <c r="X6" s="726"/>
      <c r="Y6" s="726"/>
      <c r="Z6" s="726"/>
      <c r="AA6" s="764"/>
      <c r="AB6" s="79"/>
    </row>
    <row r="7" spans="1:177" ht="15" customHeight="1" thickBot="1">
      <c r="A7" s="116"/>
      <c r="B7" s="116"/>
      <c r="C7" s="580"/>
      <c r="D7" s="116"/>
      <c r="E7" s="237"/>
      <c r="F7" s="237"/>
      <c r="G7" s="237"/>
      <c r="H7" s="237"/>
      <c r="I7" s="237"/>
      <c r="J7" s="193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767"/>
      <c r="AB7" s="79"/>
    </row>
    <row r="8" spans="1:177" ht="15" customHeight="1" thickBot="1">
      <c r="A8" s="3519" t="s">
        <v>0</v>
      </c>
      <c r="B8" s="1006"/>
      <c r="C8" s="1006"/>
      <c r="D8" s="3521" t="s">
        <v>1</v>
      </c>
      <c r="E8" s="3550">
        <v>2011</v>
      </c>
      <c r="F8" s="3551"/>
      <c r="G8" s="3551"/>
      <c r="H8" s="3552"/>
      <c r="I8" s="3547">
        <v>2012</v>
      </c>
      <c r="J8" s="3548"/>
      <c r="K8" s="3548"/>
      <c r="L8" s="3549"/>
      <c r="M8" s="3516">
        <v>2013</v>
      </c>
      <c r="N8" s="3517"/>
      <c r="O8" s="3517"/>
      <c r="P8" s="3517"/>
      <c r="Q8" s="3516">
        <v>2014</v>
      </c>
      <c r="R8" s="3517"/>
      <c r="S8" s="3517"/>
      <c r="T8" s="3518"/>
      <c r="U8" s="3516">
        <v>2015</v>
      </c>
      <c r="V8" s="3517"/>
      <c r="W8" s="3517"/>
      <c r="X8" s="3518"/>
      <c r="Y8" s="3516">
        <v>2016</v>
      </c>
      <c r="Z8" s="3517"/>
      <c r="AA8" s="3517"/>
      <c r="AB8" s="3518"/>
      <c r="AC8" s="3516">
        <v>2017</v>
      </c>
      <c r="AD8" s="3517"/>
      <c r="AE8" s="3517"/>
      <c r="AF8" s="3518"/>
      <c r="AZ8" s="31"/>
      <c r="BB8" s="13"/>
      <c r="BH8" s="27"/>
      <c r="BI8" s="13"/>
      <c r="BO8" s="31"/>
      <c r="BP8" s="31"/>
      <c r="BQ8" s="31"/>
      <c r="BW8" s="31"/>
      <c r="BY8" s="31"/>
      <c r="CE8" s="13"/>
      <c r="CF8" s="26"/>
      <c r="CG8" s="26"/>
      <c r="CO8" s="26"/>
      <c r="CP8" s="31"/>
      <c r="CQ8" s="31"/>
      <c r="CW8" s="31"/>
      <c r="CY8" s="32"/>
    </row>
    <row r="9" spans="1:177" ht="15" customHeight="1" thickBot="1">
      <c r="A9" s="3520"/>
      <c r="B9" s="1007"/>
      <c r="C9" s="1007"/>
      <c r="D9" s="3522"/>
      <c r="E9" s="720" t="s">
        <v>2</v>
      </c>
      <c r="F9" s="721" t="s">
        <v>3</v>
      </c>
      <c r="G9" s="725" t="s">
        <v>4</v>
      </c>
      <c r="H9" s="722" t="s">
        <v>5</v>
      </c>
      <c r="I9" s="723" t="s">
        <v>2</v>
      </c>
      <c r="J9" s="721" t="s">
        <v>3</v>
      </c>
      <c r="K9" s="725" t="s">
        <v>4</v>
      </c>
      <c r="L9" s="724" t="s">
        <v>5</v>
      </c>
      <c r="M9" s="723" t="s">
        <v>2</v>
      </c>
      <c r="N9" s="721" t="s">
        <v>3</v>
      </c>
      <c r="O9" s="725" t="s">
        <v>4</v>
      </c>
      <c r="P9" s="724" t="s">
        <v>5</v>
      </c>
      <c r="Q9" s="723" t="s">
        <v>2</v>
      </c>
      <c r="R9" s="721" t="s">
        <v>3</v>
      </c>
      <c r="S9" s="725" t="s">
        <v>4</v>
      </c>
      <c r="T9" s="724" t="s">
        <v>5</v>
      </c>
      <c r="U9" s="2842" t="s">
        <v>2</v>
      </c>
      <c r="V9" s="2843" t="s">
        <v>3</v>
      </c>
      <c r="W9" s="2844" t="s">
        <v>4</v>
      </c>
      <c r="X9" s="724" t="s">
        <v>5</v>
      </c>
      <c r="Y9" s="3119" t="s">
        <v>2</v>
      </c>
      <c r="Z9" s="3103" t="s">
        <v>3</v>
      </c>
      <c r="AA9" s="3209" t="s">
        <v>4</v>
      </c>
      <c r="AB9" s="724" t="s">
        <v>5</v>
      </c>
      <c r="AC9" s="3119" t="s">
        <v>2</v>
      </c>
      <c r="AD9" s="3480" t="s">
        <v>3</v>
      </c>
      <c r="AE9" s="3481" t="s">
        <v>4</v>
      </c>
      <c r="AF9" s="724" t="s">
        <v>5</v>
      </c>
      <c r="AZ9" s="16"/>
      <c r="BB9" s="14"/>
      <c r="BH9" s="16"/>
      <c r="BI9" s="14"/>
      <c r="BO9" s="16"/>
      <c r="BP9" s="16"/>
      <c r="BQ9" s="16"/>
      <c r="BW9" s="16"/>
      <c r="BY9" s="29"/>
      <c r="CE9" s="14"/>
      <c r="CF9" s="26"/>
      <c r="CG9" s="28"/>
      <c r="CO9" s="28"/>
      <c r="CP9" s="16"/>
      <c r="CQ9" s="16"/>
      <c r="CW9" s="16"/>
      <c r="CY9" s="29"/>
      <c r="EX9" s="26"/>
      <c r="EY9" s="26"/>
      <c r="EZ9" s="26"/>
      <c r="FA9" s="26"/>
      <c r="FB9" s="26"/>
      <c r="FC9" s="26"/>
      <c r="FD9" s="26"/>
      <c r="FE9" s="26"/>
      <c r="FF9" s="26"/>
    </row>
    <row r="10" spans="1:177">
      <c r="A10" s="113"/>
      <c r="B10" s="113"/>
      <c r="C10" s="113"/>
      <c r="D10" s="114"/>
      <c r="E10" s="115"/>
      <c r="F10" s="115"/>
      <c r="G10" s="115"/>
      <c r="H10" s="115"/>
      <c r="I10" s="115"/>
      <c r="J10" s="115"/>
      <c r="K10" s="115"/>
      <c r="L10" s="114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Z10" s="16"/>
      <c r="BB10" s="14"/>
      <c r="BH10" s="16"/>
      <c r="BI10" s="14"/>
      <c r="BO10" s="16"/>
      <c r="BP10" s="16"/>
      <c r="BQ10" s="16"/>
      <c r="BW10" s="16"/>
      <c r="BY10" s="29"/>
      <c r="CE10" s="14"/>
      <c r="CF10" s="26"/>
      <c r="CG10" s="26"/>
      <c r="CO10" s="26"/>
      <c r="CP10" s="16"/>
      <c r="CQ10" s="16"/>
      <c r="CW10" s="16"/>
      <c r="CY10" s="29"/>
      <c r="DV10" s="61"/>
      <c r="DW10" s="61"/>
      <c r="DX10" s="61"/>
      <c r="DY10" s="61"/>
      <c r="DZ10" s="61"/>
      <c r="EA10" s="61"/>
      <c r="EB10" s="61"/>
      <c r="EC10" s="61"/>
      <c r="EX10" s="26"/>
      <c r="EY10" s="26"/>
      <c r="EZ10" s="26"/>
      <c r="FA10" s="26"/>
      <c r="FB10" s="26"/>
      <c r="FC10" s="26"/>
      <c r="FD10" s="26"/>
      <c r="FE10" s="26"/>
      <c r="FF10" s="26"/>
    </row>
    <row r="11" spans="1:177">
      <c r="A11" s="113"/>
      <c r="B11" s="113"/>
      <c r="C11" s="113"/>
      <c r="D11" s="114"/>
      <c r="E11" s="115"/>
      <c r="F11" s="115"/>
      <c r="G11" s="115"/>
      <c r="H11" s="115"/>
      <c r="I11" s="115"/>
      <c r="J11" s="115"/>
      <c r="K11" s="115"/>
      <c r="L11" s="114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Z11" s="16"/>
      <c r="BB11" s="14"/>
      <c r="BH11" s="16"/>
      <c r="BI11" s="14"/>
      <c r="BO11" s="16"/>
      <c r="BP11" s="16"/>
      <c r="BQ11" s="16"/>
      <c r="BW11" s="16"/>
      <c r="BY11" s="29"/>
      <c r="CE11" s="14"/>
      <c r="CF11" s="26"/>
      <c r="CG11" s="26"/>
      <c r="CO11" s="26"/>
      <c r="CP11" s="16"/>
      <c r="CQ11" s="16"/>
      <c r="CW11" s="16"/>
      <c r="CY11" s="29"/>
      <c r="DV11" s="61"/>
      <c r="DW11" s="61"/>
      <c r="DX11" s="61"/>
      <c r="DY11" s="61"/>
      <c r="DZ11" s="61"/>
      <c r="EA11" s="61"/>
      <c r="EB11" s="61"/>
      <c r="EC11" s="61"/>
      <c r="EX11" s="26"/>
      <c r="EY11" s="26"/>
      <c r="EZ11" s="26"/>
      <c r="FA11" s="26"/>
      <c r="FB11" s="26"/>
      <c r="FC11" s="26"/>
      <c r="FD11" s="26"/>
      <c r="FE11" s="26"/>
      <c r="FF11" s="26"/>
    </row>
    <row r="12" spans="1:177" ht="15" customHeight="1">
      <c r="A12" s="113"/>
      <c r="B12" s="113"/>
      <c r="C12" s="113"/>
      <c r="D12" s="114"/>
      <c r="E12" s="115"/>
      <c r="F12" s="115"/>
      <c r="G12" s="3553" t="s">
        <v>125</v>
      </c>
      <c r="H12" s="3554"/>
      <c r="I12" s="3554"/>
      <c r="J12" s="3554"/>
      <c r="K12" s="107"/>
      <c r="L12" s="329"/>
      <c r="M12" s="107"/>
      <c r="N12" s="107"/>
      <c r="O12" s="3546" t="s">
        <v>125</v>
      </c>
      <c r="P12" s="3546"/>
      <c r="Q12" s="3546"/>
      <c r="R12" s="3546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61"/>
      <c r="AH12" s="61"/>
      <c r="AZ12" s="16"/>
      <c r="BB12" s="14"/>
      <c r="BH12" s="16"/>
      <c r="BI12" s="14"/>
      <c r="BO12" s="16"/>
      <c r="BP12" s="16"/>
      <c r="BQ12" s="16"/>
      <c r="BW12" s="16"/>
      <c r="BY12" s="29"/>
      <c r="CE12" s="14"/>
      <c r="CF12" s="26"/>
      <c r="CG12" s="26"/>
      <c r="CO12" s="26"/>
      <c r="CP12" s="16"/>
      <c r="CQ12" s="16"/>
      <c r="CW12" s="16"/>
      <c r="CY12" s="29"/>
      <c r="DV12" s="61"/>
      <c r="DW12" s="61"/>
      <c r="DX12" s="61"/>
      <c r="DY12" s="61"/>
      <c r="DZ12" s="61"/>
      <c r="EA12" s="61"/>
      <c r="EB12" s="61"/>
      <c r="EC12" s="61"/>
      <c r="EX12" s="26"/>
      <c r="EY12" s="26"/>
      <c r="EZ12" s="26"/>
      <c r="FA12" s="26"/>
      <c r="FB12" s="26"/>
      <c r="FC12" s="26"/>
      <c r="FD12" s="26"/>
      <c r="FE12" s="26"/>
      <c r="FF12" s="26"/>
    </row>
    <row r="13" spans="1:177" ht="15.75" customHeight="1" thickBot="1">
      <c r="A13" s="328"/>
      <c r="B13" s="328"/>
      <c r="C13" s="113"/>
      <c r="D13" s="116"/>
      <c r="E13" s="116"/>
      <c r="F13" s="116"/>
      <c r="G13" s="3555"/>
      <c r="H13" s="3555"/>
      <c r="I13" s="3555"/>
      <c r="J13" s="3555"/>
      <c r="K13" s="107"/>
      <c r="L13" s="329"/>
      <c r="M13" s="107"/>
      <c r="N13" s="107"/>
      <c r="O13" s="3546"/>
      <c r="P13" s="3546"/>
      <c r="Q13" s="3546"/>
      <c r="R13" s="3546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61"/>
      <c r="AH13" s="61"/>
      <c r="AU13" s="61"/>
      <c r="AV13" s="61"/>
      <c r="AW13" s="61"/>
      <c r="AX13" s="61"/>
      <c r="AY13" s="61"/>
      <c r="AZ13" s="49"/>
      <c r="BA13" s="61"/>
      <c r="BB13" s="14"/>
      <c r="BC13" s="61"/>
      <c r="BD13" s="61"/>
      <c r="BH13" s="49"/>
      <c r="BI13" s="14"/>
      <c r="BJ13" s="61"/>
      <c r="BK13" s="61"/>
      <c r="BL13" s="61"/>
      <c r="BM13" s="61"/>
      <c r="BN13" s="61"/>
      <c r="BO13" s="49"/>
      <c r="BP13" s="49"/>
      <c r="BQ13" s="16"/>
      <c r="BW13" s="16"/>
      <c r="BY13" s="29"/>
      <c r="CE13" s="14"/>
      <c r="CF13" s="26"/>
      <c r="CG13" s="26"/>
      <c r="CO13" s="26"/>
      <c r="CP13" s="49"/>
      <c r="CQ13" s="49"/>
      <c r="CR13" s="61"/>
      <c r="CS13" s="61"/>
      <c r="CT13" s="61"/>
      <c r="CU13" s="61"/>
      <c r="CV13" s="61"/>
      <c r="CW13" s="49"/>
      <c r="CX13" s="61"/>
      <c r="CY13" s="74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V13" s="61"/>
      <c r="DW13" s="61"/>
      <c r="DX13" s="61"/>
      <c r="DY13" s="61"/>
      <c r="DZ13" s="61"/>
      <c r="EA13" s="61"/>
      <c r="EB13" s="61"/>
      <c r="EC13" s="61"/>
      <c r="EX13" s="26"/>
      <c r="EY13" s="61"/>
      <c r="EZ13" s="61"/>
      <c r="FA13" s="61"/>
      <c r="FB13" s="61"/>
      <c r="FC13" s="61"/>
      <c r="FD13" s="61"/>
      <c r="FE13" s="61"/>
      <c r="FF13" s="61"/>
      <c r="FG13" s="79"/>
      <c r="FH13" s="79"/>
      <c r="FO13" s="61"/>
      <c r="FP13" s="61"/>
      <c r="FQ13" s="61"/>
      <c r="FR13" s="61"/>
      <c r="FS13" s="61"/>
      <c r="FT13" s="61"/>
      <c r="FU13" s="61"/>
    </row>
    <row r="14" spans="1:177" ht="15.75" thickBot="1">
      <c r="A14" s="328"/>
      <c r="B14" s="328"/>
      <c r="C14" s="113" t="s">
        <v>283</v>
      </c>
      <c r="D14" s="266" t="s">
        <v>168</v>
      </c>
      <c r="E14" s="268">
        <v>5</v>
      </c>
      <c r="F14" s="268">
        <v>5</v>
      </c>
      <c r="G14" s="268">
        <v>5</v>
      </c>
      <c r="H14" s="345">
        <v>5</v>
      </c>
      <c r="I14" s="367">
        <v>5</v>
      </c>
      <c r="J14" s="268">
        <v>5</v>
      </c>
      <c r="K14" s="268">
        <v>5</v>
      </c>
      <c r="L14" s="2021">
        <v>5</v>
      </c>
      <c r="M14" s="367">
        <v>5</v>
      </c>
      <c r="N14" s="268">
        <v>5</v>
      </c>
      <c r="O14" s="355">
        <v>5</v>
      </c>
      <c r="P14" s="2021">
        <v>5</v>
      </c>
      <c r="Q14" s="367">
        <v>5</v>
      </c>
      <c r="R14" s="268">
        <v>5</v>
      </c>
      <c r="S14" s="268">
        <v>5</v>
      </c>
      <c r="T14" s="433">
        <v>5</v>
      </c>
      <c r="U14" s="433">
        <v>5</v>
      </c>
      <c r="V14" s="433">
        <v>5</v>
      </c>
      <c r="W14" s="433">
        <v>5</v>
      </c>
      <c r="X14" s="433">
        <v>5</v>
      </c>
      <c r="Y14" s="433">
        <v>5</v>
      </c>
      <c r="Z14" s="433">
        <v>5</v>
      </c>
      <c r="AA14" s="2888">
        <v>5</v>
      </c>
      <c r="AB14" s="3120">
        <v>5</v>
      </c>
      <c r="AC14" s="433">
        <v>5</v>
      </c>
      <c r="AD14" s="433">
        <v>5</v>
      </c>
      <c r="AE14" s="2888">
        <v>5</v>
      </c>
      <c r="AF14" s="3120">
        <v>5</v>
      </c>
      <c r="AG14" s="61"/>
      <c r="AH14" s="61"/>
      <c r="AU14" s="61"/>
      <c r="AV14" s="61"/>
      <c r="AW14" s="61"/>
      <c r="AX14" s="61"/>
      <c r="AY14" s="61"/>
      <c r="AZ14" s="49"/>
      <c r="BA14" s="61"/>
      <c r="BB14" s="14"/>
      <c r="BC14" s="61"/>
      <c r="BD14" s="61"/>
      <c r="BH14" s="49"/>
      <c r="BI14" s="14"/>
      <c r="BJ14" s="61"/>
      <c r="BK14" s="61"/>
      <c r="BL14" s="61"/>
      <c r="BM14" s="61"/>
      <c r="BN14" s="61"/>
      <c r="BO14" s="49"/>
      <c r="BP14" s="49"/>
      <c r="BQ14" s="16"/>
      <c r="BW14" s="16"/>
      <c r="BY14" s="29"/>
      <c r="CE14" s="14"/>
      <c r="CF14" s="26"/>
      <c r="CG14" s="26"/>
      <c r="CO14" s="26"/>
      <c r="CP14" s="49"/>
      <c r="CQ14" s="49"/>
      <c r="CR14" s="61"/>
      <c r="CS14" s="61"/>
      <c r="CT14" s="61"/>
      <c r="CU14" s="61"/>
      <c r="CV14" s="61"/>
      <c r="CW14" s="49"/>
      <c r="CX14" s="61"/>
      <c r="CY14" s="74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V14" s="61"/>
      <c r="DW14" s="61"/>
      <c r="DX14" s="61"/>
      <c r="DY14" s="61"/>
      <c r="DZ14" s="61"/>
      <c r="EA14" s="61"/>
      <c r="EB14" s="61"/>
      <c r="EC14" s="61"/>
      <c r="EX14" s="26"/>
      <c r="EY14" s="61"/>
      <c r="EZ14" s="61"/>
      <c r="FA14" s="61"/>
      <c r="FB14" s="61"/>
      <c r="FC14" s="61"/>
      <c r="FD14" s="61"/>
      <c r="FE14" s="61"/>
      <c r="FF14" s="61"/>
      <c r="FG14" s="79"/>
      <c r="FH14" s="79"/>
      <c r="FO14" s="61"/>
      <c r="FP14" s="61"/>
      <c r="FQ14" s="61"/>
      <c r="FR14" s="61"/>
      <c r="FS14" s="61"/>
      <c r="FT14" s="61"/>
      <c r="FU14" s="61"/>
    </row>
    <row r="15" spans="1:177" ht="15" customHeight="1">
      <c r="A15" s="1137" t="s">
        <v>16</v>
      </c>
      <c r="B15" s="3523" t="s">
        <v>16</v>
      </c>
      <c r="C15" s="1138">
        <v>3</v>
      </c>
      <c r="D15" s="1139" t="s">
        <v>21</v>
      </c>
      <c r="E15" s="1602">
        <v>6.3</v>
      </c>
      <c r="F15" s="1112">
        <v>6.5</v>
      </c>
      <c r="G15" s="1112">
        <v>8</v>
      </c>
      <c r="H15" s="1113">
        <v>5.69</v>
      </c>
      <c r="I15" s="1530">
        <v>6.5</v>
      </c>
      <c r="J15" s="1114">
        <v>4.4000000000000004</v>
      </c>
      <c r="K15" s="1115">
        <v>5.3</v>
      </c>
      <c r="L15" s="2435">
        <v>4.9000000000000004</v>
      </c>
      <c r="M15" s="1118">
        <v>5.2</v>
      </c>
      <c r="N15" s="1207">
        <v>5.8</v>
      </c>
      <c r="O15" s="1207">
        <v>5.8</v>
      </c>
      <c r="P15" s="1207">
        <v>4.7</v>
      </c>
      <c r="Q15" s="1203">
        <v>5.3</v>
      </c>
      <c r="R15" s="1119">
        <v>4.2</v>
      </c>
      <c r="S15" s="1119">
        <v>4.71</v>
      </c>
      <c r="T15" s="1120">
        <v>3.84</v>
      </c>
      <c r="U15" s="1120"/>
      <c r="V15" s="1120"/>
      <c r="W15" s="1120"/>
      <c r="X15" s="1120">
        <v>3.8</v>
      </c>
      <c r="Y15" s="2926">
        <v>4.2</v>
      </c>
      <c r="Z15" s="2926">
        <v>3.46</v>
      </c>
      <c r="AA15" s="2926">
        <v>5.7</v>
      </c>
      <c r="AB15" s="2861">
        <v>4.54</v>
      </c>
      <c r="AC15" s="2926">
        <v>6.3</v>
      </c>
      <c r="AD15" s="2926"/>
      <c r="AE15" s="2926"/>
      <c r="AF15" s="2861"/>
      <c r="AG15" s="67"/>
      <c r="AH15" s="67"/>
      <c r="AL15" s="3562" t="s">
        <v>219</v>
      </c>
      <c r="AM15" s="3563"/>
      <c r="AN15" s="3563"/>
      <c r="AO15" s="3563"/>
      <c r="AP15" s="3563"/>
      <c r="AQ15" s="3563"/>
      <c r="AR15" s="3564"/>
      <c r="AU15" s="61"/>
      <c r="AV15" s="61"/>
      <c r="AW15" s="61"/>
      <c r="AX15" s="61"/>
      <c r="AY15" s="67"/>
      <c r="AZ15" s="67"/>
      <c r="BA15" s="61"/>
      <c r="BB15" s="61"/>
      <c r="BC15" s="61"/>
      <c r="BD15" s="61"/>
      <c r="BH15" s="49"/>
      <c r="BI15" s="61"/>
      <c r="BJ15" s="61"/>
      <c r="BK15" s="61"/>
      <c r="BL15" s="61"/>
      <c r="BM15" s="61"/>
      <c r="BN15" s="3545"/>
      <c r="BO15" s="3545"/>
      <c r="BP15" s="49"/>
      <c r="BW15" s="16"/>
      <c r="BX15" s="61"/>
      <c r="BY15" s="61"/>
      <c r="BZ15" s="61"/>
      <c r="CA15" s="61"/>
      <c r="CB15" s="61"/>
      <c r="CC15" s="61"/>
      <c r="CD15" s="61"/>
      <c r="CE15" s="67"/>
      <c r="CF15" s="67"/>
      <c r="CG15" s="61"/>
      <c r="CH15" s="26"/>
      <c r="CI15" s="26"/>
      <c r="CJ15" s="26"/>
      <c r="CK15" s="26"/>
      <c r="CL15" s="26"/>
      <c r="CM15" s="26"/>
      <c r="CN15" s="26"/>
      <c r="CP15" s="61"/>
      <c r="CQ15" s="61"/>
      <c r="CR15" s="61"/>
      <c r="CS15" s="61"/>
      <c r="CT15" s="61"/>
      <c r="CU15" s="61"/>
      <c r="CV15" s="67"/>
      <c r="CW15" s="67"/>
      <c r="CX15" s="61"/>
      <c r="CY15" s="61"/>
      <c r="DF15" s="61"/>
      <c r="DG15" s="61"/>
      <c r="DH15" s="61"/>
      <c r="DI15" s="61"/>
      <c r="DJ15" s="61"/>
      <c r="DK15" s="67"/>
      <c r="DL15" s="67"/>
      <c r="DM15" s="61"/>
      <c r="DN15" s="61"/>
      <c r="DO15" s="61"/>
      <c r="DP15" s="61"/>
      <c r="DQ15" s="61"/>
      <c r="DR15" s="61"/>
      <c r="DS15" s="61"/>
      <c r="DT15" s="61"/>
      <c r="DV15" s="61"/>
      <c r="DW15" s="61"/>
      <c r="DX15" s="61"/>
      <c r="DY15" s="61"/>
      <c r="DZ15" s="67"/>
      <c r="EA15" s="67"/>
      <c r="EB15" s="61"/>
      <c r="EC15" s="61"/>
      <c r="EL15" s="61"/>
      <c r="EM15" s="61"/>
      <c r="EN15" s="61"/>
      <c r="EO15" s="67"/>
      <c r="EP15" s="67"/>
      <c r="EQ15" s="61"/>
      <c r="EX15" s="26"/>
      <c r="EY15" s="61"/>
      <c r="EZ15" s="61"/>
      <c r="FA15" s="61"/>
      <c r="FB15" s="61"/>
      <c r="FC15" s="61"/>
      <c r="FD15" s="67"/>
      <c r="FE15" s="67"/>
      <c r="FF15" s="61"/>
      <c r="FG15" s="79"/>
      <c r="FH15" s="79"/>
      <c r="FO15" s="61"/>
      <c r="FP15" s="61"/>
      <c r="FQ15" s="61"/>
      <c r="FR15" s="61"/>
      <c r="FS15" s="67"/>
      <c r="FT15" s="67"/>
      <c r="FU15" s="61"/>
    </row>
    <row r="16" spans="1:177" ht="15.75">
      <c r="A16" s="1140" t="s">
        <v>16</v>
      </c>
      <c r="B16" s="3524"/>
      <c r="C16" s="1141"/>
      <c r="D16" s="1142" t="s">
        <v>20</v>
      </c>
      <c r="E16" s="1122">
        <v>6.13</v>
      </c>
      <c r="F16" s="1122">
        <v>6.1</v>
      </c>
      <c r="G16" s="1122">
        <v>5.5</v>
      </c>
      <c r="H16" s="1123">
        <v>4.7</v>
      </c>
      <c r="I16" s="324">
        <v>6.7</v>
      </c>
      <c r="J16" s="1003">
        <v>3.7</v>
      </c>
      <c r="K16" s="1004">
        <v>4.3</v>
      </c>
      <c r="L16" s="2436">
        <v>5.2</v>
      </c>
      <c r="M16" s="1126">
        <v>5.3</v>
      </c>
      <c r="N16" s="1208">
        <v>3.1</v>
      </c>
      <c r="O16" s="1208">
        <v>3.8</v>
      </c>
      <c r="P16" s="1208">
        <v>4.0999999999999996</v>
      </c>
      <c r="Q16" s="1046">
        <v>3.92</v>
      </c>
      <c r="R16" s="1127">
        <v>3.8</v>
      </c>
      <c r="S16" s="1127">
        <v>3.01</v>
      </c>
      <c r="T16" s="1128">
        <v>2.23</v>
      </c>
      <c r="U16" s="1128"/>
      <c r="V16" s="1128"/>
      <c r="W16" s="1128"/>
      <c r="X16" s="1128">
        <v>2.93</v>
      </c>
      <c r="Y16" s="2927">
        <v>3.6</v>
      </c>
      <c r="Z16" s="2927">
        <v>2.98</v>
      </c>
      <c r="AA16" s="2927">
        <v>3.9</v>
      </c>
      <c r="AB16" s="2863">
        <v>3.82</v>
      </c>
      <c r="AC16" s="2927">
        <v>5.2</v>
      </c>
      <c r="AD16" s="2927"/>
      <c r="AE16" s="2927"/>
      <c r="AF16" s="2863"/>
      <c r="AG16" s="61"/>
      <c r="AH16" s="61"/>
      <c r="AL16" s="3559" t="s">
        <v>245</v>
      </c>
      <c r="AM16" s="3560"/>
      <c r="AN16" s="3560"/>
      <c r="AO16" s="3560"/>
      <c r="AP16" s="3560"/>
      <c r="AQ16" s="3560"/>
      <c r="AR16" s="3561"/>
      <c r="AS16" s="26"/>
      <c r="AT16" s="26"/>
      <c r="AU16" s="61"/>
      <c r="AV16" s="61"/>
      <c r="AW16" s="61"/>
      <c r="AX16" s="61"/>
      <c r="AY16" s="61"/>
      <c r="AZ16" s="49"/>
      <c r="BA16" s="61"/>
      <c r="BB16" s="61"/>
      <c r="BC16" s="61"/>
      <c r="BD16" s="61"/>
      <c r="BE16" s="26"/>
      <c r="BF16" s="26"/>
      <c r="BG16" s="26"/>
      <c r="BH16" s="49"/>
      <c r="BI16" s="61"/>
      <c r="BJ16" s="61"/>
      <c r="BK16" s="61"/>
      <c r="BL16" s="61"/>
      <c r="BM16" s="61"/>
      <c r="BN16" s="61"/>
      <c r="BO16" s="69"/>
      <c r="BP16" s="69"/>
      <c r="BQ16" s="26"/>
      <c r="BR16" s="26"/>
      <c r="BS16" s="26"/>
      <c r="BT16" s="26"/>
      <c r="BW16" s="17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26"/>
      <c r="CI16" s="26"/>
      <c r="CJ16" s="26"/>
      <c r="CK16" s="26"/>
      <c r="CL16" s="26"/>
      <c r="CM16" s="26"/>
      <c r="CN16" s="26"/>
      <c r="CO16" s="26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26"/>
      <c r="DA16" s="26"/>
      <c r="DB16" s="26"/>
      <c r="DC16" s="26"/>
      <c r="DD16" s="26"/>
      <c r="DE16" s="26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V16" s="61"/>
      <c r="DW16" s="61"/>
      <c r="DX16" s="61"/>
      <c r="DY16" s="61"/>
      <c r="DZ16" s="61"/>
      <c r="EA16" s="61"/>
      <c r="EB16" s="61"/>
      <c r="EC16" s="61"/>
      <c r="EL16" s="61"/>
      <c r="EM16" s="61"/>
      <c r="EN16" s="61"/>
      <c r="EO16" s="61"/>
      <c r="EP16" s="61"/>
      <c r="EQ16" s="61"/>
      <c r="EX16" s="26"/>
      <c r="EY16" s="61"/>
      <c r="EZ16" s="61"/>
      <c r="FA16" s="61"/>
      <c r="FB16" s="61"/>
      <c r="FC16" s="61"/>
      <c r="FD16" s="61"/>
      <c r="FE16" s="61"/>
      <c r="FF16" s="61"/>
      <c r="FG16" s="79"/>
      <c r="FH16" s="79"/>
      <c r="FO16" s="61"/>
      <c r="FP16" s="61"/>
      <c r="FQ16" s="61"/>
      <c r="FR16" s="61"/>
      <c r="FS16" s="61"/>
      <c r="FT16" s="61"/>
      <c r="FU16" s="61"/>
    </row>
    <row r="17" spans="1:177" ht="15" customHeight="1">
      <c r="A17" s="1140" t="s">
        <v>16</v>
      </c>
      <c r="B17" s="3524"/>
      <c r="C17" s="1141"/>
      <c r="D17" s="1142" t="s">
        <v>17</v>
      </c>
      <c r="E17" s="1122">
        <v>5.83</v>
      </c>
      <c r="F17" s="1122">
        <v>5.4</v>
      </c>
      <c r="G17" s="1122">
        <v>7.3</v>
      </c>
      <c r="H17" s="1123">
        <v>6.95</v>
      </c>
      <c r="I17" s="324">
        <v>5.4</v>
      </c>
      <c r="J17" s="1003">
        <v>4.8</v>
      </c>
      <c r="K17" s="1004">
        <v>3.4</v>
      </c>
      <c r="L17" s="2436">
        <v>4.5</v>
      </c>
      <c r="M17" s="1126">
        <v>5.0999999999999996</v>
      </c>
      <c r="N17" s="1208">
        <v>2.8</v>
      </c>
      <c r="O17" s="1208">
        <v>4.8</v>
      </c>
      <c r="P17" s="1208">
        <v>3.5</v>
      </c>
      <c r="Q17" s="1046">
        <v>3.94</v>
      </c>
      <c r="R17" s="1127">
        <v>3.4</v>
      </c>
      <c r="S17" s="1127">
        <v>3</v>
      </c>
      <c r="T17" s="1128">
        <v>3.87</v>
      </c>
      <c r="U17" s="1128"/>
      <c r="V17" s="1128"/>
      <c r="W17" s="1128"/>
      <c r="X17" s="1128">
        <v>2.93</v>
      </c>
      <c r="Y17" s="2927"/>
      <c r="Z17" s="3268" t="s">
        <v>336</v>
      </c>
      <c r="AA17" s="2927" t="s">
        <v>336</v>
      </c>
      <c r="AB17" s="2863"/>
      <c r="AC17" s="2927" t="s">
        <v>336</v>
      </c>
      <c r="AD17" s="3268"/>
      <c r="AE17" s="2927"/>
      <c r="AF17" s="2863"/>
      <c r="AG17" s="73"/>
      <c r="AH17" s="73"/>
      <c r="AI17" s="73"/>
      <c r="AJ17" s="13"/>
      <c r="AL17" s="3556" t="s">
        <v>222</v>
      </c>
      <c r="AM17" s="3557"/>
      <c r="AN17" s="3557"/>
      <c r="AO17" s="3557"/>
      <c r="AP17" s="3557"/>
      <c r="AQ17" s="3557"/>
      <c r="AR17" s="3558"/>
      <c r="AS17" s="31"/>
      <c r="AT17" s="31"/>
      <c r="AU17" s="61"/>
      <c r="AV17" s="73"/>
      <c r="AW17" s="73"/>
      <c r="AX17" s="73"/>
      <c r="AY17" s="13"/>
      <c r="AZ17" s="61"/>
      <c r="BA17" s="13"/>
      <c r="BB17" s="61"/>
      <c r="BC17" s="61"/>
      <c r="BD17" s="73"/>
      <c r="BE17" s="31"/>
      <c r="BF17" s="13"/>
      <c r="BG17" s="26"/>
      <c r="BH17" s="61"/>
      <c r="BI17" s="81"/>
      <c r="BJ17" s="61"/>
      <c r="BK17" s="73"/>
      <c r="BL17" s="73"/>
      <c r="BM17" s="73"/>
      <c r="BN17" s="13"/>
      <c r="BO17" s="61"/>
      <c r="BP17" s="73"/>
      <c r="BQ17" s="31"/>
      <c r="BR17" s="31"/>
      <c r="BS17" s="13"/>
      <c r="BT17" s="26"/>
      <c r="BW17" s="17"/>
      <c r="BX17" s="61"/>
      <c r="BY17" s="61"/>
      <c r="BZ17" s="73"/>
      <c r="CA17" s="73"/>
      <c r="CB17" s="73"/>
      <c r="CC17" s="73"/>
      <c r="CD17" s="73"/>
      <c r="CE17" s="13"/>
      <c r="CF17" s="73"/>
      <c r="CG17" s="73"/>
      <c r="CH17" s="31"/>
      <c r="CI17" s="31"/>
      <c r="CJ17" s="13"/>
      <c r="CK17" s="26"/>
      <c r="CL17" s="26"/>
      <c r="CM17" s="31"/>
      <c r="CN17" s="31"/>
      <c r="CO17" s="31"/>
      <c r="CP17" s="61"/>
      <c r="CQ17" s="73"/>
      <c r="CR17" s="73"/>
      <c r="CS17" s="73"/>
      <c r="CT17" s="73"/>
      <c r="CU17" s="73"/>
      <c r="CV17" s="13"/>
      <c r="CW17" s="73"/>
      <c r="CX17" s="13"/>
      <c r="CY17" s="61"/>
      <c r="CZ17" s="26"/>
      <c r="DA17" s="32"/>
      <c r="DB17" s="32"/>
      <c r="DC17" s="32"/>
      <c r="DD17" s="13"/>
      <c r="DE17" s="26"/>
      <c r="DF17" s="61"/>
      <c r="DG17" s="61"/>
      <c r="DH17" s="81"/>
      <c r="DI17" s="81"/>
      <c r="DJ17" s="81"/>
      <c r="DK17" s="13"/>
      <c r="DL17" s="61"/>
      <c r="DM17" s="61"/>
      <c r="DN17" s="61"/>
      <c r="DO17" s="61"/>
      <c r="DP17" s="61"/>
      <c r="DQ17" s="61"/>
      <c r="DR17" s="61"/>
      <c r="DS17" s="61"/>
      <c r="DT17" s="61"/>
      <c r="DV17" s="61"/>
      <c r="DW17" s="73"/>
      <c r="DX17" s="73"/>
      <c r="DY17" s="73"/>
      <c r="DZ17" s="13"/>
      <c r="EA17" s="61"/>
      <c r="EB17" s="61"/>
      <c r="EC17" s="61"/>
      <c r="EL17" s="61"/>
      <c r="EM17" s="73"/>
      <c r="EN17" s="73"/>
      <c r="EO17" s="13"/>
      <c r="EP17" s="61"/>
      <c r="EQ17" s="61"/>
      <c r="EX17" s="26"/>
      <c r="EY17" s="61"/>
      <c r="EZ17" s="61"/>
      <c r="FA17" s="73"/>
      <c r="FB17" s="73"/>
      <c r="FC17" s="73"/>
      <c r="FD17" s="13"/>
      <c r="FE17" s="61"/>
      <c r="FF17" s="61"/>
      <c r="FG17" s="79"/>
      <c r="FH17" s="79"/>
      <c r="FO17" s="61"/>
      <c r="FP17" s="13"/>
      <c r="FQ17" s="13"/>
      <c r="FR17" s="13"/>
      <c r="FS17" s="13"/>
      <c r="FT17" s="61"/>
      <c r="FU17" s="61"/>
    </row>
    <row r="18" spans="1:177" ht="16.5" thickBot="1">
      <c r="A18" s="1143" t="s">
        <v>16</v>
      </c>
      <c r="B18" s="3525"/>
      <c r="C18" s="1144"/>
      <c r="D18" s="1145" t="s">
        <v>18</v>
      </c>
      <c r="E18" s="1146">
        <v>6.23</v>
      </c>
      <c r="F18" s="1146">
        <v>6.2</v>
      </c>
      <c r="G18" s="1146">
        <v>7.4</v>
      </c>
      <c r="H18" s="1159">
        <v>4.08</v>
      </c>
      <c r="I18" s="1160">
        <v>4.29</v>
      </c>
      <c r="J18" s="1147">
        <v>4.7</v>
      </c>
      <c r="K18" s="1148">
        <v>5.0999999999999996</v>
      </c>
      <c r="L18" s="2437">
        <v>5.0999999999999996</v>
      </c>
      <c r="M18" s="1135">
        <v>3.6</v>
      </c>
      <c r="N18" s="1209">
        <v>3.6</v>
      </c>
      <c r="O18" s="1209">
        <v>4.2</v>
      </c>
      <c r="P18" s="2488">
        <v>4.2</v>
      </c>
      <c r="Q18" s="886">
        <v>4.53</v>
      </c>
      <c r="R18" s="633">
        <v>4.0999999999999996</v>
      </c>
      <c r="S18" s="633">
        <v>2.58</v>
      </c>
      <c r="T18" s="634">
        <v>1.56</v>
      </c>
      <c r="U18" s="634"/>
      <c r="V18" s="634"/>
      <c r="W18" s="634"/>
      <c r="X18" s="634">
        <v>3.5</v>
      </c>
      <c r="Y18" s="2928">
        <v>3.76</v>
      </c>
      <c r="Z18" s="2928">
        <v>3.02</v>
      </c>
      <c r="AA18" s="2928">
        <v>3.5</v>
      </c>
      <c r="AB18" s="2866">
        <v>3.72</v>
      </c>
      <c r="AC18" s="2928">
        <v>5.8</v>
      </c>
      <c r="AD18" s="2928"/>
      <c r="AE18" s="2928"/>
      <c r="AF18" s="2866"/>
      <c r="AG18" s="49"/>
      <c r="AH18" s="49"/>
      <c r="AI18" s="49"/>
      <c r="AJ18" s="77"/>
      <c r="AL18" s="3559" t="s">
        <v>220</v>
      </c>
      <c r="AM18" s="3560"/>
      <c r="AN18" s="3560"/>
      <c r="AO18" s="3560"/>
      <c r="AP18" s="3560"/>
      <c r="AQ18" s="3560"/>
      <c r="AR18" s="3561"/>
      <c r="AS18" s="16"/>
      <c r="AT18" s="16"/>
      <c r="AU18" s="28"/>
      <c r="AV18" s="49"/>
      <c r="AW18" s="74"/>
      <c r="AX18" s="49"/>
      <c r="AY18" s="77"/>
      <c r="AZ18" s="61"/>
      <c r="BA18" s="14"/>
      <c r="BB18" s="61"/>
      <c r="BC18" s="28"/>
      <c r="BD18" s="49"/>
      <c r="BE18" s="16"/>
      <c r="BF18" s="14"/>
      <c r="BG18" s="26"/>
      <c r="BH18" s="28"/>
      <c r="BI18" s="74"/>
      <c r="BJ18" s="28"/>
      <c r="BK18" s="74"/>
      <c r="BL18" s="74"/>
      <c r="BM18" s="74"/>
      <c r="BN18" s="77"/>
      <c r="BO18" s="28"/>
      <c r="BP18" s="74"/>
      <c r="BQ18" s="16"/>
      <c r="BR18" s="16"/>
      <c r="BS18" s="14"/>
      <c r="BT18" s="26"/>
      <c r="BW18" s="30"/>
      <c r="BX18" s="28"/>
      <c r="BY18" s="28"/>
      <c r="BZ18" s="49"/>
      <c r="CA18" s="74"/>
      <c r="CB18" s="49"/>
      <c r="CC18" s="74"/>
      <c r="CD18" s="49"/>
      <c r="CE18" s="77"/>
      <c r="CF18" s="74"/>
      <c r="CG18" s="49"/>
      <c r="CH18" s="16"/>
      <c r="CI18" s="16"/>
      <c r="CJ18" s="14"/>
      <c r="CK18" s="26"/>
      <c r="CL18" s="28"/>
      <c r="CM18" s="29"/>
      <c r="CN18" s="16"/>
      <c r="CO18" s="16"/>
      <c r="CP18" s="28"/>
      <c r="CQ18" s="49"/>
      <c r="CR18" s="49"/>
      <c r="CS18" s="49"/>
      <c r="CT18" s="49"/>
      <c r="CU18" s="74"/>
      <c r="CV18" s="77"/>
      <c r="CW18" s="49"/>
      <c r="CX18" s="14"/>
      <c r="CY18" s="61"/>
      <c r="CZ18" s="28"/>
      <c r="DA18" s="29"/>
      <c r="DB18" s="29"/>
      <c r="DC18" s="29"/>
      <c r="DD18" s="14"/>
      <c r="DE18" s="26"/>
      <c r="DF18" s="61"/>
      <c r="DG18" s="28"/>
      <c r="DH18" s="74"/>
      <c r="DI18" s="49"/>
      <c r="DJ18" s="49"/>
      <c r="DK18" s="77"/>
      <c r="DL18" s="61"/>
      <c r="DM18" s="61"/>
      <c r="DN18" s="61"/>
      <c r="DO18" s="61"/>
      <c r="DP18" s="61"/>
      <c r="DQ18" s="61"/>
      <c r="DR18" s="61"/>
      <c r="DS18" s="61"/>
      <c r="DT18" s="61"/>
      <c r="DV18" s="28"/>
      <c r="DW18" s="49"/>
      <c r="DX18" s="49"/>
      <c r="DY18" s="49"/>
      <c r="DZ18" s="77"/>
      <c r="EA18" s="61"/>
      <c r="EB18" s="61"/>
      <c r="EC18" s="61"/>
      <c r="EL18" s="28"/>
      <c r="EM18" s="49"/>
      <c r="EN18" s="49"/>
      <c r="EO18" s="77"/>
      <c r="EP18" s="61"/>
      <c r="EQ18" s="61"/>
      <c r="EX18" s="26"/>
      <c r="EY18" s="61"/>
      <c r="EZ18" s="28"/>
      <c r="FA18" s="49"/>
      <c r="FB18" s="49"/>
      <c r="FC18" s="49"/>
      <c r="FD18" s="77"/>
      <c r="FE18" s="61"/>
      <c r="FF18" s="61"/>
      <c r="FG18" s="79"/>
      <c r="FH18" s="79"/>
      <c r="FO18" s="28"/>
      <c r="FP18" s="69"/>
      <c r="FQ18" s="69"/>
      <c r="FR18" s="69"/>
      <c r="FS18" s="77"/>
      <c r="FT18" s="61"/>
      <c r="FU18" s="61"/>
    </row>
    <row r="19" spans="1:177" ht="15.75" customHeight="1">
      <c r="A19" s="1008" t="s">
        <v>131</v>
      </c>
      <c r="B19" s="3526" t="s">
        <v>131</v>
      </c>
      <c r="C19" s="1011">
        <f>COUNTA(D19:D21)</f>
        <v>3</v>
      </c>
      <c r="D19" s="1111" t="s">
        <v>25</v>
      </c>
      <c r="E19" s="1112">
        <v>4.5999999999999996</v>
      </c>
      <c r="F19" s="1112">
        <v>3.37</v>
      </c>
      <c r="G19" s="1112">
        <v>2.79</v>
      </c>
      <c r="H19" s="2480">
        <v>4.2300000000000004</v>
      </c>
      <c r="I19" s="1610">
        <v>5</v>
      </c>
      <c r="J19" s="1114">
        <v>3.33</v>
      </c>
      <c r="K19" s="1115">
        <v>2.56</v>
      </c>
      <c r="L19" s="2435">
        <v>1.9</v>
      </c>
      <c r="M19" s="1117">
        <v>2.9</v>
      </c>
      <c r="N19" s="1207">
        <v>2.87</v>
      </c>
      <c r="O19" s="1207">
        <v>2.87</v>
      </c>
      <c r="P19" s="2489">
        <v>1.98</v>
      </c>
      <c r="Q19" s="1241">
        <v>2.36</v>
      </c>
      <c r="R19" s="1119">
        <v>3</v>
      </c>
      <c r="S19" s="1119">
        <v>0.86</v>
      </c>
      <c r="T19" s="1120">
        <v>0.81</v>
      </c>
      <c r="U19" s="1120">
        <v>2.48</v>
      </c>
      <c r="V19" s="1120">
        <v>2.97</v>
      </c>
      <c r="W19" s="1120">
        <v>1.4</v>
      </c>
      <c r="X19" s="1120">
        <v>0.96</v>
      </c>
      <c r="Y19" s="2863">
        <v>1.03</v>
      </c>
      <c r="Z19" s="61">
        <v>3</v>
      </c>
      <c r="AA19" s="2926">
        <v>2.48</v>
      </c>
      <c r="AB19" s="2861">
        <v>2.34</v>
      </c>
      <c r="AC19" s="2863">
        <v>1.76</v>
      </c>
      <c r="AD19" s="61"/>
      <c r="AE19" s="2926"/>
      <c r="AF19" s="2861"/>
      <c r="AG19" s="69"/>
      <c r="AH19" s="69"/>
      <c r="AI19" s="69"/>
      <c r="AJ19" s="77"/>
      <c r="AL19" s="3556" t="s">
        <v>223</v>
      </c>
      <c r="AM19" s="3557"/>
      <c r="AN19" s="3557"/>
      <c r="AO19" s="3557"/>
      <c r="AP19" s="3557"/>
      <c r="AQ19" s="3557"/>
      <c r="AR19" s="3558"/>
      <c r="AS19" s="16"/>
      <c r="AT19" s="16"/>
      <c r="AU19" s="78"/>
      <c r="AV19" s="49"/>
      <c r="AW19" s="74"/>
      <c r="AX19" s="49"/>
      <c r="AY19" s="77"/>
      <c r="AZ19" s="61"/>
      <c r="BA19" s="14"/>
      <c r="BB19" s="61"/>
      <c r="BC19" s="61"/>
      <c r="BD19" s="49"/>
      <c r="BE19" s="16"/>
      <c r="BF19" s="14"/>
      <c r="BG19" s="14"/>
      <c r="BH19" s="61"/>
      <c r="BI19" s="74"/>
      <c r="BJ19" s="78"/>
      <c r="BK19" s="74"/>
      <c r="BL19" s="74"/>
      <c r="BM19" s="74"/>
      <c r="BN19" s="77"/>
      <c r="BO19" s="61"/>
      <c r="BP19" s="74"/>
      <c r="BQ19" s="16"/>
      <c r="BR19" s="16"/>
      <c r="BS19" s="14"/>
      <c r="BT19" s="26"/>
      <c r="BW19" s="14"/>
      <c r="BX19" s="61"/>
      <c r="BY19" s="78"/>
      <c r="BZ19" s="49"/>
      <c r="CA19" s="74"/>
      <c r="CB19" s="49"/>
      <c r="CC19" s="74"/>
      <c r="CD19" s="49"/>
      <c r="CE19" s="77"/>
      <c r="CF19" s="74"/>
      <c r="CG19" s="49"/>
      <c r="CH19" s="16"/>
      <c r="CI19" s="16"/>
      <c r="CJ19" s="14"/>
      <c r="CK19" s="26"/>
      <c r="CL19" s="26"/>
      <c r="CM19" s="29"/>
      <c r="CN19" s="16"/>
      <c r="CO19" s="16"/>
      <c r="CP19" s="78"/>
      <c r="CQ19" s="49"/>
      <c r="CR19" s="49"/>
      <c r="CS19" s="49"/>
      <c r="CT19" s="49"/>
      <c r="CU19" s="74"/>
      <c r="CV19" s="77"/>
      <c r="CW19" s="49"/>
      <c r="CX19" s="14"/>
      <c r="CY19" s="61"/>
      <c r="CZ19" s="26"/>
      <c r="DA19" s="29"/>
      <c r="DB19" s="29"/>
      <c r="DC19" s="29"/>
      <c r="DD19" s="14"/>
      <c r="DE19" s="26"/>
      <c r="DF19" s="61"/>
      <c r="DG19" s="78"/>
      <c r="DH19" s="74"/>
      <c r="DI19" s="49"/>
      <c r="DJ19" s="49"/>
      <c r="DK19" s="77"/>
      <c r="DL19" s="61"/>
      <c r="DM19" s="61"/>
      <c r="DN19" s="61"/>
      <c r="DO19" s="61"/>
      <c r="DP19" s="61"/>
      <c r="DQ19" s="61"/>
      <c r="DR19" s="61"/>
      <c r="DS19" s="61"/>
      <c r="DT19" s="61"/>
      <c r="DV19" s="78"/>
      <c r="DW19" s="49"/>
      <c r="DX19" s="49"/>
      <c r="DY19" s="49"/>
      <c r="DZ19" s="77"/>
      <c r="EA19" s="61"/>
      <c r="EB19" s="61"/>
      <c r="EC19" s="61"/>
      <c r="EL19" s="78"/>
      <c r="EM19" s="49"/>
      <c r="EN19" s="49"/>
      <c r="EO19" s="77"/>
      <c r="EP19" s="61"/>
      <c r="EQ19" s="61"/>
      <c r="EX19" s="26"/>
      <c r="EY19" s="61"/>
      <c r="EZ19" s="78"/>
      <c r="FA19" s="49"/>
      <c r="FB19" s="49"/>
      <c r="FC19" s="49"/>
      <c r="FD19" s="77"/>
      <c r="FE19" s="61"/>
      <c r="FF19" s="61"/>
      <c r="FG19" s="79"/>
      <c r="FH19" s="79"/>
      <c r="FO19" s="78"/>
      <c r="FP19" s="69"/>
      <c r="FQ19" s="69"/>
      <c r="FR19" s="69"/>
      <c r="FS19" s="77"/>
      <c r="FT19" s="61"/>
      <c r="FU19" s="61"/>
    </row>
    <row r="20" spans="1:177" ht="15.75" customHeight="1">
      <c r="A20" s="1107" t="s">
        <v>131</v>
      </c>
      <c r="B20" s="3527"/>
      <c r="C20" s="1108"/>
      <c r="D20" s="1121" t="s">
        <v>33</v>
      </c>
      <c r="E20" s="1151">
        <v>3.85</v>
      </c>
      <c r="F20" s="1151">
        <v>3.03</v>
      </c>
      <c r="G20" s="1151">
        <v>3.25</v>
      </c>
      <c r="H20" s="2481">
        <v>4.53</v>
      </c>
      <c r="I20" s="1272">
        <v>5.0999999999999996</v>
      </c>
      <c r="J20" s="1151">
        <v>2.87</v>
      </c>
      <c r="K20" s="1152">
        <v>1.9</v>
      </c>
      <c r="L20" s="1005">
        <v>1.51</v>
      </c>
      <c r="M20" s="1183">
        <v>1.93</v>
      </c>
      <c r="N20" s="1208">
        <v>2.63</v>
      </c>
      <c r="O20" s="1208">
        <v>2.63</v>
      </c>
      <c r="P20" s="2490">
        <v>2.1</v>
      </c>
      <c r="Q20" s="1183">
        <v>2.1</v>
      </c>
      <c r="R20" s="1127">
        <v>3</v>
      </c>
      <c r="S20" s="1127">
        <v>1.07</v>
      </c>
      <c r="T20" s="1128">
        <v>0.76</v>
      </c>
      <c r="U20" s="1128">
        <v>1.96</v>
      </c>
      <c r="V20" s="1128">
        <v>2.4</v>
      </c>
      <c r="W20" s="1128">
        <v>1.84</v>
      </c>
      <c r="X20" s="1128">
        <v>0.56999999999999995</v>
      </c>
      <c r="Y20" s="2863">
        <v>1.1299999999999999</v>
      </c>
      <c r="Z20" s="61">
        <v>3.28</v>
      </c>
      <c r="AA20" s="2927">
        <v>3.3</v>
      </c>
      <c r="AB20" s="2863">
        <v>2.84</v>
      </c>
      <c r="AC20" s="2863">
        <v>1.97</v>
      </c>
      <c r="AD20" s="61"/>
      <c r="AE20" s="2927"/>
      <c r="AF20" s="2863"/>
      <c r="AG20" s="69"/>
      <c r="AH20" s="69"/>
      <c r="AI20" s="69"/>
      <c r="AJ20" s="77"/>
      <c r="AL20" s="3559" t="s">
        <v>221</v>
      </c>
      <c r="AM20" s="3560"/>
      <c r="AN20" s="3560"/>
      <c r="AO20" s="3560"/>
      <c r="AP20" s="3560"/>
      <c r="AQ20" s="3560"/>
      <c r="AR20" s="3561"/>
      <c r="AS20" s="16"/>
      <c r="AT20" s="16"/>
      <c r="AU20" s="78"/>
      <c r="AV20" s="69"/>
      <c r="AW20" s="74"/>
      <c r="AX20" s="69"/>
      <c r="AY20" s="77"/>
      <c r="AZ20" s="61"/>
      <c r="BA20" s="14"/>
      <c r="BB20" s="61"/>
      <c r="BC20" s="61"/>
      <c r="BD20" s="49"/>
      <c r="BE20" s="16"/>
      <c r="BF20" s="14"/>
      <c r="BG20" s="26"/>
      <c r="BH20" s="61"/>
      <c r="BI20" s="74"/>
      <c r="BJ20" s="78"/>
      <c r="BK20" s="74"/>
      <c r="BL20" s="74"/>
      <c r="BM20" s="74"/>
      <c r="BN20" s="77"/>
      <c r="BO20" s="61"/>
      <c r="BP20" s="74"/>
      <c r="BQ20" s="16"/>
      <c r="BR20" s="16"/>
      <c r="BS20" s="14"/>
      <c r="BT20" s="26"/>
      <c r="BX20" s="61"/>
      <c r="BY20" s="78"/>
      <c r="BZ20" s="69"/>
      <c r="CA20" s="74"/>
      <c r="CB20" s="69"/>
      <c r="CC20" s="74"/>
      <c r="CD20" s="69"/>
      <c r="CE20" s="77"/>
      <c r="CF20" s="74"/>
      <c r="CG20" s="49"/>
      <c r="CH20" s="16"/>
      <c r="CI20" s="16"/>
      <c r="CJ20" s="14"/>
      <c r="CK20" s="26"/>
      <c r="CL20" s="26"/>
      <c r="CM20" s="29"/>
      <c r="CN20" s="16"/>
      <c r="CO20" s="16"/>
      <c r="CP20" s="78"/>
      <c r="CQ20" s="49"/>
      <c r="CR20" s="49"/>
      <c r="CS20" s="49"/>
      <c r="CT20" s="49"/>
      <c r="CU20" s="74"/>
      <c r="CV20" s="77"/>
      <c r="CW20" s="49"/>
      <c r="CX20" s="14"/>
      <c r="CY20" s="61"/>
      <c r="CZ20" s="26"/>
      <c r="DA20" s="29"/>
      <c r="DB20" s="29"/>
      <c r="DC20" s="29"/>
      <c r="DD20" s="14"/>
      <c r="DE20" s="26"/>
      <c r="DF20" s="61"/>
      <c r="DG20" s="78"/>
      <c r="DH20" s="74"/>
      <c r="DI20" s="49"/>
      <c r="DJ20" s="49"/>
      <c r="DK20" s="77"/>
      <c r="DL20" s="61"/>
      <c r="DM20" s="61"/>
      <c r="DN20" s="61"/>
      <c r="DO20" s="61"/>
      <c r="DP20" s="61"/>
      <c r="DQ20" s="61"/>
      <c r="DR20" s="61"/>
      <c r="DS20" s="61"/>
      <c r="DT20" s="61"/>
      <c r="DV20" s="78"/>
      <c r="DW20" s="49"/>
      <c r="DX20" s="49"/>
      <c r="DY20" s="49"/>
      <c r="DZ20" s="77"/>
      <c r="EA20" s="61"/>
      <c r="EB20" s="61"/>
      <c r="EC20" s="61"/>
      <c r="EL20" s="78"/>
      <c r="EM20" s="49"/>
      <c r="EN20" s="49"/>
      <c r="EO20" s="77"/>
      <c r="EP20" s="61"/>
      <c r="EQ20" s="61"/>
      <c r="EX20" s="26"/>
      <c r="EY20" s="61"/>
      <c r="EZ20" s="78"/>
      <c r="FA20" s="49"/>
      <c r="FB20" s="49"/>
      <c r="FC20" s="49"/>
      <c r="FD20" s="77"/>
      <c r="FE20" s="61"/>
      <c r="FF20" s="61"/>
      <c r="FG20" s="79"/>
      <c r="FH20" s="79"/>
      <c r="FO20" s="78"/>
      <c r="FP20" s="69"/>
      <c r="FQ20" s="69"/>
      <c r="FR20" s="69"/>
      <c r="FS20" s="77"/>
      <c r="FT20" s="61"/>
      <c r="FU20" s="61"/>
    </row>
    <row r="21" spans="1:177" ht="15.75" customHeight="1" thickBot="1">
      <c r="A21" s="1109" t="s">
        <v>131</v>
      </c>
      <c r="B21" s="3528"/>
      <c r="C21" s="1110"/>
      <c r="D21" s="1129" t="s">
        <v>31</v>
      </c>
      <c r="E21" s="1146">
        <v>4.05</v>
      </c>
      <c r="F21" s="1146">
        <v>3.1</v>
      </c>
      <c r="G21" s="1146">
        <v>3.84</v>
      </c>
      <c r="H21" s="2482">
        <v>4.62</v>
      </c>
      <c r="I21" s="2428">
        <v>5</v>
      </c>
      <c r="J21" s="1147">
        <v>3.03</v>
      </c>
      <c r="K21" s="1148">
        <v>2.93</v>
      </c>
      <c r="L21" s="1134">
        <v>1.96</v>
      </c>
      <c r="M21" s="1184">
        <v>2.8</v>
      </c>
      <c r="N21" s="1209">
        <v>2.87</v>
      </c>
      <c r="O21" s="1209">
        <v>2.87</v>
      </c>
      <c r="P21" s="2488">
        <v>1.94</v>
      </c>
      <c r="Q21" s="1184">
        <v>2.23</v>
      </c>
      <c r="R21" s="633">
        <v>3</v>
      </c>
      <c r="S21" s="633">
        <v>1.01</v>
      </c>
      <c r="T21" s="634">
        <v>0.9</v>
      </c>
      <c r="U21" s="634">
        <v>1.85</v>
      </c>
      <c r="V21" s="634">
        <v>2.74</v>
      </c>
      <c r="W21" s="634" t="s">
        <v>382</v>
      </c>
      <c r="X21" s="634">
        <v>0.56999999999999995</v>
      </c>
      <c r="Y21" s="2863">
        <v>0.91</v>
      </c>
      <c r="Z21" s="61">
        <v>3.1</v>
      </c>
      <c r="AA21" s="2928">
        <v>2.88</v>
      </c>
      <c r="AB21" s="2866">
        <v>2.5099999999999998</v>
      </c>
      <c r="AC21" s="2863">
        <v>1.36</v>
      </c>
      <c r="AD21" s="61"/>
      <c r="AE21" s="2928"/>
      <c r="AF21" s="2866"/>
      <c r="AG21" s="49"/>
      <c r="AH21" s="49"/>
      <c r="AI21" s="49"/>
      <c r="AJ21" s="77"/>
      <c r="AL21" s="3556" t="s">
        <v>224</v>
      </c>
      <c r="AM21" s="3557"/>
      <c r="AN21" s="3557"/>
      <c r="AO21" s="3557"/>
      <c r="AP21" s="3557"/>
      <c r="AQ21" s="3557"/>
      <c r="AR21" s="3558"/>
      <c r="AS21" s="16"/>
      <c r="AT21" s="16"/>
      <c r="AU21" s="78"/>
      <c r="AV21" s="49"/>
      <c r="AW21" s="74"/>
      <c r="AX21" s="49"/>
      <c r="AY21" s="77"/>
      <c r="AZ21" s="61"/>
      <c r="BA21" s="14"/>
      <c r="BB21" s="61"/>
      <c r="BC21" s="61"/>
      <c r="BD21" s="49"/>
      <c r="BE21" s="16"/>
      <c r="BF21" s="14"/>
      <c r="BG21" s="26"/>
      <c r="BH21" s="61"/>
      <c r="BI21" s="74"/>
      <c r="BJ21" s="78"/>
      <c r="BK21" s="74"/>
      <c r="BL21" s="74"/>
      <c r="BM21" s="74"/>
      <c r="BN21" s="77"/>
      <c r="BO21" s="61"/>
      <c r="BP21" s="74"/>
      <c r="BQ21" s="16"/>
      <c r="BR21" s="16"/>
      <c r="BS21" s="14"/>
      <c r="BT21" s="26"/>
      <c r="BX21" s="61"/>
      <c r="BY21" s="78"/>
      <c r="BZ21" s="49"/>
      <c r="CA21" s="74"/>
      <c r="CB21" s="49"/>
      <c r="CC21" s="74"/>
      <c r="CD21" s="49"/>
      <c r="CE21" s="77"/>
      <c r="CF21" s="74"/>
      <c r="CG21" s="49"/>
      <c r="CH21" s="16"/>
      <c r="CI21" s="16"/>
      <c r="CJ21" s="14"/>
      <c r="CK21" s="26"/>
      <c r="CL21" s="26"/>
      <c r="CM21" s="29"/>
      <c r="CN21" s="16"/>
      <c r="CO21" s="16"/>
      <c r="CP21" s="78"/>
      <c r="CQ21" s="49"/>
      <c r="CR21" s="49"/>
      <c r="CS21" s="49"/>
      <c r="CT21" s="49"/>
      <c r="CU21" s="74"/>
      <c r="CV21" s="77"/>
      <c r="CW21" s="49"/>
      <c r="CX21" s="14"/>
      <c r="CY21" s="61"/>
      <c r="CZ21" s="26"/>
      <c r="DA21" s="29"/>
      <c r="DB21" s="29"/>
      <c r="DC21" s="29"/>
      <c r="DD21" s="14"/>
      <c r="DE21" s="26"/>
      <c r="DF21" s="61"/>
      <c r="DG21" s="78"/>
      <c r="DH21" s="74"/>
      <c r="DI21" s="49"/>
      <c r="DJ21" s="49"/>
      <c r="DK21" s="77"/>
      <c r="DL21" s="61"/>
      <c r="DM21" s="61"/>
      <c r="DN21" s="61"/>
      <c r="DO21" s="61"/>
      <c r="DP21" s="61"/>
      <c r="DQ21" s="61"/>
      <c r="DR21" s="61"/>
      <c r="DS21" s="61"/>
      <c r="DT21" s="61"/>
      <c r="DV21" s="78"/>
      <c r="DW21" s="49"/>
      <c r="DX21" s="49"/>
      <c r="DY21" s="49"/>
      <c r="DZ21" s="77"/>
      <c r="EA21" s="61"/>
      <c r="EB21" s="61"/>
      <c r="EC21" s="61"/>
      <c r="EL21" s="78"/>
      <c r="EM21" s="49"/>
      <c r="EN21" s="49"/>
      <c r="EO21" s="77"/>
      <c r="EP21" s="61"/>
      <c r="EQ21" s="61"/>
      <c r="EX21" s="26"/>
      <c r="EY21" s="61"/>
      <c r="EZ21" s="78"/>
      <c r="FA21" s="49"/>
      <c r="FB21" s="49"/>
      <c r="FC21" s="49"/>
      <c r="FD21" s="77"/>
      <c r="FE21" s="61"/>
      <c r="FF21" s="61"/>
      <c r="FG21" s="79"/>
      <c r="FH21" s="79"/>
      <c r="FO21" s="78"/>
      <c r="FP21" s="69"/>
      <c r="FQ21" s="69"/>
      <c r="FR21" s="69"/>
      <c r="FS21" s="77"/>
      <c r="FT21" s="61"/>
      <c r="FU21" s="61"/>
    </row>
    <row r="22" spans="1:177">
      <c r="A22" s="1137" t="s">
        <v>185</v>
      </c>
      <c r="B22" s="3523" t="s">
        <v>185</v>
      </c>
      <c r="C22" s="1138">
        <f>COUNTA(D22:D24)</f>
        <v>3</v>
      </c>
      <c r="D22" s="1139" t="s">
        <v>19</v>
      </c>
      <c r="E22" s="1149">
        <v>3.25</v>
      </c>
      <c r="F22" s="1149">
        <v>2.6</v>
      </c>
      <c r="G22" s="1149">
        <v>3.25</v>
      </c>
      <c r="H22" s="2483">
        <v>3.08</v>
      </c>
      <c r="I22" s="2429">
        <v>10.83</v>
      </c>
      <c r="J22" s="1149">
        <v>4.6500000000000004</v>
      </c>
      <c r="K22" s="1150">
        <v>7.71</v>
      </c>
      <c r="L22" s="1116">
        <v>3.1</v>
      </c>
      <c r="M22" s="1241"/>
      <c r="N22" s="1207">
        <v>2.1</v>
      </c>
      <c r="O22" s="1207">
        <v>2.12</v>
      </c>
      <c r="P22" s="2489">
        <v>4.0999999999999996</v>
      </c>
      <c r="Q22" s="1203">
        <v>2.2999999999999998</v>
      </c>
      <c r="R22" s="1119">
        <v>0.26</v>
      </c>
      <c r="S22" s="1119">
        <v>0.05</v>
      </c>
      <c r="T22" s="1120"/>
      <c r="U22" s="1120"/>
      <c r="V22" s="1120"/>
      <c r="W22" s="1120"/>
      <c r="X22" s="1120">
        <v>1.98</v>
      </c>
      <c r="Y22" s="2926">
        <v>3.5</v>
      </c>
      <c r="Z22" s="2859">
        <v>2.95</v>
      </c>
      <c r="AA22" s="2926">
        <v>4.32</v>
      </c>
      <c r="AB22" s="2861">
        <v>3.14</v>
      </c>
      <c r="AC22" s="2926">
        <v>5.2</v>
      </c>
      <c r="AD22" s="2859"/>
      <c r="AE22" s="2926"/>
      <c r="AF22" s="2861"/>
      <c r="AL22" s="323" t="s">
        <v>225</v>
      </c>
      <c r="AM22" s="26"/>
      <c r="AN22" s="26"/>
      <c r="AO22" s="26"/>
      <c r="AP22" s="26"/>
      <c r="AQ22" s="26"/>
      <c r="AR22" s="324"/>
      <c r="AS22" s="17"/>
      <c r="AT22" s="17"/>
      <c r="AU22" s="61"/>
      <c r="AV22" s="61"/>
      <c r="AW22" s="61"/>
      <c r="AX22" s="61"/>
      <c r="AY22" s="61"/>
      <c r="AZ22" s="61"/>
      <c r="BA22" s="14"/>
      <c r="BB22" s="61"/>
      <c r="BC22" s="61"/>
      <c r="BD22" s="49"/>
      <c r="BE22" s="16"/>
      <c r="BF22" s="14"/>
      <c r="BG22" s="26"/>
      <c r="BH22" s="61"/>
      <c r="BI22" s="74"/>
      <c r="BJ22" s="61"/>
      <c r="BK22" s="61"/>
      <c r="BL22" s="61"/>
      <c r="BM22" s="61"/>
      <c r="BN22" s="61"/>
      <c r="BO22" s="61"/>
      <c r="BP22" s="74"/>
      <c r="BQ22" s="17"/>
      <c r="BR22" s="17"/>
      <c r="BS22" s="14"/>
      <c r="BT22" s="26"/>
      <c r="BX22" s="61"/>
      <c r="BY22" s="61"/>
      <c r="BZ22" s="61"/>
      <c r="CA22" s="61"/>
      <c r="CB22" s="61"/>
      <c r="CC22" s="61"/>
      <c r="CD22" s="61"/>
      <c r="CE22" s="61"/>
      <c r="CF22" s="74"/>
      <c r="CG22" s="49"/>
      <c r="CH22" s="16"/>
      <c r="CI22" s="16"/>
      <c r="CJ22" s="14"/>
      <c r="CK22" s="26"/>
      <c r="CL22" s="26"/>
      <c r="CM22" s="29"/>
      <c r="CN22" s="16"/>
      <c r="CO22" s="16"/>
      <c r="CP22" s="78"/>
      <c r="CQ22" s="69"/>
      <c r="CR22" s="69"/>
      <c r="CS22" s="69"/>
      <c r="CT22" s="69"/>
      <c r="CU22" s="74"/>
      <c r="CV22" s="77"/>
      <c r="CW22" s="69"/>
      <c r="CX22" s="14"/>
      <c r="CY22" s="61"/>
      <c r="CZ22" s="26"/>
      <c r="DA22" s="29"/>
      <c r="DB22" s="29"/>
      <c r="DC22" s="29"/>
      <c r="DD22" s="14"/>
      <c r="DE22" s="26"/>
      <c r="DF22" s="61"/>
      <c r="DG22" s="78"/>
      <c r="DH22" s="74"/>
      <c r="DI22" s="49"/>
      <c r="DJ22" s="49"/>
      <c r="DK22" s="77"/>
      <c r="DL22" s="61"/>
      <c r="DM22" s="61"/>
      <c r="DN22" s="61"/>
      <c r="DO22" s="61"/>
      <c r="DP22" s="61"/>
      <c r="DQ22" s="61"/>
      <c r="DR22" s="61"/>
      <c r="DS22" s="61"/>
      <c r="DT22" s="61"/>
      <c r="DV22" s="78"/>
      <c r="DW22" s="49"/>
      <c r="DX22" s="49"/>
      <c r="DY22" s="49"/>
      <c r="DZ22" s="77"/>
      <c r="EA22" s="61"/>
      <c r="EB22" s="61"/>
      <c r="EC22" s="61"/>
      <c r="EL22" s="78"/>
      <c r="EM22" s="49"/>
      <c r="EN22" s="80"/>
      <c r="EO22" s="77"/>
      <c r="EP22" s="61"/>
      <c r="EQ22" s="61"/>
      <c r="EX22" s="26"/>
      <c r="EY22" s="61"/>
      <c r="EZ22" s="78"/>
      <c r="FA22" s="69"/>
      <c r="FB22" s="69"/>
      <c r="FC22" s="69"/>
      <c r="FD22" s="77"/>
      <c r="FE22" s="61"/>
      <c r="FF22" s="61"/>
      <c r="FG22" s="79"/>
      <c r="FH22" s="79"/>
      <c r="FO22" s="78"/>
      <c r="FP22" s="69"/>
      <c r="FQ22" s="69"/>
      <c r="FR22" s="69"/>
      <c r="FS22" s="77"/>
      <c r="FT22" s="61"/>
      <c r="FU22" s="61"/>
    </row>
    <row r="23" spans="1:177">
      <c r="A23" s="1140" t="s">
        <v>185</v>
      </c>
      <c r="B23" s="3524"/>
      <c r="C23" s="1141"/>
      <c r="D23" s="1142" t="s">
        <v>37</v>
      </c>
      <c r="E23" s="1151">
        <v>5.4</v>
      </c>
      <c r="F23" s="1151">
        <v>1.9</v>
      </c>
      <c r="G23" s="1151">
        <v>8.35</v>
      </c>
      <c r="H23" s="2481">
        <v>6</v>
      </c>
      <c r="I23" s="1272">
        <v>10</v>
      </c>
      <c r="J23" s="1151">
        <v>1.9</v>
      </c>
      <c r="K23" s="1152">
        <v>8</v>
      </c>
      <c r="L23" s="1005">
        <v>3.9</v>
      </c>
      <c r="M23" s="1183"/>
      <c r="N23" s="1208">
        <v>1.1000000000000001</v>
      </c>
      <c r="O23" s="1208">
        <v>1.1499999999999999</v>
      </c>
      <c r="P23" s="2490">
        <v>3.5</v>
      </c>
      <c r="Q23" s="1046">
        <v>1.1000000000000001</v>
      </c>
      <c r="R23" s="1127">
        <v>1.4</v>
      </c>
      <c r="S23" s="1127">
        <v>1.02</v>
      </c>
      <c r="T23" s="1128"/>
      <c r="U23" s="1128"/>
      <c r="V23" s="1128"/>
      <c r="W23" s="1128"/>
      <c r="X23" s="1128">
        <v>2.76</v>
      </c>
      <c r="Y23" s="2927">
        <v>3.1</v>
      </c>
      <c r="Z23" s="2862">
        <v>3.76</v>
      </c>
      <c r="AA23" s="2927">
        <v>4.13</v>
      </c>
      <c r="AB23" s="2863">
        <v>3.3</v>
      </c>
      <c r="AC23" s="2927">
        <v>5.6</v>
      </c>
      <c r="AD23" s="2862"/>
      <c r="AE23" s="2927"/>
      <c r="AF23" s="2863"/>
      <c r="AL23" s="325" t="s">
        <v>226</v>
      </c>
      <c r="AM23" s="326"/>
      <c r="AN23" s="326"/>
      <c r="AO23" s="326"/>
      <c r="AP23" s="326"/>
      <c r="AQ23" s="326"/>
      <c r="AR23" s="242"/>
      <c r="AS23" s="17"/>
      <c r="AT23" s="17"/>
      <c r="AU23" s="61"/>
      <c r="AV23" s="61"/>
      <c r="AW23" s="61"/>
      <c r="AX23" s="61"/>
      <c r="AY23" s="61"/>
      <c r="AZ23" s="61"/>
      <c r="BA23" s="14"/>
      <c r="BB23" s="61"/>
      <c r="BC23" s="61"/>
      <c r="BD23" s="82"/>
      <c r="BE23" s="18"/>
      <c r="BF23" s="14"/>
      <c r="BG23" s="26"/>
      <c r="BH23" s="61"/>
      <c r="BI23" s="74"/>
      <c r="BJ23" s="61"/>
      <c r="BK23" s="61"/>
      <c r="BL23" s="61"/>
      <c r="BM23" s="61"/>
      <c r="BN23" s="61"/>
      <c r="BO23" s="61"/>
      <c r="BP23" s="74"/>
      <c r="BQ23" s="17"/>
      <c r="BR23" s="17"/>
      <c r="BS23" s="14"/>
      <c r="BT23" s="26"/>
      <c r="BX23" s="61"/>
      <c r="BY23" s="61"/>
      <c r="BZ23" s="61"/>
      <c r="CA23" s="61"/>
      <c r="CB23" s="61"/>
      <c r="CC23" s="61"/>
      <c r="CD23" s="61"/>
      <c r="CE23" s="61"/>
      <c r="CF23" s="74"/>
      <c r="CG23" s="69"/>
      <c r="CH23" s="17"/>
      <c r="CI23" s="18"/>
      <c r="CJ23" s="14"/>
      <c r="CK23" s="26"/>
      <c r="CL23" s="26"/>
      <c r="CM23" s="29"/>
      <c r="CN23" s="17"/>
      <c r="CO23" s="17"/>
      <c r="CP23" s="78"/>
      <c r="CQ23" s="69"/>
      <c r="CR23" s="69"/>
      <c r="CS23" s="69"/>
      <c r="CT23" s="69"/>
      <c r="CU23" s="74"/>
      <c r="CV23" s="77"/>
      <c r="CW23" s="69"/>
      <c r="CX23" s="14"/>
      <c r="CY23" s="61"/>
      <c r="CZ23" s="26"/>
      <c r="DA23" s="29"/>
      <c r="DB23" s="29"/>
      <c r="DC23" s="29"/>
      <c r="DD23" s="14"/>
      <c r="DE23" s="26"/>
      <c r="DF23" s="61"/>
      <c r="DG23" s="78"/>
      <c r="DH23" s="74"/>
      <c r="DI23" s="69"/>
      <c r="DJ23" s="69"/>
      <c r="DK23" s="77"/>
      <c r="DL23" s="61"/>
      <c r="DM23" s="61"/>
      <c r="DN23" s="61"/>
      <c r="DO23" s="61"/>
      <c r="DP23" s="61"/>
      <c r="DQ23" s="61"/>
      <c r="DR23" s="61"/>
      <c r="DS23" s="61"/>
      <c r="DT23" s="61"/>
      <c r="DV23" s="78"/>
      <c r="DW23" s="69"/>
      <c r="DX23" s="69"/>
      <c r="DY23" s="69"/>
      <c r="DZ23" s="77"/>
      <c r="EA23" s="61"/>
      <c r="EB23" s="61"/>
      <c r="EC23" s="61"/>
      <c r="EL23" s="78"/>
      <c r="EM23" s="69"/>
      <c r="EN23" s="69"/>
      <c r="EO23" s="77"/>
      <c r="EP23" s="61"/>
      <c r="EQ23" s="61"/>
      <c r="EX23" s="26"/>
      <c r="EY23" s="61"/>
      <c r="EZ23" s="78"/>
      <c r="FA23" s="69"/>
      <c r="FB23" s="69"/>
      <c r="FC23" s="69"/>
      <c r="FD23" s="77"/>
      <c r="FE23" s="61"/>
      <c r="FF23" s="61"/>
      <c r="FG23" s="79"/>
      <c r="FH23" s="79"/>
      <c r="FO23" s="78"/>
      <c r="FP23" s="69"/>
      <c r="FQ23" s="69"/>
      <c r="FR23" s="69"/>
      <c r="FS23" s="77"/>
      <c r="FT23" s="61"/>
      <c r="FU23" s="61"/>
    </row>
    <row r="24" spans="1:177" ht="15.75" thickBot="1">
      <c r="A24" s="1143" t="s">
        <v>185</v>
      </c>
      <c r="B24" s="3525"/>
      <c r="C24" s="1144"/>
      <c r="D24" s="1145" t="s">
        <v>15</v>
      </c>
      <c r="E24" s="1130">
        <v>2.1</v>
      </c>
      <c r="F24" s="1130">
        <v>3.18</v>
      </c>
      <c r="G24" s="1130">
        <v>4.0199999999999996</v>
      </c>
      <c r="H24" s="2484">
        <v>2.5</v>
      </c>
      <c r="I24" s="1611">
        <v>7.26</v>
      </c>
      <c r="J24" s="1130">
        <v>4.8899999999999997</v>
      </c>
      <c r="K24" s="1133">
        <v>7.25</v>
      </c>
      <c r="L24" s="1134">
        <v>2.9</v>
      </c>
      <c r="M24" s="1184"/>
      <c r="N24" s="1209">
        <v>1.9</v>
      </c>
      <c r="O24" s="1209">
        <v>1.92</v>
      </c>
      <c r="P24" s="2488">
        <v>3.7</v>
      </c>
      <c r="Q24" s="886">
        <v>0.2</v>
      </c>
      <c r="R24" s="633">
        <v>0.26</v>
      </c>
      <c r="S24" s="633">
        <v>0.85</v>
      </c>
      <c r="T24" s="634"/>
      <c r="U24" s="634"/>
      <c r="V24" s="634"/>
      <c r="W24" s="634"/>
      <c r="X24" s="634">
        <v>2.1</v>
      </c>
      <c r="Y24" s="2928">
        <v>2.2999999999999998</v>
      </c>
      <c r="Z24" s="1246">
        <v>3.1</v>
      </c>
      <c r="AA24" s="2928">
        <v>4.25</v>
      </c>
      <c r="AB24" s="2866">
        <v>2.86</v>
      </c>
      <c r="AC24" s="2928">
        <v>5.8</v>
      </c>
      <c r="AD24" s="1246"/>
      <c r="AE24" s="2928"/>
      <c r="AF24" s="2866"/>
      <c r="AQ24" s="26"/>
      <c r="AR24" s="30"/>
      <c r="AS24" s="30"/>
      <c r="AT24" s="30"/>
      <c r="AU24" s="61"/>
      <c r="AV24" s="61"/>
      <c r="AW24" s="61"/>
      <c r="AX24" s="61"/>
      <c r="AY24" s="61"/>
      <c r="AZ24" s="61"/>
      <c r="BA24" s="14"/>
      <c r="BB24" s="61"/>
      <c r="BC24" s="61"/>
      <c r="BD24" s="30"/>
      <c r="BE24" s="30"/>
      <c r="BF24" s="14"/>
      <c r="BG24" s="26"/>
      <c r="BH24" s="61"/>
      <c r="BI24" s="63"/>
      <c r="BJ24" s="61"/>
      <c r="BK24" s="61"/>
      <c r="BL24" s="61"/>
      <c r="BM24" s="61"/>
      <c r="BN24" s="61"/>
      <c r="BO24" s="61"/>
      <c r="BP24" s="63"/>
      <c r="BQ24" s="30"/>
      <c r="BR24" s="30"/>
      <c r="BS24" s="14"/>
      <c r="BT24" s="26"/>
      <c r="BX24" s="61"/>
      <c r="BY24" s="61"/>
      <c r="BZ24" s="61"/>
      <c r="CA24" s="61"/>
      <c r="CB24" s="61"/>
      <c r="CC24" s="61"/>
      <c r="CD24" s="61"/>
      <c r="CE24" s="61"/>
      <c r="CF24" s="63"/>
      <c r="CG24" s="30"/>
      <c r="CH24" s="30"/>
      <c r="CI24" s="30"/>
      <c r="CJ24" s="14"/>
      <c r="CK24" s="26"/>
      <c r="CL24" s="26"/>
      <c r="CM24" s="63"/>
      <c r="CN24" s="30"/>
      <c r="CO24" s="30"/>
      <c r="CP24" s="78"/>
      <c r="CQ24" s="49"/>
      <c r="CR24" s="49"/>
      <c r="CS24" s="49"/>
      <c r="CT24" s="49"/>
      <c r="CU24" s="74"/>
      <c r="CV24" s="77"/>
      <c r="CW24" s="30"/>
      <c r="CX24" s="14"/>
      <c r="CY24" s="61"/>
      <c r="CZ24" s="26"/>
      <c r="DA24" s="63"/>
      <c r="DB24" s="63"/>
      <c r="DC24" s="63"/>
      <c r="DD24" s="14"/>
      <c r="DE24" s="26"/>
      <c r="DF24" s="61"/>
      <c r="DG24" s="78"/>
      <c r="DH24" s="74"/>
      <c r="DI24" s="49"/>
      <c r="DJ24" s="49"/>
      <c r="DK24" s="77"/>
      <c r="DL24" s="61"/>
      <c r="DM24" s="61"/>
      <c r="DN24" s="61"/>
      <c r="DO24" s="61"/>
      <c r="DP24" s="61"/>
      <c r="DQ24" s="61"/>
      <c r="DR24" s="61"/>
      <c r="DS24" s="61"/>
      <c r="DT24" s="61"/>
      <c r="DV24" s="78"/>
      <c r="DW24" s="49"/>
      <c r="DX24" s="49"/>
      <c r="DY24" s="49"/>
      <c r="DZ24" s="77"/>
      <c r="EA24" s="61"/>
      <c r="EB24" s="61"/>
      <c r="EC24" s="61"/>
      <c r="EL24" s="78"/>
      <c r="EM24" s="49"/>
      <c r="EN24" s="49"/>
      <c r="EO24" s="77"/>
      <c r="EP24" s="61"/>
      <c r="EQ24" s="61"/>
      <c r="EX24" s="26"/>
      <c r="EY24" s="61"/>
      <c r="EZ24" s="78"/>
      <c r="FA24" s="49"/>
      <c r="FB24" s="49"/>
      <c r="FC24" s="49"/>
      <c r="FD24" s="77"/>
      <c r="FE24" s="61"/>
      <c r="FF24" s="61"/>
      <c r="FG24" s="79"/>
      <c r="FH24" s="79"/>
      <c r="FO24" s="78"/>
      <c r="FP24" s="49"/>
      <c r="FQ24" s="49"/>
      <c r="FR24" s="49"/>
      <c r="FS24" s="77"/>
      <c r="FT24" s="61"/>
      <c r="FU24" s="61"/>
    </row>
    <row r="25" spans="1:177" ht="15.75" customHeight="1">
      <c r="A25" s="1137" t="s">
        <v>132</v>
      </c>
      <c r="B25" s="3523" t="s">
        <v>132</v>
      </c>
      <c r="C25" s="1153"/>
      <c r="D25" s="1111" t="s">
        <v>20</v>
      </c>
      <c r="E25" s="1112">
        <v>2.93</v>
      </c>
      <c r="F25" s="1112">
        <v>2.77</v>
      </c>
      <c r="G25" s="1112">
        <v>2.6</v>
      </c>
      <c r="H25" s="2480">
        <v>3.62</v>
      </c>
      <c r="I25" s="2430">
        <v>2.37</v>
      </c>
      <c r="J25" s="1114">
        <v>4.2699999999999996</v>
      </c>
      <c r="K25" s="1115">
        <v>2.1</v>
      </c>
      <c r="L25" s="1116">
        <v>1.46</v>
      </c>
      <c r="M25" s="1241">
        <v>1.3</v>
      </c>
      <c r="N25" s="1207">
        <v>1.07</v>
      </c>
      <c r="O25" s="1207">
        <v>1.07</v>
      </c>
      <c r="P25" s="1604">
        <v>1.27</v>
      </c>
      <c r="Q25" s="1203">
        <v>1.1000000000000001</v>
      </c>
      <c r="R25" s="1119">
        <v>0.39</v>
      </c>
      <c r="S25" s="1119">
        <v>0.65</v>
      </c>
      <c r="T25" s="1120">
        <v>0.9</v>
      </c>
      <c r="U25" s="1120">
        <v>0.42599999999999999</v>
      </c>
      <c r="V25" s="1120">
        <v>0.35</v>
      </c>
      <c r="W25" s="1120">
        <v>1.44</v>
      </c>
      <c r="X25" s="1120">
        <v>0.65</v>
      </c>
      <c r="Y25" s="2926">
        <v>0.74</v>
      </c>
      <c r="Z25" s="2859">
        <v>0.95</v>
      </c>
      <c r="AA25" s="2926">
        <v>1.94</v>
      </c>
      <c r="AB25" s="2861">
        <v>1.25</v>
      </c>
      <c r="AC25" s="2926">
        <v>1.7</v>
      </c>
      <c r="AD25" s="2859"/>
      <c r="AE25" s="2926"/>
      <c r="AF25" s="2861"/>
      <c r="AQ25" s="26"/>
      <c r="AR25" s="14"/>
      <c r="AS25" s="14"/>
      <c r="AT25" s="14"/>
      <c r="AU25" s="61"/>
      <c r="AV25" s="61"/>
      <c r="AW25" s="61"/>
      <c r="AX25" s="61"/>
      <c r="AY25" s="61"/>
      <c r="AZ25" s="61"/>
      <c r="BA25" s="14"/>
      <c r="BB25" s="61"/>
      <c r="BC25" s="61"/>
      <c r="BD25" s="14"/>
      <c r="BE25" s="14"/>
      <c r="BF25" s="14"/>
      <c r="BG25" s="26"/>
      <c r="BH25" s="61"/>
      <c r="BI25" s="14"/>
      <c r="BJ25" s="61"/>
      <c r="BK25" s="61"/>
      <c r="BL25" s="61"/>
      <c r="BM25" s="61"/>
      <c r="BN25" s="61"/>
      <c r="BO25" s="61"/>
      <c r="BP25" s="14"/>
      <c r="BQ25" s="14"/>
      <c r="BR25" s="26"/>
      <c r="BS25" s="14"/>
      <c r="BT25" s="26"/>
      <c r="BX25" s="26"/>
      <c r="CF25" s="14"/>
      <c r="CG25" s="14"/>
      <c r="CH25" s="26"/>
      <c r="CI25" s="26"/>
      <c r="CJ25" s="26"/>
      <c r="CK25" s="26"/>
      <c r="CL25" s="26"/>
      <c r="CM25" s="14"/>
      <c r="CN25" s="14"/>
      <c r="CO25" s="14"/>
      <c r="CP25" s="78"/>
      <c r="CQ25" s="14"/>
      <c r="CR25" s="14"/>
      <c r="CS25" s="14"/>
      <c r="CT25" s="61"/>
      <c r="CU25" s="61"/>
      <c r="CV25" s="61"/>
      <c r="CW25" s="61"/>
      <c r="CX25" s="61"/>
      <c r="CY25" s="61"/>
      <c r="CZ25" s="26"/>
      <c r="DA25" s="14"/>
      <c r="DB25" s="14"/>
      <c r="DC25" s="14"/>
      <c r="DD25" s="26"/>
      <c r="DE25" s="26"/>
      <c r="DF25" s="61"/>
      <c r="DG25" s="78"/>
      <c r="DH25" s="14"/>
      <c r="DI25" s="14"/>
      <c r="DJ25" s="14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V25" s="78"/>
      <c r="DW25" s="14"/>
      <c r="DX25" s="14"/>
      <c r="DY25" s="14"/>
      <c r="DZ25" s="61"/>
      <c r="EA25" s="61"/>
      <c r="EB25" s="61"/>
      <c r="EC25" s="61"/>
      <c r="EL25" s="78"/>
      <c r="EM25" s="61"/>
      <c r="EN25" s="61"/>
      <c r="EO25" s="61"/>
      <c r="EP25" s="61"/>
      <c r="EQ25" s="61"/>
      <c r="EX25" s="26"/>
      <c r="EY25" s="61"/>
      <c r="EZ25" s="78"/>
      <c r="FA25" s="14"/>
      <c r="FB25" s="14"/>
      <c r="FC25" s="14"/>
      <c r="FD25" s="61"/>
      <c r="FE25" s="61"/>
      <c r="FF25" s="61"/>
      <c r="FG25" s="79"/>
      <c r="FH25" s="79"/>
      <c r="FO25" s="78"/>
      <c r="FP25" s="14"/>
      <c r="FQ25" s="14"/>
      <c r="FR25" s="14"/>
      <c r="FS25" s="61"/>
      <c r="FT25" s="61"/>
      <c r="FU25" s="61"/>
    </row>
    <row r="26" spans="1:177" ht="15.75" customHeight="1">
      <c r="A26" s="1140" t="s">
        <v>132</v>
      </c>
      <c r="B26" s="3524"/>
      <c r="C26" s="1154"/>
      <c r="D26" s="1121" t="s">
        <v>30</v>
      </c>
      <c r="E26" s="1151">
        <v>2.4</v>
      </c>
      <c r="F26" s="1151">
        <v>1.79</v>
      </c>
      <c r="G26" s="1151">
        <v>2.1</v>
      </c>
      <c r="H26" s="2481">
        <v>2.95</v>
      </c>
      <c r="I26" s="1272">
        <v>1.58</v>
      </c>
      <c r="J26" s="1151">
        <v>3.19</v>
      </c>
      <c r="K26" s="1152">
        <v>1.53</v>
      </c>
      <c r="L26" s="1005">
        <v>1.86</v>
      </c>
      <c r="M26" s="1183">
        <v>1.03</v>
      </c>
      <c r="N26" s="1208">
        <v>1.04</v>
      </c>
      <c r="O26" s="1208">
        <v>0.96</v>
      </c>
      <c r="P26" s="2490">
        <v>1.19</v>
      </c>
      <c r="Q26" s="1046">
        <v>0.51</v>
      </c>
      <c r="R26" s="1127">
        <v>0.68</v>
      </c>
      <c r="S26" s="1127">
        <v>0.46</v>
      </c>
      <c r="T26" s="1128">
        <v>1</v>
      </c>
      <c r="U26" s="1128">
        <v>0.42299999999999999</v>
      </c>
      <c r="V26" s="1128">
        <v>0.22</v>
      </c>
      <c r="W26" s="1128">
        <v>1.3</v>
      </c>
      <c r="X26" s="1128">
        <v>0.23</v>
      </c>
      <c r="Y26" s="2927">
        <v>0.5</v>
      </c>
      <c r="Z26" s="2862">
        <v>0.85</v>
      </c>
      <c r="AA26" s="2927">
        <v>1.36</v>
      </c>
      <c r="AB26" s="2863">
        <v>0.93</v>
      </c>
      <c r="AC26" s="2927">
        <v>0.88</v>
      </c>
      <c r="AD26" s="2862"/>
      <c r="AE26" s="2927"/>
      <c r="AF26" s="2863"/>
      <c r="AQ26" s="26"/>
      <c r="AR26" s="26"/>
      <c r="AS26" s="26"/>
      <c r="AT26" s="26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26"/>
      <c r="BF26" s="26"/>
      <c r="BG26" s="26"/>
      <c r="BH26" s="61"/>
      <c r="BI26" s="61"/>
      <c r="BJ26" s="61"/>
      <c r="BK26" s="61"/>
      <c r="BL26" s="61"/>
      <c r="BM26" s="61"/>
      <c r="BN26" s="61"/>
      <c r="BO26" s="61"/>
      <c r="BP26" s="61"/>
      <c r="BQ26" s="26"/>
      <c r="BR26" s="26"/>
      <c r="BS26" s="26"/>
      <c r="BT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26"/>
      <c r="DA26" s="26"/>
      <c r="DB26" s="26"/>
      <c r="DC26" s="26"/>
      <c r="DD26" s="26"/>
      <c r="DE26" s="26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V26" s="61"/>
      <c r="DW26" s="61"/>
      <c r="DX26" s="61"/>
      <c r="DY26" s="61"/>
      <c r="DZ26" s="61"/>
      <c r="EA26" s="61"/>
      <c r="EB26" s="61"/>
      <c r="EC26" s="61"/>
      <c r="EL26" s="61"/>
      <c r="EM26" s="61"/>
      <c r="EN26" s="61"/>
      <c r="EO26" s="61"/>
      <c r="EP26" s="61"/>
      <c r="EQ26" s="61"/>
      <c r="EX26" s="26"/>
      <c r="EY26" s="61"/>
      <c r="EZ26" s="61"/>
      <c r="FA26" s="61"/>
      <c r="FB26" s="61"/>
      <c r="FC26" s="61"/>
      <c r="FD26" s="61"/>
      <c r="FE26" s="61"/>
      <c r="FF26" s="61"/>
      <c r="FG26" s="79"/>
      <c r="FH26" s="79"/>
      <c r="FO26" s="61"/>
      <c r="FP26" s="61"/>
      <c r="FQ26" s="61"/>
      <c r="FR26" s="61"/>
      <c r="FS26" s="61"/>
      <c r="FT26" s="61"/>
      <c r="FU26" s="61"/>
    </row>
    <row r="27" spans="1:177" ht="15.75" customHeight="1">
      <c r="A27" s="1140" t="s">
        <v>132</v>
      </c>
      <c r="B27" s="3524"/>
      <c r="C27" s="1154"/>
      <c r="D27" s="1121" t="s">
        <v>12</v>
      </c>
      <c r="E27" s="1122">
        <v>4.67</v>
      </c>
      <c r="F27" s="1122">
        <v>3.8</v>
      </c>
      <c r="G27" s="1122">
        <v>3.75</v>
      </c>
      <c r="H27" s="2485">
        <v>8.02</v>
      </c>
      <c r="I27" s="2431">
        <v>4.22</v>
      </c>
      <c r="J27" s="1003">
        <v>5.13</v>
      </c>
      <c r="K27" s="1004">
        <v>4.17</v>
      </c>
      <c r="L27" s="1005">
        <v>2.66</v>
      </c>
      <c r="M27" s="1183">
        <v>3.7</v>
      </c>
      <c r="N27" s="1208">
        <v>2.2829999999999999</v>
      </c>
      <c r="O27" s="1208">
        <v>2.2799999999999998</v>
      </c>
      <c r="P27" s="1604">
        <v>2.8</v>
      </c>
      <c r="Q27" s="1046">
        <v>2.98</v>
      </c>
      <c r="R27" s="1127">
        <v>2.85</v>
      </c>
      <c r="S27" s="1127">
        <v>2.6</v>
      </c>
      <c r="T27" s="1128">
        <v>3.1</v>
      </c>
      <c r="U27" s="1128">
        <v>2.54</v>
      </c>
      <c r="V27" s="1128">
        <v>2.31</v>
      </c>
      <c r="W27" s="1128">
        <v>3.28</v>
      </c>
      <c r="X27" s="1128">
        <v>2.48</v>
      </c>
      <c r="Y27" s="2927">
        <v>2.5499999999999998</v>
      </c>
      <c r="Z27" s="2862">
        <v>3.5</v>
      </c>
      <c r="AA27" s="2927">
        <v>4.42</v>
      </c>
      <c r="AB27" s="2863">
        <v>3.56</v>
      </c>
      <c r="AC27" s="2927">
        <v>4.16</v>
      </c>
      <c r="AD27" s="2862"/>
      <c r="AE27" s="2927"/>
      <c r="AF27" s="2863"/>
      <c r="AQ27" s="26"/>
      <c r="AR27" s="26"/>
      <c r="AS27" s="26"/>
      <c r="AT27" s="26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26"/>
      <c r="DA27" s="26"/>
      <c r="DB27" s="26"/>
      <c r="DC27" s="26"/>
      <c r="DD27" s="26"/>
      <c r="DE27" s="26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V27" s="61"/>
      <c r="DW27" s="61"/>
      <c r="DX27" s="61"/>
      <c r="DY27" s="61"/>
      <c r="DZ27" s="61"/>
      <c r="EA27" s="61"/>
      <c r="EB27" s="61"/>
      <c r="EC27" s="61"/>
      <c r="EL27" s="61"/>
      <c r="EM27" s="61"/>
      <c r="EN27" s="61"/>
      <c r="EO27" s="61"/>
      <c r="EP27" s="61"/>
      <c r="EQ27" s="61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O27" s="61"/>
      <c r="FP27" s="61"/>
      <c r="FQ27" s="61"/>
      <c r="FR27" s="61"/>
      <c r="FS27" s="61"/>
      <c r="FT27" s="61"/>
      <c r="FU27" s="61"/>
    </row>
    <row r="28" spans="1:177" ht="15.75" customHeight="1">
      <c r="A28" s="1140" t="s">
        <v>132</v>
      </c>
      <c r="B28" s="3524"/>
      <c r="C28" s="1154"/>
      <c r="D28" s="1121" t="s">
        <v>26</v>
      </c>
      <c r="E28" s="1151">
        <v>2.87</v>
      </c>
      <c r="F28" s="1151">
        <v>2.1</v>
      </c>
      <c r="G28" s="1151">
        <v>1.7</v>
      </c>
      <c r="H28" s="2481">
        <v>2.96</v>
      </c>
      <c r="I28" s="1272">
        <v>2.29</v>
      </c>
      <c r="J28" s="1151">
        <v>3.3</v>
      </c>
      <c r="K28" s="1152">
        <v>1.63</v>
      </c>
      <c r="L28" s="1005">
        <v>1.6</v>
      </c>
      <c r="M28" s="1183">
        <v>1.07</v>
      </c>
      <c r="N28" s="1208">
        <v>0.96</v>
      </c>
      <c r="O28" s="1208">
        <v>1.04</v>
      </c>
      <c r="P28" s="2490">
        <v>1.17</v>
      </c>
      <c r="Q28" s="1046">
        <v>0.52</v>
      </c>
      <c r="R28" s="1127">
        <v>0.56999999999999995</v>
      </c>
      <c r="S28" s="1127">
        <v>0.44</v>
      </c>
      <c r="T28" s="1128">
        <v>0.9</v>
      </c>
      <c r="U28" s="1128">
        <v>0.5</v>
      </c>
      <c r="V28" s="1128">
        <v>0.31</v>
      </c>
      <c r="W28" s="1128">
        <v>1.45</v>
      </c>
      <c r="X28" s="1128">
        <v>0.38</v>
      </c>
      <c r="Y28" s="2927">
        <v>0.59</v>
      </c>
      <c r="Z28" s="2862">
        <v>0.85</v>
      </c>
      <c r="AA28" s="2927">
        <v>1.43</v>
      </c>
      <c r="AB28" s="2863">
        <v>0.98</v>
      </c>
      <c r="AC28" s="2927">
        <v>0.88</v>
      </c>
      <c r="AD28" s="2862"/>
      <c r="AE28" s="2927"/>
      <c r="AF28" s="2863"/>
      <c r="AQ28" s="26"/>
      <c r="AR28" s="26"/>
      <c r="AS28" s="26"/>
      <c r="AT28" s="26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26"/>
      <c r="DA28" s="26"/>
      <c r="DB28" s="26"/>
      <c r="DC28" s="26"/>
      <c r="DD28" s="26"/>
      <c r="DE28" s="26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EL28" s="61"/>
      <c r="EM28" s="61"/>
      <c r="EN28" s="61"/>
      <c r="EO28" s="61"/>
      <c r="EP28" s="61"/>
      <c r="EQ28" s="61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O28" s="61"/>
      <c r="FP28" s="61"/>
      <c r="FQ28" s="61"/>
      <c r="FR28" s="61"/>
      <c r="FS28" s="61"/>
      <c r="FT28" s="61"/>
      <c r="FU28" s="61"/>
    </row>
    <row r="29" spans="1:177" ht="15" customHeight="1" thickBot="1">
      <c r="A29" s="1143" t="s">
        <v>132</v>
      </c>
      <c r="B29" s="3525"/>
      <c r="C29" s="1157">
        <f>COUNTA(D29:D33)</f>
        <v>5</v>
      </c>
      <c r="D29" s="1129" t="s">
        <v>22</v>
      </c>
      <c r="E29" s="1146">
        <v>2.83</v>
      </c>
      <c r="F29" s="1146">
        <v>2.57</v>
      </c>
      <c r="G29" s="1146">
        <v>2.2000000000000002</v>
      </c>
      <c r="H29" s="2482">
        <v>4.8</v>
      </c>
      <c r="I29" s="2432">
        <v>3.7</v>
      </c>
      <c r="J29" s="1147">
        <v>3.57</v>
      </c>
      <c r="K29" s="1148">
        <v>3.67</v>
      </c>
      <c r="L29" s="1134">
        <v>2.83</v>
      </c>
      <c r="M29" s="1184">
        <v>3.17</v>
      </c>
      <c r="N29" s="1209">
        <v>2.57</v>
      </c>
      <c r="O29" s="1209">
        <v>2.57</v>
      </c>
      <c r="P29" s="2488">
        <v>2.77</v>
      </c>
      <c r="Q29" s="886">
        <v>2.0299999999999998</v>
      </c>
      <c r="R29" s="633">
        <v>3.07</v>
      </c>
      <c r="S29" s="633">
        <v>2.83</v>
      </c>
      <c r="T29" s="634">
        <v>2.6</v>
      </c>
      <c r="U29" s="634">
        <v>2.83</v>
      </c>
      <c r="V29" s="634">
        <v>2.39</v>
      </c>
      <c r="W29" s="634">
        <v>2.97</v>
      </c>
      <c r="X29" s="634">
        <v>2.3199999999999998</v>
      </c>
      <c r="Y29" s="2928">
        <v>2.54</v>
      </c>
      <c r="Z29" s="2864">
        <v>3.1</v>
      </c>
      <c r="AA29" s="2928">
        <v>3.91</v>
      </c>
      <c r="AB29" s="2866">
        <v>3.33</v>
      </c>
      <c r="AC29" s="2928">
        <v>4.3499999999999996</v>
      </c>
      <c r="AD29" s="2864"/>
      <c r="AE29" s="2928"/>
      <c r="AF29" s="2866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26"/>
      <c r="DA29" s="26"/>
      <c r="DB29" s="26"/>
      <c r="DC29" s="26"/>
      <c r="DD29" s="26"/>
      <c r="DE29" s="26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EY29" s="79"/>
      <c r="EZ29" s="79"/>
      <c r="FA29" s="79"/>
      <c r="FB29" s="79"/>
      <c r="FC29" s="79"/>
      <c r="FD29" s="79"/>
      <c r="FE29" s="79"/>
      <c r="FF29" s="79"/>
      <c r="FG29" s="79"/>
      <c r="FH29" s="79"/>
    </row>
    <row r="30" spans="1:177">
      <c r="A30" s="1008" t="s">
        <v>63</v>
      </c>
      <c r="B30" s="3526" t="s">
        <v>364</v>
      </c>
      <c r="C30" s="1011"/>
      <c r="D30" s="1111" t="s">
        <v>20</v>
      </c>
      <c r="E30" s="1112">
        <v>1.63</v>
      </c>
      <c r="F30" s="1112">
        <v>1.1499999999999999</v>
      </c>
      <c r="G30" s="1112">
        <v>9.43</v>
      </c>
      <c r="H30" s="2480">
        <v>1.7</v>
      </c>
      <c r="I30" s="1530">
        <v>9.0299999999999994</v>
      </c>
      <c r="J30" s="1114">
        <v>1.77</v>
      </c>
      <c r="K30" s="1115">
        <v>2.5</v>
      </c>
      <c r="L30" s="1116">
        <v>1.43</v>
      </c>
      <c r="M30" s="1241">
        <v>1.53</v>
      </c>
      <c r="N30" s="1207">
        <v>1.07</v>
      </c>
      <c r="O30" s="1207">
        <v>1.0900000000000001</v>
      </c>
      <c r="P30" s="2489">
        <v>1.39</v>
      </c>
      <c r="Q30" s="1203">
        <v>0.22</v>
      </c>
      <c r="R30" s="1119">
        <v>0.09</v>
      </c>
      <c r="S30" s="1119">
        <v>0.6</v>
      </c>
      <c r="T30" s="1120">
        <v>0.15</v>
      </c>
      <c r="U30" s="1120">
        <v>0.24</v>
      </c>
      <c r="V30" s="1120">
        <v>0.19</v>
      </c>
      <c r="W30" s="1120">
        <v>0.75</v>
      </c>
      <c r="X30" s="1120">
        <v>0.1</v>
      </c>
      <c r="Y30" s="2926">
        <v>0.4</v>
      </c>
      <c r="Z30" s="2859">
        <v>0.3</v>
      </c>
      <c r="AA30" s="2926">
        <v>0.96</v>
      </c>
      <c r="AB30" s="2861">
        <v>0.72</v>
      </c>
      <c r="AC30" s="2926">
        <v>0.88</v>
      </c>
      <c r="AD30" s="2859"/>
      <c r="AE30" s="2926"/>
      <c r="AF30" s="28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EY30" s="79"/>
      <c r="EZ30" s="79"/>
      <c r="FA30" s="79"/>
      <c r="FB30" s="79"/>
      <c r="FC30" s="79"/>
      <c r="FD30" s="79"/>
      <c r="FE30" s="79"/>
      <c r="FF30" s="79"/>
      <c r="FG30" s="79"/>
      <c r="FH30" s="79"/>
    </row>
    <row r="31" spans="1:177">
      <c r="A31" s="1107" t="s">
        <v>63</v>
      </c>
      <c r="B31" s="3527"/>
      <c r="C31" s="1108"/>
      <c r="D31" s="1121" t="s">
        <v>26</v>
      </c>
      <c r="E31" s="1122">
        <v>1.83</v>
      </c>
      <c r="F31" s="1122">
        <v>1.9</v>
      </c>
      <c r="G31" s="1122">
        <v>8.6999999999999993</v>
      </c>
      <c r="H31" s="2485">
        <v>1.49</v>
      </c>
      <c r="I31" s="324">
        <v>1.9</v>
      </c>
      <c r="J31" s="1003">
        <v>1.87</v>
      </c>
      <c r="K31" s="1004">
        <v>2.1</v>
      </c>
      <c r="L31" s="1005">
        <v>1.0900000000000001</v>
      </c>
      <c r="M31" s="1183">
        <v>0.99</v>
      </c>
      <c r="N31" s="1208">
        <v>1.1299999999999999</v>
      </c>
      <c r="O31" s="1208">
        <v>1.1399999999999999</v>
      </c>
      <c r="P31" s="2490">
        <v>0.99</v>
      </c>
      <c r="Q31" s="1046">
        <v>0.42</v>
      </c>
      <c r="R31" s="1127">
        <v>0.09</v>
      </c>
      <c r="S31" s="1127">
        <v>0.2</v>
      </c>
      <c r="T31" s="1128">
        <v>0.05</v>
      </c>
      <c r="U31" s="1128">
        <v>0.16</v>
      </c>
      <c r="V31" s="1128">
        <v>0.2</v>
      </c>
      <c r="W31" s="1128">
        <v>0.55000000000000004</v>
      </c>
      <c r="X31" s="1128">
        <v>0.08</v>
      </c>
      <c r="Y31" s="2927">
        <v>0.48</v>
      </c>
      <c r="Z31" s="2862">
        <v>0</v>
      </c>
      <c r="AA31" s="2927">
        <v>0.8</v>
      </c>
      <c r="AB31" s="2863">
        <v>0.45</v>
      </c>
      <c r="AC31" s="2927">
        <v>0.7</v>
      </c>
      <c r="AD31" s="2862"/>
      <c r="AE31" s="2927"/>
      <c r="AF31" s="2863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EY31" s="79"/>
      <c r="EZ31" s="79"/>
      <c r="FA31" s="79"/>
      <c r="FB31" s="79"/>
      <c r="FC31" s="79"/>
      <c r="FD31" s="79"/>
      <c r="FE31" s="79"/>
      <c r="FF31" s="79"/>
      <c r="FG31" s="79"/>
      <c r="FH31" s="79"/>
    </row>
    <row r="32" spans="1:177">
      <c r="A32" s="1107" t="s">
        <v>63</v>
      </c>
      <c r="B32" s="3527"/>
      <c r="C32" s="1108"/>
      <c r="D32" s="1121" t="s">
        <v>39</v>
      </c>
      <c r="E32" s="1122">
        <v>1.53</v>
      </c>
      <c r="F32" s="1122">
        <v>1.2</v>
      </c>
      <c r="G32" s="1122">
        <v>6.51</v>
      </c>
      <c r="H32" s="2485">
        <v>1.57</v>
      </c>
      <c r="I32" s="324">
        <v>1.5</v>
      </c>
      <c r="J32" s="1003">
        <v>1.4</v>
      </c>
      <c r="K32" s="1004">
        <v>2.33</v>
      </c>
      <c r="L32" s="1005">
        <v>1.2</v>
      </c>
      <c r="M32" s="1183">
        <v>1.04</v>
      </c>
      <c r="N32" s="1208">
        <v>1.03</v>
      </c>
      <c r="O32" s="1208">
        <v>1.02</v>
      </c>
      <c r="P32" s="2490">
        <v>0.91</v>
      </c>
      <c r="Q32" s="1183">
        <v>0.4</v>
      </c>
      <c r="R32" s="1127">
        <v>0.15</v>
      </c>
      <c r="S32" s="1127">
        <v>0.3</v>
      </c>
      <c r="T32" s="1128">
        <v>0.06</v>
      </c>
      <c r="U32" s="1128">
        <v>0.52</v>
      </c>
      <c r="V32" s="1128">
        <v>0.12</v>
      </c>
      <c r="W32" s="1128">
        <v>0.56000000000000005</v>
      </c>
      <c r="X32" s="1128">
        <v>7.0000000000000007E-2</v>
      </c>
      <c r="Y32" s="2927">
        <v>0.38</v>
      </c>
      <c r="Z32" s="2862">
        <v>0</v>
      </c>
      <c r="AA32" s="2927">
        <v>0.69</v>
      </c>
      <c r="AB32" s="2863">
        <v>0.41</v>
      </c>
      <c r="AC32" s="2927">
        <v>0.66</v>
      </c>
      <c r="AD32" s="2862"/>
      <c r="AE32" s="2927"/>
      <c r="AF32" s="2863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</row>
    <row r="33" spans="1:146">
      <c r="A33" s="1107" t="s">
        <v>63</v>
      </c>
      <c r="B33" s="3527"/>
      <c r="C33" s="1108">
        <f>COUNTA(D33:D37)</f>
        <v>5</v>
      </c>
      <c r="D33" s="1121" t="s">
        <v>34</v>
      </c>
      <c r="E33" s="1122">
        <v>3.13</v>
      </c>
      <c r="F33" s="1122">
        <v>4.4000000000000004</v>
      </c>
      <c r="G33" s="1122">
        <v>3.83</v>
      </c>
      <c r="H33" s="2485">
        <v>6.44</v>
      </c>
      <c r="I33" s="324">
        <v>2.95</v>
      </c>
      <c r="J33" s="1003">
        <v>2.63</v>
      </c>
      <c r="K33" s="1004">
        <v>2.36</v>
      </c>
      <c r="L33" s="1005">
        <v>1.53</v>
      </c>
      <c r="M33" s="1183">
        <v>1.44</v>
      </c>
      <c r="N33" s="1208">
        <v>1.67</v>
      </c>
      <c r="O33" s="1208">
        <v>1.65</v>
      </c>
      <c r="P33" s="2490">
        <v>11.88</v>
      </c>
      <c r="Q33" s="1046">
        <v>0.77</v>
      </c>
      <c r="R33" s="1127">
        <v>2.16</v>
      </c>
      <c r="S33" s="1127">
        <v>1.9</v>
      </c>
      <c r="T33" s="1128">
        <v>1.73</v>
      </c>
      <c r="U33" s="1128">
        <v>0.45</v>
      </c>
      <c r="V33" s="1128">
        <v>0.96</v>
      </c>
      <c r="W33" s="1128">
        <v>2.4700000000000002</v>
      </c>
      <c r="X33" s="1128">
        <v>1.2</v>
      </c>
      <c r="Y33" s="2927">
        <v>1.43</v>
      </c>
      <c r="Z33" s="2862">
        <v>0.8</v>
      </c>
      <c r="AA33" s="2927">
        <v>2.97</v>
      </c>
      <c r="AB33" s="2863">
        <v>1.88</v>
      </c>
      <c r="AC33" s="2927">
        <v>1.72</v>
      </c>
      <c r="AD33" s="2862"/>
      <c r="AE33" s="2927"/>
      <c r="AF33" s="2863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</row>
    <row r="34" spans="1:146" ht="15.75" thickBot="1">
      <c r="A34" s="1109" t="s">
        <v>63</v>
      </c>
      <c r="B34" s="3528"/>
      <c r="C34" s="1110"/>
      <c r="D34" s="1129" t="s">
        <v>38</v>
      </c>
      <c r="E34" s="1130">
        <v>1.6</v>
      </c>
      <c r="F34" s="1130">
        <v>1.65</v>
      </c>
      <c r="G34" s="1130">
        <v>4.88</v>
      </c>
      <c r="H34" s="2484">
        <v>1.58</v>
      </c>
      <c r="I34" s="1611">
        <v>1.43</v>
      </c>
      <c r="J34" s="1130">
        <v>1.43</v>
      </c>
      <c r="K34" s="1133">
        <v>1.86</v>
      </c>
      <c r="L34" s="1134">
        <v>1.2</v>
      </c>
      <c r="M34" s="1184">
        <v>1.04</v>
      </c>
      <c r="N34" s="1209">
        <v>1.17</v>
      </c>
      <c r="O34" s="1209">
        <v>1.1499999999999999</v>
      </c>
      <c r="P34" s="2488">
        <v>1.1299999999999999</v>
      </c>
      <c r="Q34" s="886">
        <v>0.19</v>
      </c>
      <c r="R34" s="633">
        <v>0.2</v>
      </c>
      <c r="S34" s="633">
        <v>0.4</v>
      </c>
      <c r="T34" s="634">
        <v>0.17</v>
      </c>
      <c r="U34" s="634">
        <v>0.2</v>
      </c>
      <c r="V34" s="634">
        <v>0.24</v>
      </c>
      <c r="W34" s="634">
        <v>0.45</v>
      </c>
      <c r="X34" s="634">
        <v>0.23</v>
      </c>
      <c r="Y34" s="2928">
        <v>0.45</v>
      </c>
      <c r="Z34" s="2864">
        <v>0.3</v>
      </c>
      <c r="AA34" s="2928">
        <v>0.73</v>
      </c>
      <c r="AB34" s="2866">
        <v>0.55000000000000004</v>
      </c>
      <c r="AC34" s="2928">
        <v>0.84</v>
      </c>
      <c r="AD34" s="2864"/>
      <c r="AE34" s="2928"/>
      <c r="AF34" s="286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</row>
    <row r="35" spans="1:146">
      <c r="A35" s="1008" t="s">
        <v>23</v>
      </c>
      <c r="B35" s="3526" t="s">
        <v>23</v>
      </c>
      <c r="C35" s="1011"/>
      <c r="D35" s="1111" t="s">
        <v>32</v>
      </c>
      <c r="E35" s="1149">
        <v>4.83</v>
      </c>
      <c r="F35" s="1149">
        <v>5.76</v>
      </c>
      <c r="G35" s="1149">
        <v>6.71</v>
      </c>
      <c r="H35" s="2483">
        <v>1.86</v>
      </c>
      <c r="I35" s="2429">
        <v>2.76</v>
      </c>
      <c r="J35" s="1149">
        <v>2.94</v>
      </c>
      <c r="K35" s="1150">
        <v>1.9330000000000001</v>
      </c>
      <c r="L35" s="1116">
        <v>2.8</v>
      </c>
      <c r="M35" s="1241">
        <v>1.77</v>
      </c>
      <c r="N35" s="1207">
        <v>2.5299999999999998</v>
      </c>
      <c r="O35" s="1207">
        <v>2.5299999999999998</v>
      </c>
      <c r="P35" s="2489">
        <v>12.55</v>
      </c>
      <c r="Q35" s="1203">
        <v>0.96</v>
      </c>
      <c r="R35" s="1119">
        <v>1</v>
      </c>
      <c r="S35" s="1119">
        <v>1.1000000000000001</v>
      </c>
      <c r="T35" s="1120">
        <v>0.18</v>
      </c>
      <c r="U35" s="1120"/>
      <c r="V35" s="1120"/>
      <c r="W35" s="1120"/>
      <c r="X35" s="1120">
        <v>1.65</v>
      </c>
      <c r="Y35" s="2926">
        <v>1.1399999999999999</v>
      </c>
      <c r="Z35" s="2859">
        <v>59</v>
      </c>
      <c r="AA35" s="2926">
        <v>2.82</v>
      </c>
      <c r="AB35" s="2861">
        <v>1.63</v>
      </c>
      <c r="AC35" s="2926">
        <v>1.31</v>
      </c>
      <c r="AD35" s="2859"/>
      <c r="AE35" s="2926"/>
      <c r="AF35" s="2861"/>
    </row>
    <row r="36" spans="1:146">
      <c r="A36" s="1107" t="s">
        <v>23</v>
      </c>
      <c r="B36" s="3527"/>
      <c r="C36" s="1108">
        <f>COUNTA(D36:D38)</f>
        <v>3</v>
      </c>
      <c r="D36" s="1121" t="s">
        <v>24</v>
      </c>
      <c r="E36" s="1122">
        <v>3.9</v>
      </c>
      <c r="F36" s="1122">
        <v>3.49</v>
      </c>
      <c r="G36" s="1122">
        <v>7.66</v>
      </c>
      <c r="H36" s="2485">
        <v>6.42</v>
      </c>
      <c r="I36" s="2431">
        <v>2.9</v>
      </c>
      <c r="J36" s="1003">
        <v>3.35</v>
      </c>
      <c r="K36" s="1004">
        <v>3.48</v>
      </c>
      <c r="L36" s="1005">
        <v>3.4</v>
      </c>
      <c r="M36" s="1183">
        <v>2.8</v>
      </c>
      <c r="N36" s="1208">
        <v>4.4000000000000004</v>
      </c>
      <c r="O36" s="1208">
        <v>4.4000000000000004</v>
      </c>
      <c r="P36" s="2490">
        <v>5.2</v>
      </c>
      <c r="Q36" s="1046">
        <v>2.71</v>
      </c>
      <c r="R36" s="1127">
        <v>2</v>
      </c>
      <c r="S36" s="1127">
        <v>1.3</v>
      </c>
      <c r="T36" s="1128">
        <v>1.86</v>
      </c>
      <c r="U36" s="1128"/>
      <c r="V36" s="1128"/>
      <c r="W36" s="1128"/>
      <c r="X36" s="1128">
        <v>1.73</v>
      </c>
      <c r="Y36" s="2927">
        <v>2.54</v>
      </c>
      <c r="Z36" s="2862">
        <v>1</v>
      </c>
      <c r="AA36" s="2927">
        <v>3.84</v>
      </c>
      <c r="AB36" s="2863">
        <v>2.7</v>
      </c>
      <c r="AC36" s="2927">
        <v>3.87</v>
      </c>
      <c r="AD36" s="2862"/>
      <c r="AE36" s="2927"/>
      <c r="AF36" s="2863"/>
    </row>
    <row r="37" spans="1:146" ht="15.75" thickBot="1">
      <c r="A37" s="1109" t="s">
        <v>23</v>
      </c>
      <c r="B37" s="3528"/>
      <c r="C37" s="1110"/>
      <c r="D37" s="1129" t="s">
        <v>27</v>
      </c>
      <c r="E37" s="1146">
        <v>3.96</v>
      </c>
      <c r="F37" s="1146">
        <v>2.93</v>
      </c>
      <c r="G37" s="1146">
        <v>4.17</v>
      </c>
      <c r="H37" s="2482">
        <v>1.81</v>
      </c>
      <c r="I37" s="2432">
        <v>3.56</v>
      </c>
      <c r="J37" s="1147">
        <v>3.23</v>
      </c>
      <c r="K37" s="1148">
        <v>3</v>
      </c>
      <c r="L37" s="1134">
        <v>2.67</v>
      </c>
      <c r="M37" s="1184">
        <v>1.8</v>
      </c>
      <c r="N37" s="1209">
        <v>3.44</v>
      </c>
      <c r="O37" s="1209">
        <v>3.44</v>
      </c>
      <c r="P37" s="2488">
        <v>1.55</v>
      </c>
      <c r="Q37" s="886">
        <v>1.1299999999999999</v>
      </c>
      <c r="R37" s="633">
        <v>2</v>
      </c>
      <c r="S37" s="633">
        <v>1</v>
      </c>
      <c r="T37" s="634">
        <v>0.41</v>
      </c>
      <c r="U37" s="634"/>
      <c r="V37" s="634"/>
      <c r="W37" s="634"/>
      <c r="X37" s="634">
        <v>1.53</v>
      </c>
      <c r="Y37" s="2928">
        <v>0.9</v>
      </c>
      <c r="Z37" s="2864">
        <v>3.5</v>
      </c>
      <c r="AA37" s="2928">
        <v>3.99</v>
      </c>
      <c r="AB37" s="2866">
        <v>3.07</v>
      </c>
      <c r="AC37" s="2928">
        <v>2.25</v>
      </c>
      <c r="AD37" s="2864"/>
      <c r="AE37" s="2928"/>
      <c r="AF37" s="2866"/>
    </row>
    <row r="38" spans="1:146">
      <c r="A38" s="1008" t="s">
        <v>6</v>
      </c>
      <c r="B38" s="3526" t="s">
        <v>6</v>
      </c>
      <c r="C38" s="1011"/>
      <c r="D38" s="1111" t="s">
        <v>10</v>
      </c>
      <c r="E38" s="1112">
        <v>7.7</v>
      </c>
      <c r="F38" s="1112">
        <v>3.6</v>
      </c>
      <c r="G38" s="1112">
        <v>3.93</v>
      </c>
      <c r="H38" s="2480">
        <v>5.4</v>
      </c>
      <c r="I38" s="2430">
        <v>3.7</v>
      </c>
      <c r="J38" s="1114">
        <v>5.3</v>
      </c>
      <c r="K38" s="1115">
        <v>3.3</v>
      </c>
      <c r="L38" s="1116">
        <v>3.3</v>
      </c>
      <c r="M38" s="1241">
        <v>4.53</v>
      </c>
      <c r="N38" s="1207">
        <v>2.97</v>
      </c>
      <c r="O38" s="1207">
        <v>2.98</v>
      </c>
      <c r="P38" s="2489"/>
      <c r="Q38" s="1203"/>
      <c r="R38" s="1119"/>
      <c r="S38" s="1119"/>
      <c r="T38" s="1120">
        <v>3.4</v>
      </c>
      <c r="U38" s="1120"/>
      <c r="V38" s="1120"/>
      <c r="W38" s="1120"/>
      <c r="X38" s="1120">
        <v>4.12</v>
      </c>
      <c r="Y38" s="2926">
        <v>4.03</v>
      </c>
      <c r="Z38" s="3256">
        <v>4.1500000000000004</v>
      </c>
      <c r="AA38" s="2926">
        <v>5.65</v>
      </c>
      <c r="AB38" s="2861">
        <v>4.8600000000000003</v>
      </c>
      <c r="AC38" s="2926">
        <v>4.0999999999999996</v>
      </c>
      <c r="AD38" s="3256"/>
      <c r="AE38" s="2926"/>
      <c r="AF38" s="2861"/>
    </row>
    <row r="39" spans="1:146">
      <c r="A39" s="1107" t="s">
        <v>6</v>
      </c>
      <c r="B39" s="3527"/>
      <c r="C39" s="1108">
        <f>COUNTA(D39:D43)</f>
        <v>5</v>
      </c>
      <c r="D39" s="1121" t="s">
        <v>20</v>
      </c>
      <c r="E39" s="1122">
        <v>7.35</v>
      </c>
      <c r="F39" s="1122">
        <v>4.5</v>
      </c>
      <c r="G39" s="1122">
        <v>4.82</v>
      </c>
      <c r="H39" s="2485">
        <v>4.9000000000000004</v>
      </c>
      <c r="I39" s="2431">
        <v>4.5</v>
      </c>
      <c r="J39" s="1003">
        <v>4.5</v>
      </c>
      <c r="K39" s="1004">
        <v>3.5</v>
      </c>
      <c r="L39" s="1005">
        <v>3.5</v>
      </c>
      <c r="M39" s="1183">
        <v>4.59</v>
      </c>
      <c r="N39" s="1208">
        <v>4.7300000000000004</v>
      </c>
      <c r="O39" s="1208">
        <v>4.71</v>
      </c>
      <c r="P39" s="2490"/>
      <c r="Q39" s="1046"/>
      <c r="R39" s="1127"/>
      <c r="S39" s="1127"/>
      <c r="T39" s="1128">
        <v>3.13</v>
      </c>
      <c r="U39" s="1128"/>
      <c r="V39" s="1128"/>
      <c r="W39" s="1128"/>
      <c r="X39" s="1128">
        <v>4.63</v>
      </c>
      <c r="Y39" s="2927">
        <v>3.86</v>
      </c>
      <c r="Z39" s="3257">
        <v>4.0599999999999996</v>
      </c>
      <c r="AA39" s="2927">
        <v>5.17</v>
      </c>
      <c r="AB39" s="2863">
        <v>4.72</v>
      </c>
      <c r="AC39" s="2927">
        <v>4.2</v>
      </c>
      <c r="AD39" s="3257"/>
      <c r="AE39" s="2927"/>
      <c r="AF39" s="2863"/>
    </row>
    <row r="40" spans="1:146" ht="16.5" customHeight="1">
      <c r="A40" s="1107" t="s">
        <v>6</v>
      </c>
      <c r="B40" s="3527"/>
      <c r="C40" s="1108"/>
      <c r="D40" s="1121" t="s">
        <v>11</v>
      </c>
      <c r="E40" s="1122">
        <v>8.1</v>
      </c>
      <c r="F40" s="1122">
        <v>4.0999999999999996</v>
      </c>
      <c r="G40" s="1122">
        <v>4.2</v>
      </c>
      <c r="H40" s="2485">
        <v>5.6</v>
      </c>
      <c r="I40" s="2431">
        <v>3.2</v>
      </c>
      <c r="J40" s="1003">
        <v>5.2</v>
      </c>
      <c r="K40" s="1004">
        <v>3.87</v>
      </c>
      <c r="L40" s="1005">
        <v>3.87</v>
      </c>
      <c r="M40" s="1183">
        <v>4.58</v>
      </c>
      <c r="N40" s="1208">
        <v>3.51</v>
      </c>
      <c r="O40" s="1208">
        <v>3.56</v>
      </c>
      <c r="P40" s="2490"/>
      <c r="Q40" s="1046"/>
      <c r="R40" s="1127"/>
      <c r="S40" s="1127"/>
      <c r="T40" s="1128">
        <v>2.41</v>
      </c>
      <c r="U40" s="1128"/>
      <c r="V40" s="1128"/>
      <c r="W40" s="1128"/>
      <c r="X40" s="1128">
        <v>3.97</v>
      </c>
      <c r="Y40" s="2927">
        <v>3.43</v>
      </c>
      <c r="Z40" s="3257">
        <v>4.45</v>
      </c>
      <c r="AA40" s="2927">
        <v>5.68</v>
      </c>
      <c r="AB40" s="2863">
        <v>4.54</v>
      </c>
      <c r="AC40" s="2927">
        <v>4.3</v>
      </c>
      <c r="AD40" s="3257"/>
      <c r="AE40" s="2927"/>
      <c r="AF40" s="2863"/>
    </row>
    <row r="41" spans="1:146">
      <c r="A41" s="1107" t="s">
        <v>6</v>
      </c>
      <c r="B41" s="3527"/>
      <c r="C41" s="1108"/>
      <c r="D41" s="1121" t="s">
        <v>14</v>
      </c>
      <c r="E41" s="1122">
        <v>7.5</v>
      </c>
      <c r="F41" s="1122">
        <v>3.7</v>
      </c>
      <c r="G41" s="1122">
        <v>4.3600000000000003</v>
      </c>
      <c r="H41" s="2485">
        <v>5.0999999999999996</v>
      </c>
      <c r="I41" s="2431">
        <v>4.7</v>
      </c>
      <c r="J41" s="1003">
        <v>5.0999999999999996</v>
      </c>
      <c r="K41" s="1004">
        <v>3.9</v>
      </c>
      <c r="L41" s="1005">
        <v>3.9</v>
      </c>
      <c r="M41" s="1183">
        <v>4.38</v>
      </c>
      <c r="N41" s="1208">
        <v>3.49</v>
      </c>
      <c r="O41" s="1208">
        <v>3.46</v>
      </c>
      <c r="P41" s="2490"/>
      <c r="Q41" s="1046"/>
      <c r="R41" s="1127"/>
      <c r="S41" s="1127"/>
      <c r="T41" s="1128">
        <v>3.32</v>
      </c>
      <c r="U41" s="1128"/>
      <c r="V41" s="1128"/>
      <c r="W41" s="1128"/>
      <c r="X41" s="1128">
        <v>4.3899999999999997</v>
      </c>
      <c r="Y41" s="2927">
        <v>4.53</v>
      </c>
      <c r="Z41" s="3257">
        <v>4.0199999999999996</v>
      </c>
      <c r="AA41" s="2927">
        <v>5.2</v>
      </c>
      <c r="AB41" s="2863">
        <v>4.8099999999999996</v>
      </c>
      <c r="AC41" s="2927">
        <v>4.8</v>
      </c>
      <c r="AD41" s="3257"/>
      <c r="AE41" s="2927"/>
      <c r="AF41" s="2863"/>
    </row>
    <row r="42" spans="1:146" ht="15.75" thickBot="1">
      <c r="A42" s="1109" t="s">
        <v>6</v>
      </c>
      <c r="B42" s="3528"/>
      <c r="C42" s="1110"/>
      <c r="D42" s="1129" t="s">
        <v>7</v>
      </c>
      <c r="E42" s="1146">
        <v>8.8000000000000007</v>
      </c>
      <c r="F42" s="1146">
        <v>4.3</v>
      </c>
      <c r="G42" s="1146">
        <v>3.47</v>
      </c>
      <c r="H42" s="2482">
        <v>6.5</v>
      </c>
      <c r="I42" s="2432">
        <v>5.2</v>
      </c>
      <c r="J42" s="1147">
        <v>5.4</v>
      </c>
      <c r="K42" s="1148">
        <v>3.61</v>
      </c>
      <c r="L42" s="1134">
        <v>3.61</v>
      </c>
      <c r="M42" s="1184">
        <v>4.54</v>
      </c>
      <c r="N42" s="1209">
        <v>3.45</v>
      </c>
      <c r="O42" s="1209">
        <v>3.48</v>
      </c>
      <c r="P42" s="2488"/>
      <c r="Q42" s="886"/>
      <c r="R42" s="633"/>
      <c r="S42" s="633"/>
      <c r="T42" s="634">
        <v>2.35</v>
      </c>
      <c r="U42" s="634"/>
      <c r="V42" s="634"/>
      <c r="W42" s="634"/>
      <c r="X42" s="634">
        <v>3.91</v>
      </c>
      <c r="Y42" s="2928">
        <v>2.99</v>
      </c>
      <c r="Z42" s="3258">
        <v>4.4000000000000004</v>
      </c>
      <c r="AA42" s="2928">
        <v>5.6</v>
      </c>
      <c r="AB42" s="2866">
        <v>4.54</v>
      </c>
      <c r="AC42" s="2928">
        <v>4.2</v>
      </c>
      <c r="AD42" s="3258"/>
      <c r="AE42" s="2928"/>
      <c r="AF42" s="2866"/>
    </row>
    <row r="43" spans="1:146">
      <c r="A43" s="1008" t="s">
        <v>28</v>
      </c>
      <c r="B43" s="3526" t="s">
        <v>28</v>
      </c>
      <c r="C43" s="1011"/>
      <c r="D43" s="1111" t="s">
        <v>35</v>
      </c>
      <c r="E43" s="1112">
        <v>3.3</v>
      </c>
      <c r="F43" s="1112">
        <v>1.1000000000000001</v>
      </c>
      <c r="G43" s="1112">
        <v>3.8</v>
      </c>
      <c r="H43" s="2480">
        <v>4.0999999999999996</v>
      </c>
      <c r="I43" s="1530">
        <v>3.1</v>
      </c>
      <c r="J43" s="1114">
        <v>2.2999999999999998</v>
      </c>
      <c r="K43" s="1115">
        <v>3.2</v>
      </c>
      <c r="L43" s="1116">
        <v>2.5</v>
      </c>
      <c r="M43" s="1241">
        <v>1.3</v>
      </c>
      <c r="N43" s="1207">
        <v>3.2</v>
      </c>
      <c r="O43" s="1207">
        <v>3.18</v>
      </c>
      <c r="P43" s="2489">
        <v>3.58</v>
      </c>
      <c r="Q43" s="1203">
        <v>2.5</v>
      </c>
      <c r="R43" s="1119">
        <v>1.1599999999999999</v>
      </c>
      <c r="S43" s="1119">
        <v>1.3</v>
      </c>
      <c r="T43" s="1120">
        <v>1.6</v>
      </c>
      <c r="U43" s="1120"/>
      <c r="V43" s="1120"/>
      <c r="W43" s="1120"/>
      <c r="X43" s="1120">
        <v>1.58</v>
      </c>
      <c r="Y43" s="2926">
        <v>1.86</v>
      </c>
      <c r="Z43" s="2859">
        <v>1.2</v>
      </c>
      <c r="AA43" s="2926">
        <v>2.38</v>
      </c>
      <c r="AB43" s="2861">
        <v>2.14</v>
      </c>
      <c r="AC43" s="2926">
        <v>1.5</v>
      </c>
      <c r="AD43" s="2859"/>
      <c r="AE43" s="2926"/>
      <c r="AF43" s="2861"/>
    </row>
    <row r="44" spans="1:146">
      <c r="A44" s="1107" t="s">
        <v>28</v>
      </c>
      <c r="B44" s="3527"/>
      <c r="C44" s="1108"/>
      <c r="D44" s="1121" t="s">
        <v>29</v>
      </c>
      <c r="E44" s="1122">
        <v>6</v>
      </c>
      <c r="F44" s="1122">
        <v>3</v>
      </c>
      <c r="G44" s="1122">
        <v>3.1</v>
      </c>
      <c r="H44" s="2485">
        <v>2.9</v>
      </c>
      <c r="I44" s="324">
        <v>3.8</v>
      </c>
      <c r="J44" s="1003">
        <v>3.2</v>
      </c>
      <c r="K44" s="1004">
        <v>2.9</v>
      </c>
      <c r="L44" s="1005">
        <v>2.9</v>
      </c>
      <c r="M44" s="1183">
        <v>1.6</v>
      </c>
      <c r="N44" s="1208">
        <v>3.4</v>
      </c>
      <c r="O44" s="1208">
        <v>3.4</v>
      </c>
      <c r="P44" s="2490">
        <v>2.35</v>
      </c>
      <c r="Q44" s="1046">
        <v>2.1</v>
      </c>
      <c r="R44" s="1127">
        <v>1.4</v>
      </c>
      <c r="S44" s="1127">
        <v>2.69</v>
      </c>
      <c r="T44" s="1128">
        <v>1.8</v>
      </c>
      <c r="U44" s="1128"/>
      <c r="V44" s="1128"/>
      <c r="W44" s="1128"/>
      <c r="X44" s="1128">
        <v>1.48</v>
      </c>
      <c r="Y44" s="2927">
        <v>0.69</v>
      </c>
      <c r="Z44" s="2862">
        <v>0.84</v>
      </c>
      <c r="AA44" s="2927">
        <v>4.28</v>
      </c>
      <c r="AB44" s="2863">
        <v>2.4300000000000002</v>
      </c>
      <c r="AC44" s="2927">
        <v>1.8</v>
      </c>
      <c r="AD44" s="2862"/>
      <c r="AE44" s="2927"/>
      <c r="AF44" s="2863"/>
    </row>
    <row r="45" spans="1:146" ht="15.75" thickBot="1">
      <c r="A45" s="1109" t="s">
        <v>28</v>
      </c>
      <c r="B45" s="3528"/>
      <c r="C45" s="1110">
        <f>COUNTA(D45:D47)</f>
        <v>3</v>
      </c>
      <c r="D45" s="1129" t="s">
        <v>36</v>
      </c>
      <c r="E45" s="1146">
        <v>4.0999999999999996</v>
      </c>
      <c r="F45" s="1146">
        <v>4.3</v>
      </c>
      <c r="G45" s="1146">
        <v>4</v>
      </c>
      <c r="H45" s="2482">
        <v>6.1</v>
      </c>
      <c r="I45" s="1543">
        <v>2.06</v>
      </c>
      <c r="J45" s="1147">
        <v>2.2000000000000002</v>
      </c>
      <c r="K45" s="1148">
        <v>3.1</v>
      </c>
      <c r="L45" s="1134">
        <v>3.1</v>
      </c>
      <c r="M45" s="1184">
        <v>1.4</v>
      </c>
      <c r="N45" s="1209">
        <v>3.7</v>
      </c>
      <c r="O45" s="1209">
        <v>4.47</v>
      </c>
      <c r="P45" s="2488">
        <v>3.21</v>
      </c>
      <c r="Q45" s="886">
        <v>2.4</v>
      </c>
      <c r="R45" s="633">
        <v>1.3</v>
      </c>
      <c r="S45" s="633">
        <v>1.69</v>
      </c>
      <c r="T45" s="634">
        <v>2.1</v>
      </c>
      <c r="U45" s="634"/>
      <c r="V45" s="634"/>
      <c r="W45" s="634"/>
      <c r="X45" s="634">
        <v>0.69</v>
      </c>
      <c r="Y45" s="2928">
        <v>0.81</v>
      </c>
      <c r="Z45" s="2864">
        <v>0.86</v>
      </c>
      <c r="AA45" s="2928">
        <v>4.0199999999999996</v>
      </c>
      <c r="AB45" s="2866">
        <v>2.37</v>
      </c>
      <c r="AC45" s="2928">
        <v>1.9</v>
      </c>
      <c r="AD45" s="2864"/>
      <c r="AE45" s="2928"/>
      <c r="AF45" s="2866"/>
    </row>
    <row r="46" spans="1:146" ht="15.75" customHeight="1">
      <c r="A46" s="1008" t="s">
        <v>8</v>
      </c>
      <c r="B46" s="3526" t="s">
        <v>8</v>
      </c>
      <c r="C46" s="1011">
        <f>COUNTA(D46:D48)</f>
        <v>3</v>
      </c>
      <c r="D46" s="1161" t="s">
        <v>9</v>
      </c>
      <c r="E46" s="1114">
        <v>8.9</v>
      </c>
      <c r="F46" s="1114">
        <v>4.5</v>
      </c>
      <c r="G46" s="1114">
        <v>7.9</v>
      </c>
      <c r="H46" s="2486">
        <v>6.6</v>
      </c>
      <c r="I46" s="1530">
        <v>6.44</v>
      </c>
      <c r="J46" s="1114">
        <v>5.3</v>
      </c>
      <c r="K46" s="1115">
        <v>4.9000000000000004</v>
      </c>
      <c r="L46" s="1116">
        <v>5.0999999999999996</v>
      </c>
      <c r="M46" s="1241">
        <v>5.0999999999999996</v>
      </c>
      <c r="N46" s="1207">
        <v>6.4</v>
      </c>
      <c r="O46" s="1207">
        <v>6.3</v>
      </c>
      <c r="P46" s="2489">
        <v>4.2</v>
      </c>
      <c r="Q46" s="1203">
        <v>3.5</v>
      </c>
      <c r="R46" s="1119">
        <v>4.0199999999999996</v>
      </c>
      <c r="S46" s="1119">
        <v>4.42</v>
      </c>
      <c r="T46" s="1120">
        <v>3.61</v>
      </c>
      <c r="U46" s="1120"/>
      <c r="V46" s="1120"/>
      <c r="W46" s="1120"/>
      <c r="X46" s="1120">
        <v>4.49</v>
      </c>
      <c r="Y46" s="2926">
        <v>5.0999999999999996</v>
      </c>
      <c r="Z46" s="2862">
        <v>3.01</v>
      </c>
      <c r="AA46" s="2927">
        <v>3.8</v>
      </c>
      <c r="AB46" s="2863">
        <v>4.0999999999999996</v>
      </c>
      <c r="AC46" s="2926">
        <v>5.2</v>
      </c>
      <c r="AD46" s="2862"/>
      <c r="AE46" s="2927"/>
      <c r="AF46" s="2863"/>
    </row>
    <row r="47" spans="1:146" ht="15.75" customHeight="1">
      <c r="A47" s="1107" t="s">
        <v>8</v>
      </c>
      <c r="B47" s="3527"/>
      <c r="C47" s="1108"/>
      <c r="D47" s="1163" t="s">
        <v>271</v>
      </c>
      <c r="E47" s="1003">
        <v>7.4</v>
      </c>
      <c r="F47" s="1003">
        <v>4</v>
      </c>
      <c r="G47" s="1003">
        <v>7.42</v>
      </c>
      <c r="H47" s="1480">
        <v>6.01</v>
      </c>
      <c r="I47" s="324">
        <v>9.89</v>
      </c>
      <c r="J47" s="1003">
        <v>1.4</v>
      </c>
      <c r="K47" s="1004">
        <v>3.8</v>
      </c>
      <c r="L47" s="1005">
        <v>5.2</v>
      </c>
      <c r="M47" s="1183">
        <v>5.5</v>
      </c>
      <c r="N47" s="1208">
        <v>6.3</v>
      </c>
      <c r="O47" s="1208">
        <v>6.4</v>
      </c>
      <c r="P47" s="2490">
        <v>4.13</v>
      </c>
      <c r="Q47" s="1046">
        <v>3.9</v>
      </c>
      <c r="R47" s="1127">
        <v>358</v>
      </c>
      <c r="S47" s="1127">
        <v>5.0599999999999996</v>
      </c>
      <c r="T47" s="1128">
        <v>3.23</v>
      </c>
      <c r="U47" s="1128"/>
      <c r="V47" s="1128"/>
      <c r="W47" s="1128"/>
      <c r="X47" s="1128">
        <v>4.07</v>
      </c>
      <c r="Y47" s="2927">
        <v>5.4</v>
      </c>
      <c r="Z47" s="2862">
        <v>2.59</v>
      </c>
      <c r="AA47" s="2927">
        <v>3.2</v>
      </c>
      <c r="AB47" s="2863">
        <v>3.95</v>
      </c>
      <c r="AC47" s="2927">
        <v>3.8</v>
      </c>
      <c r="AD47" s="2862"/>
      <c r="AE47" s="2927"/>
      <c r="AF47" s="2863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</row>
    <row r="48" spans="1:146" ht="15.75" customHeight="1" thickBot="1">
      <c r="A48" s="1109" t="s">
        <v>8</v>
      </c>
      <c r="B48" s="3528"/>
      <c r="C48" s="1110"/>
      <c r="D48" s="1165" t="s">
        <v>13</v>
      </c>
      <c r="E48" s="1147">
        <v>8</v>
      </c>
      <c r="F48" s="1147">
        <v>6.3</v>
      </c>
      <c r="G48" s="1147">
        <v>7.9</v>
      </c>
      <c r="H48" s="1485">
        <v>5.01</v>
      </c>
      <c r="I48" s="1543">
        <v>7.1</v>
      </c>
      <c r="J48" s="1147">
        <v>5.0999999999999996</v>
      </c>
      <c r="K48" s="1148">
        <v>5.3</v>
      </c>
      <c r="L48" s="1134">
        <v>5.4</v>
      </c>
      <c r="M48" s="1184">
        <v>5.3</v>
      </c>
      <c r="N48" s="1209">
        <v>6.1</v>
      </c>
      <c r="O48" s="1209">
        <v>6.1</v>
      </c>
      <c r="P48" s="2488">
        <v>4.7</v>
      </c>
      <c r="Q48" s="886">
        <v>4.45</v>
      </c>
      <c r="R48" s="633">
        <v>4.5</v>
      </c>
      <c r="S48" s="633">
        <v>5.2</v>
      </c>
      <c r="T48" s="634">
        <v>4.74</v>
      </c>
      <c r="U48" s="634"/>
      <c r="V48" s="634"/>
      <c r="W48" s="634"/>
      <c r="X48" s="634">
        <v>5.25</v>
      </c>
      <c r="Y48" s="2928">
        <v>5.2</v>
      </c>
      <c r="Z48" s="2862">
        <v>3.29</v>
      </c>
      <c r="AA48" s="2928">
        <v>5.8</v>
      </c>
      <c r="AB48" s="2866">
        <v>5.2</v>
      </c>
      <c r="AC48" s="2928">
        <v>5.8</v>
      </c>
      <c r="AD48" s="2862"/>
      <c r="AE48" s="2928"/>
      <c r="AF48" s="286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</row>
    <row r="49" spans="1:146" s="3207" customFormat="1" ht="15.75" customHeight="1">
      <c r="A49" s="3250"/>
      <c r="B49" s="3526" t="s">
        <v>386</v>
      </c>
      <c r="C49" s="1011">
        <v>4</v>
      </c>
      <c r="D49" s="3253" t="s">
        <v>391</v>
      </c>
      <c r="E49" s="17"/>
      <c r="F49" s="17"/>
      <c r="G49" s="17"/>
      <c r="H49" s="3251"/>
      <c r="I49" s="17"/>
      <c r="J49" s="17"/>
      <c r="K49" s="49"/>
      <c r="L49" s="3252"/>
      <c r="M49" s="143"/>
      <c r="N49" s="143"/>
      <c r="O49" s="143"/>
      <c r="P49" s="143"/>
      <c r="Q49" s="61"/>
      <c r="R49" s="61"/>
      <c r="S49" s="61"/>
      <c r="T49" s="61"/>
      <c r="U49" s="61"/>
      <c r="V49" s="61"/>
      <c r="W49" s="61"/>
      <c r="X49" s="61"/>
      <c r="Y49" s="2926"/>
      <c r="Z49" s="2926">
        <v>3.63</v>
      </c>
      <c r="AA49" s="2926">
        <v>2.8</v>
      </c>
      <c r="AB49" s="2861">
        <v>3.46</v>
      </c>
      <c r="AC49" s="2926">
        <v>3.64</v>
      </c>
      <c r="AD49" s="2926"/>
      <c r="AE49" s="2926"/>
      <c r="AF49" s="2861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</row>
    <row r="50" spans="1:146" s="3207" customFormat="1" ht="15.75" customHeight="1">
      <c r="A50" s="3250"/>
      <c r="B50" s="3527"/>
      <c r="C50" s="1108"/>
      <c r="D50" s="3254" t="s">
        <v>392</v>
      </c>
      <c r="E50" s="17"/>
      <c r="F50" s="17"/>
      <c r="G50" s="17"/>
      <c r="H50" s="3251"/>
      <c r="I50" s="17"/>
      <c r="J50" s="17"/>
      <c r="K50" s="49"/>
      <c r="L50" s="3252"/>
      <c r="M50" s="143"/>
      <c r="N50" s="143"/>
      <c r="O50" s="143"/>
      <c r="P50" s="143"/>
      <c r="Q50" s="61"/>
      <c r="R50" s="61"/>
      <c r="S50" s="61"/>
      <c r="T50" s="61"/>
      <c r="U50" s="61"/>
      <c r="V50" s="61"/>
      <c r="W50" s="61"/>
      <c r="X50" s="61"/>
      <c r="Y50" s="2927"/>
      <c r="Z50" s="2927">
        <v>3.86</v>
      </c>
      <c r="AA50" s="2927">
        <v>2.9</v>
      </c>
      <c r="AB50" s="2863">
        <v>3.49</v>
      </c>
      <c r="AC50" s="2927">
        <v>3.12</v>
      </c>
      <c r="AD50" s="2927"/>
      <c r="AE50" s="2927"/>
      <c r="AF50" s="2863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</row>
    <row r="51" spans="1:146" s="3207" customFormat="1" ht="15.75" customHeight="1">
      <c r="A51" s="3250"/>
      <c r="B51" s="3527"/>
      <c r="C51" s="1108"/>
      <c r="D51" s="3254" t="s">
        <v>393</v>
      </c>
      <c r="E51" s="17"/>
      <c r="F51" s="17"/>
      <c r="G51" s="17"/>
      <c r="H51" s="3251"/>
      <c r="I51" s="17"/>
      <c r="J51" s="17"/>
      <c r="K51" s="49"/>
      <c r="L51" s="3252"/>
      <c r="M51" s="143"/>
      <c r="N51" s="143"/>
      <c r="O51" s="143"/>
      <c r="P51" s="143"/>
      <c r="Q51" s="61"/>
      <c r="R51" s="61"/>
      <c r="S51" s="61"/>
      <c r="T51" s="61"/>
      <c r="U51" s="61"/>
      <c r="V51" s="61"/>
      <c r="W51" s="61"/>
      <c r="X51" s="61"/>
      <c r="Y51" s="2927"/>
      <c r="Z51" s="2927">
        <v>4.01</v>
      </c>
      <c r="AA51" s="2927">
        <v>3.2</v>
      </c>
      <c r="AB51" s="2863">
        <v>3.33</v>
      </c>
      <c r="AC51" s="2927">
        <v>3.2</v>
      </c>
      <c r="AD51" s="2927"/>
      <c r="AE51" s="2927"/>
      <c r="AF51" s="2863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  <c r="ED51" s="61"/>
      <c r="EE51" s="61"/>
      <c r="EG51" s="61"/>
      <c r="EH51" s="61"/>
      <c r="EI51" s="61"/>
      <c r="EJ51" s="61"/>
      <c r="EK51" s="61"/>
      <c r="EL51" s="61"/>
      <c r="EM51" s="61"/>
      <c r="EN51" s="61"/>
      <c r="EO51" s="61"/>
      <c r="EP51" s="61"/>
    </row>
    <row r="52" spans="1:146" s="3207" customFormat="1" ht="15.75" customHeight="1" thickBot="1">
      <c r="A52" s="3250"/>
      <c r="B52" s="3528"/>
      <c r="C52" s="1110"/>
      <c r="D52" s="3255" t="s">
        <v>394</v>
      </c>
      <c r="E52" s="17"/>
      <c r="F52" s="17"/>
      <c r="G52" s="17"/>
      <c r="H52" s="3251"/>
      <c r="I52" s="17"/>
      <c r="J52" s="17"/>
      <c r="K52" s="49"/>
      <c r="L52" s="3252"/>
      <c r="M52" s="143"/>
      <c r="N52" s="143"/>
      <c r="O52" s="143"/>
      <c r="P52" s="143"/>
      <c r="Q52" s="61"/>
      <c r="R52" s="61"/>
      <c r="S52" s="61"/>
      <c r="T52" s="61"/>
      <c r="U52" s="61"/>
      <c r="V52" s="61"/>
      <c r="W52" s="61"/>
      <c r="X52" s="61"/>
      <c r="Y52" s="2928"/>
      <c r="Z52" s="2928">
        <v>3.8</v>
      </c>
      <c r="AA52" s="2928">
        <v>2.8</v>
      </c>
      <c r="AB52" s="2866">
        <v>3.32</v>
      </c>
      <c r="AC52" s="2928">
        <v>3.03</v>
      </c>
      <c r="AD52" s="2928"/>
      <c r="AE52" s="2928"/>
      <c r="AF52" s="286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</row>
    <row r="53" spans="1:146" s="3207" customFormat="1" ht="15.75" customHeight="1">
      <c r="A53" s="3250"/>
      <c r="B53" s="3526" t="s">
        <v>387</v>
      </c>
      <c r="C53" s="1011">
        <v>3</v>
      </c>
      <c r="D53" s="3253" t="s">
        <v>395</v>
      </c>
      <c r="E53" s="17"/>
      <c r="F53" s="17"/>
      <c r="G53" s="17"/>
      <c r="H53" s="3251"/>
      <c r="I53" s="17"/>
      <c r="J53" s="17"/>
      <c r="K53" s="49"/>
      <c r="L53" s="3252"/>
      <c r="M53" s="143"/>
      <c r="N53" s="143"/>
      <c r="O53" s="143"/>
      <c r="P53" s="143"/>
      <c r="Q53" s="61"/>
      <c r="R53" s="61"/>
      <c r="S53" s="61"/>
      <c r="T53" s="61"/>
      <c r="U53" s="61"/>
      <c r="V53" s="61"/>
      <c r="W53" s="61"/>
      <c r="X53" s="61"/>
      <c r="Y53" s="2926"/>
      <c r="Z53" s="2926">
        <v>3.95</v>
      </c>
      <c r="AA53" s="2926">
        <v>6.5</v>
      </c>
      <c r="AB53" s="2861">
        <v>4.42</v>
      </c>
      <c r="AC53" s="2926"/>
      <c r="AD53" s="2926"/>
      <c r="AE53" s="2926"/>
      <c r="AF53" s="2861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  <c r="ED53" s="61"/>
      <c r="EE53" s="61"/>
      <c r="EG53" s="61"/>
      <c r="EH53" s="61"/>
      <c r="EI53" s="61"/>
      <c r="EJ53" s="61"/>
      <c r="EK53" s="61"/>
      <c r="EL53" s="61"/>
      <c r="EM53" s="61"/>
      <c r="EN53" s="61"/>
      <c r="EO53" s="61"/>
      <c r="EP53" s="61"/>
    </row>
    <row r="54" spans="1:146" s="3207" customFormat="1" ht="15.75" customHeight="1">
      <c r="A54" s="3250"/>
      <c r="B54" s="3527"/>
      <c r="C54" s="1108"/>
      <c r="D54" s="3254" t="s">
        <v>396</v>
      </c>
      <c r="E54" s="17"/>
      <c r="F54" s="17"/>
      <c r="G54" s="17"/>
      <c r="H54" s="3251"/>
      <c r="I54" s="17"/>
      <c r="J54" s="17"/>
      <c r="K54" s="49"/>
      <c r="L54" s="3252"/>
      <c r="M54" s="143"/>
      <c r="N54" s="143"/>
      <c r="O54" s="143"/>
      <c r="P54" s="143"/>
      <c r="Q54" s="61"/>
      <c r="R54" s="61"/>
      <c r="S54" s="61"/>
      <c r="T54" s="61"/>
      <c r="U54" s="61"/>
      <c r="V54" s="61"/>
      <c r="W54" s="61"/>
      <c r="X54" s="61"/>
      <c r="Y54" s="2927"/>
      <c r="Z54" s="2927">
        <v>3.82</v>
      </c>
      <c r="AA54" s="2927">
        <v>5.42</v>
      </c>
      <c r="AB54" s="2863">
        <v>4.0599999999999996</v>
      </c>
      <c r="AC54" s="2927"/>
      <c r="AD54" s="2927"/>
      <c r="AE54" s="2927"/>
      <c r="AF54" s="2863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G54" s="61"/>
      <c r="EH54" s="61"/>
      <c r="EI54" s="61"/>
      <c r="EJ54" s="61"/>
      <c r="EK54" s="61"/>
      <c r="EL54" s="61"/>
      <c r="EM54" s="61"/>
      <c r="EN54" s="61"/>
      <c r="EO54" s="61"/>
      <c r="EP54" s="61"/>
    </row>
    <row r="55" spans="1:146" s="3207" customFormat="1" ht="15.75" customHeight="1" thickBot="1">
      <c r="A55" s="3250"/>
      <c r="B55" s="3528"/>
      <c r="C55" s="1110"/>
      <c r="D55" s="3255" t="s">
        <v>397</v>
      </c>
      <c r="E55" s="17"/>
      <c r="F55" s="17"/>
      <c r="G55" s="17"/>
      <c r="H55" s="3251"/>
      <c r="I55" s="17"/>
      <c r="J55" s="17"/>
      <c r="K55" s="49"/>
      <c r="L55" s="3252"/>
      <c r="M55" s="143"/>
      <c r="N55" s="143"/>
      <c r="O55" s="143"/>
      <c r="P55" s="143"/>
      <c r="Q55" s="61"/>
      <c r="R55" s="61"/>
      <c r="S55" s="61"/>
      <c r="T55" s="61"/>
      <c r="U55" s="61"/>
      <c r="V55" s="61"/>
      <c r="W55" s="61"/>
      <c r="X55" s="61"/>
      <c r="Y55" s="2928"/>
      <c r="Z55" s="2928">
        <v>4.05</v>
      </c>
      <c r="AA55" s="2928">
        <v>5.8</v>
      </c>
      <c r="AB55" s="2866">
        <v>4.09</v>
      </c>
      <c r="AC55" s="2928"/>
      <c r="AD55" s="2928"/>
      <c r="AE55" s="2928"/>
      <c r="AF55" s="286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CM55" s="61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DB55" s="61"/>
      <c r="DC55" s="61"/>
      <c r="DD55" s="61"/>
      <c r="DE55" s="61"/>
      <c r="DF55" s="61"/>
      <c r="DG55" s="61"/>
      <c r="DH55" s="61"/>
      <c r="DI55" s="61"/>
      <c r="DJ55" s="61"/>
      <c r="DK55" s="61"/>
      <c r="DS55" s="61"/>
      <c r="DT55" s="61"/>
      <c r="DU55" s="61"/>
      <c r="DV55" s="61"/>
      <c r="DW55" s="61"/>
      <c r="DX55" s="61"/>
      <c r="DY55" s="61"/>
      <c r="DZ55" s="61"/>
      <c r="EA55" s="61"/>
      <c r="EB55" s="61"/>
      <c r="EC55" s="61"/>
      <c r="ED55" s="61"/>
      <c r="EE55" s="61"/>
      <c r="EG55" s="61"/>
      <c r="EH55" s="61"/>
      <c r="EI55" s="61"/>
      <c r="EJ55" s="61"/>
      <c r="EK55" s="61"/>
      <c r="EL55" s="61"/>
      <c r="EM55" s="61"/>
      <c r="EN55" s="61"/>
      <c r="EO55" s="61"/>
      <c r="EP55" s="61"/>
    </row>
    <row r="56" spans="1:146" s="3207" customFormat="1" ht="15.75" customHeight="1">
      <c r="A56" s="3250"/>
      <c r="B56" s="3526" t="s">
        <v>388</v>
      </c>
      <c r="C56" s="1011">
        <v>3</v>
      </c>
      <c r="D56" s="3253" t="s">
        <v>398</v>
      </c>
      <c r="E56" s="17"/>
      <c r="F56" s="17"/>
      <c r="G56" s="17"/>
      <c r="H56" s="3251"/>
      <c r="I56" s="17"/>
      <c r="J56" s="17"/>
      <c r="K56" s="49"/>
      <c r="L56" s="3252"/>
      <c r="M56" s="143"/>
      <c r="N56" s="143"/>
      <c r="O56" s="143"/>
      <c r="P56" s="143"/>
      <c r="Q56" s="61"/>
      <c r="R56" s="61"/>
      <c r="S56" s="61"/>
      <c r="T56" s="61"/>
      <c r="U56" s="61"/>
      <c r="V56" s="61"/>
      <c r="W56" s="61"/>
      <c r="X56" s="61"/>
      <c r="Y56" s="2926"/>
      <c r="Z56" s="2926">
        <v>1.1000000000000001</v>
      </c>
      <c r="AA56" s="2926">
        <v>3.17</v>
      </c>
      <c r="AB56" s="2861">
        <v>2.63</v>
      </c>
      <c r="AC56" s="2926">
        <v>3.91</v>
      </c>
      <c r="AD56" s="2926"/>
      <c r="AE56" s="2926"/>
      <c r="AF56" s="2861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CM56" s="61"/>
      <c r="CN56" s="61"/>
      <c r="CO56" s="61"/>
      <c r="CP56" s="61"/>
      <c r="CQ56" s="61"/>
      <c r="CR56" s="61"/>
      <c r="CS56" s="61"/>
      <c r="CT56" s="61"/>
      <c r="CU56" s="61"/>
      <c r="CV56" s="61"/>
      <c r="CW56" s="61"/>
      <c r="DB56" s="61"/>
      <c r="DC56" s="61"/>
      <c r="DD56" s="61"/>
      <c r="DE56" s="61"/>
      <c r="DF56" s="61"/>
      <c r="DG56" s="61"/>
      <c r="DH56" s="61"/>
      <c r="DI56" s="61"/>
      <c r="DJ56" s="61"/>
      <c r="DK56" s="61"/>
      <c r="DS56" s="61"/>
      <c r="DT56" s="61"/>
      <c r="DU56" s="61"/>
      <c r="DV56" s="61"/>
      <c r="DW56" s="61"/>
      <c r="DX56" s="61"/>
      <c r="DY56" s="61"/>
      <c r="DZ56" s="61"/>
      <c r="EA56" s="61"/>
      <c r="EB56" s="61"/>
      <c r="EC56" s="61"/>
      <c r="ED56" s="61"/>
      <c r="EE56" s="61"/>
      <c r="EG56" s="61"/>
      <c r="EH56" s="61"/>
      <c r="EI56" s="61"/>
      <c r="EJ56" s="61"/>
      <c r="EK56" s="61"/>
      <c r="EL56" s="61"/>
      <c r="EM56" s="61"/>
      <c r="EN56" s="61"/>
      <c r="EO56" s="61"/>
      <c r="EP56" s="61"/>
    </row>
    <row r="57" spans="1:146" s="3207" customFormat="1" ht="15.75" customHeight="1">
      <c r="A57" s="3250"/>
      <c r="B57" s="3527"/>
      <c r="C57" s="1108"/>
      <c r="D57" s="3254" t="s">
        <v>399</v>
      </c>
      <c r="E57" s="17"/>
      <c r="F57" s="17"/>
      <c r="G57" s="17"/>
      <c r="H57" s="3251"/>
      <c r="I57" s="17"/>
      <c r="J57" s="17"/>
      <c r="K57" s="49"/>
      <c r="L57" s="3252"/>
      <c r="M57" s="143"/>
      <c r="N57" s="143"/>
      <c r="O57" s="143"/>
      <c r="P57" s="143"/>
      <c r="Q57" s="61"/>
      <c r="R57" s="61"/>
      <c r="S57" s="61"/>
      <c r="T57" s="61"/>
      <c r="U57" s="61"/>
      <c r="V57" s="61"/>
      <c r="W57" s="61"/>
      <c r="X57" s="61"/>
      <c r="Y57" s="2927"/>
      <c r="Z57" s="2927">
        <v>0.1</v>
      </c>
      <c r="AA57" s="2927">
        <v>3.56</v>
      </c>
      <c r="AB57" s="2863">
        <v>2.29</v>
      </c>
      <c r="AC57" s="2927">
        <v>2.75</v>
      </c>
      <c r="AD57" s="2927"/>
      <c r="AE57" s="2927"/>
      <c r="AF57" s="2863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CM57" s="61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DB57" s="61"/>
      <c r="DC57" s="61"/>
      <c r="DD57" s="61"/>
      <c r="DE57" s="61"/>
      <c r="DF57" s="61"/>
      <c r="DG57" s="61"/>
      <c r="DH57" s="61"/>
      <c r="DI57" s="61"/>
      <c r="DJ57" s="61"/>
      <c r="DK57" s="61"/>
      <c r="DS57" s="61"/>
      <c r="DT57" s="61"/>
      <c r="DU57" s="61"/>
      <c r="DV57" s="61"/>
      <c r="DW57" s="61"/>
      <c r="DX57" s="61"/>
      <c r="DY57" s="61"/>
      <c r="DZ57" s="61"/>
      <c r="EA57" s="61"/>
      <c r="EB57" s="61"/>
      <c r="EC57" s="61"/>
      <c r="ED57" s="61"/>
      <c r="EE57" s="61"/>
      <c r="EG57" s="61"/>
      <c r="EH57" s="61"/>
      <c r="EI57" s="61"/>
      <c r="EJ57" s="61"/>
      <c r="EK57" s="61"/>
      <c r="EL57" s="61"/>
      <c r="EM57" s="61"/>
      <c r="EN57" s="61"/>
      <c r="EO57" s="61"/>
      <c r="EP57" s="61"/>
    </row>
    <row r="58" spans="1:146" s="3207" customFormat="1" ht="15.75" customHeight="1" thickBot="1">
      <c r="A58" s="3250"/>
      <c r="B58" s="3528"/>
      <c r="C58" s="1110"/>
      <c r="D58" s="3255" t="s">
        <v>400</v>
      </c>
      <c r="E58" s="17"/>
      <c r="F58" s="17"/>
      <c r="G58" s="17"/>
      <c r="H58" s="3251"/>
      <c r="I58" s="17"/>
      <c r="J58" s="17"/>
      <c r="K58" s="49"/>
      <c r="L58" s="3252"/>
      <c r="M58" s="143"/>
      <c r="N58" s="143"/>
      <c r="O58" s="143"/>
      <c r="P58" s="143"/>
      <c r="Q58" s="61"/>
      <c r="R58" s="61"/>
      <c r="S58" s="61"/>
      <c r="T58" s="61"/>
      <c r="U58" s="61"/>
      <c r="V58" s="61"/>
      <c r="W58" s="61"/>
      <c r="X58" s="61"/>
      <c r="Y58" s="2928"/>
      <c r="Z58" s="2928">
        <v>1.7</v>
      </c>
      <c r="AA58" s="2928">
        <v>4.1500000000000004</v>
      </c>
      <c r="AB58" s="2866">
        <v>2.79</v>
      </c>
      <c r="AC58" s="2928">
        <v>2.98</v>
      </c>
      <c r="AD58" s="2928"/>
      <c r="AE58" s="2928"/>
      <c r="AF58" s="286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CM58" s="61"/>
      <c r="CN58" s="61"/>
      <c r="CO58" s="61"/>
      <c r="CP58" s="61"/>
      <c r="CQ58" s="61"/>
      <c r="CR58" s="61"/>
      <c r="CS58" s="61"/>
      <c r="CT58" s="61"/>
      <c r="CU58" s="61"/>
      <c r="CV58" s="61"/>
      <c r="CW58" s="61"/>
      <c r="DB58" s="61"/>
      <c r="DC58" s="61"/>
      <c r="DD58" s="61"/>
      <c r="DE58" s="61"/>
      <c r="DF58" s="61"/>
      <c r="DG58" s="61"/>
      <c r="DH58" s="61"/>
      <c r="DI58" s="61"/>
      <c r="DJ58" s="61"/>
      <c r="DK58" s="61"/>
      <c r="DS58" s="61"/>
      <c r="DT58" s="61"/>
      <c r="DU58" s="61"/>
      <c r="DV58" s="61"/>
      <c r="DW58" s="61"/>
      <c r="DX58" s="61"/>
      <c r="DY58" s="61"/>
      <c r="DZ58" s="61"/>
      <c r="EA58" s="61"/>
      <c r="EB58" s="61"/>
      <c r="EC58" s="61"/>
      <c r="ED58" s="61"/>
      <c r="EE58" s="61"/>
      <c r="EG58" s="61"/>
      <c r="EH58" s="61"/>
      <c r="EI58" s="61"/>
      <c r="EJ58" s="61"/>
      <c r="EK58" s="61"/>
      <c r="EL58" s="61"/>
      <c r="EM58" s="61"/>
      <c r="EN58" s="61"/>
      <c r="EO58" s="61"/>
      <c r="EP58" s="61"/>
    </row>
    <row r="59" spans="1:146" s="3207" customFormat="1" ht="15.75" customHeight="1">
      <c r="A59" s="3250"/>
      <c r="B59" s="3526" t="s">
        <v>389</v>
      </c>
      <c r="C59" s="1011">
        <v>3</v>
      </c>
      <c r="D59" s="3253" t="s">
        <v>17</v>
      </c>
      <c r="E59" s="17"/>
      <c r="F59" s="17"/>
      <c r="G59" s="17"/>
      <c r="H59" s="3251"/>
      <c r="I59" s="17"/>
      <c r="J59" s="17"/>
      <c r="K59" s="49"/>
      <c r="L59" s="3252"/>
      <c r="M59" s="143"/>
      <c r="N59" s="143"/>
      <c r="O59" s="143"/>
      <c r="P59" s="143"/>
      <c r="Q59" s="61"/>
      <c r="R59" s="61"/>
      <c r="S59" s="61"/>
      <c r="T59" s="61"/>
      <c r="U59" s="61"/>
      <c r="V59" s="61"/>
      <c r="W59" s="61"/>
      <c r="X59" s="61"/>
      <c r="Y59" s="2926"/>
      <c r="Z59" s="2926">
        <v>1.1000000000000001</v>
      </c>
      <c r="AA59" s="2926">
        <v>2.96</v>
      </c>
      <c r="AB59" s="2861">
        <v>2.81</v>
      </c>
      <c r="AC59" s="2926">
        <v>5.9</v>
      </c>
      <c r="AD59" s="2926"/>
      <c r="AE59" s="2926"/>
      <c r="AF59" s="2861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</row>
    <row r="60" spans="1:146" s="3207" customFormat="1" ht="15.75" customHeight="1">
      <c r="A60" s="3250"/>
      <c r="B60" s="3527"/>
      <c r="C60" s="1108"/>
      <c r="D60" s="3254" t="s">
        <v>401</v>
      </c>
      <c r="E60" s="17"/>
      <c r="F60" s="17"/>
      <c r="G60" s="17"/>
      <c r="H60" s="3251"/>
      <c r="I60" s="17"/>
      <c r="J60" s="17"/>
      <c r="K60" s="49"/>
      <c r="L60" s="3252"/>
      <c r="M60" s="143"/>
      <c r="N60" s="143"/>
      <c r="O60" s="143"/>
      <c r="P60" s="143"/>
      <c r="Q60" s="61"/>
      <c r="R60" s="61"/>
      <c r="S60" s="61"/>
      <c r="T60" s="61"/>
      <c r="U60" s="61"/>
      <c r="V60" s="61"/>
      <c r="W60" s="61"/>
      <c r="X60" s="61"/>
      <c r="Y60" s="2927"/>
      <c r="Z60" s="2927">
        <v>1.9</v>
      </c>
      <c r="AA60" s="2927">
        <v>3.45</v>
      </c>
      <c r="AB60" s="2863">
        <v>3.15</v>
      </c>
      <c r="AC60" s="2927">
        <v>7.18</v>
      </c>
      <c r="AD60" s="2927"/>
      <c r="AE60" s="2927"/>
      <c r="AF60" s="2863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</row>
    <row r="61" spans="1:146" s="3207" customFormat="1" ht="15.75" customHeight="1" thickBot="1">
      <c r="A61" s="3250"/>
      <c r="B61" s="3528"/>
      <c r="C61" s="1110"/>
      <c r="D61" s="3255" t="s">
        <v>402</v>
      </c>
      <c r="E61" s="17"/>
      <c r="F61" s="17"/>
      <c r="G61" s="17"/>
      <c r="H61" s="3251"/>
      <c r="I61" s="17"/>
      <c r="J61" s="17"/>
      <c r="K61" s="49"/>
      <c r="L61" s="3252"/>
      <c r="M61" s="143"/>
      <c r="N61" s="143"/>
      <c r="O61" s="143"/>
      <c r="P61" s="143"/>
      <c r="Q61" s="61"/>
      <c r="R61" s="61"/>
      <c r="S61" s="61"/>
      <c r="T61" s="61"/>
      <c r="U61" s="61"/>
      <c r="V61" s="61"/>
      <c r="W61" s="61"/>
      <c r="X61" s="61"/>
      <c r="Y61" s="2928"/>
      <c r="Z61" s="2928">
        <v>1.8</v>
      </c>
      <c r="AA61" s="2928">
        <v>4.01</v>
      </c>
      <c r="AB61" s="2866">
        <v>3.24</v>
      </c>
      <c r="AC61" s="2928">
        <v>6.37</v>
      </c>
      <c r="AD61" s="2928"/>
      <c r="AE61" s="2928"/>
      <c r="AF61" s="286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</row>
    <row r="62" spans="1:146" s="3207" customFormat="1" ht="15.75" customHeight="1">
      <c r="A62" s="3250"/>
      <c r="B62" s="3526" t="s">
        <v>390</v>
      </c>
      <c r="C62" s="1108">
        <v>3</v>
      </c>
      <c r="D62" s="3254" t="s">
        <v>393</v>
      </c>
      <c r="E62" s="17"/>
      <c r="F62" s="17"/>
      <c r="G62" s="17"/>
      <c r="H62" s="3251"/>
      <c r="I62" s="17"/>
      <c r="J62" s="17"/>
      <c r="K62" s="49"/>
      <c r="L62" s="3252"/>
      <c r="M62" s="143"/>
      <c r="N62" s="143"/>
      <c r="O62" s="143"/>
      <c r="P62" s="143"/>
      <c r="Q62" s="61"/>
      <c r="R62" s="61"/>
      <c r="S62" s="61"/>
      <c r="T62" s="61"/>
      <c r="U62" s="61"/>
      <c r="V62" s="61"/>
      <c r="W62" s="61"/>
      <c r="X62" s="61"/>
      <c r="Y62" s="2926"/>
      <c r="Z62" s="2927">
        <v>4.5999999999999996</v>
      </c>
      <c r="AA62" s="2927">
        <v>5.6</v>
      </c>
      <c r="AB62" s="2926">
        <v>5.43</v>
      </c>
      <c r="AC62" s="2926"/>
      <c r="AD62" s="2927"/>
      <c r="AE62" s="2927"/>
      <c r="AF62" s="29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DB62" s="61"/>
      <c r="DC62" s="61"/>
      <c r="DD62" s="61"/>
      <c r="DE62" s="61"/>
      <c r="DF62" s="61"/>
      <c r="DG62" s="61"/>
      <c r="DH62" s="61"/>
      <c r="DI62" s="61"/>
      <c r="DJ62" s="61"/>
      <c r="DK62" s="61"/>
      <c r="DS62" s="61"/>
      <c r="DT62" s="61"/>
      <c r="DU62" s="61"/>
      <c r="DV62" s="61"/>
      <c r="DW62" s="61"/>
      <c r="DX62" s="61"/>
      <c r="DY62" s="61"/>
      <c r="DZ62" s="61"/>
      <c r="EA62" s="61"/>
      <c r="EB62" s="61"/>
      <c r="EC62" s="61"/>
      <c r="ED62" s="61"/>
      <c r="EE62" s="61"/>
      <c r="EG62" s="61"/>
      <c r="EH62" s="61"/>
      <c r="EI62" s="61"/>
      <c r="EJ62" s="61"/>
      <c r="EK62" s="61"/>
      <c r="EL62" s="61"/>
      <c r="EM62" s="61"/>
      <c r="EN62" s="61"/>
      <c r="EO62" s="61"/>
      <c r="EP62" s="61"/>
    </row>
    <row r="63" spans="1:146" s="3207" customFormat="1" ht="15.75" customHeight="1">
      <c r="A63" s="3250"/>
      <c r="B63" s="3527"/>
      <c r="C63" s="1108"/>
      <c r="D63" s="3254" t="s">
        <v>403</v>
      </c>
      <c r="E63" s="17"/>
      <c r="F63" s="17"/>
      <c r="G63" s="17"/>
      <c r="H63" s="3251"/>
      <c r="I63" s="17"/>
      <c r="J63" s="17"/>
      <c r="K63" s="49"/>
      <c r="L63" s="3252"/>
      <c r="M63" s="143"/>
      <c r="N63" s="143"/>
      <c r="O63" s="143"/>
      <c r="P63" s="143"/>
      <c r="Q63" s="61"/>
      <c r="R63" s="61"/>
      <c r="S63" s="61"/>
      <c r="T63" s="61"/>
      <c r="U63" s="61"/>
      <c r="V63" s="61"/>
      <c r="W63" s="61"/>
      <c r="X63" s="61"/>
      <c r="Y63" s="2927"/>
      <c r="Z63" s="2927">
        <v>4.05</v>
      </c>
      <c r="AA63" s="2927">
        <v>5.6</v>
      </c>
      <c r="AB63" s="2927">
        <v>5.15</v>
      </c>
      <c r="AC63" s="2927"/>
      <c r="AD63" s="2927"/>
      <c r="AE63" s="2927"/>
      <c r="AF63" s="2927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DB63" s="61"/>
      <c r="DC63" s="61"/>
      <c r="DD63" s="61"/>
      <c r="DE63" s="61"/>
      <c r="DF63" s="61"/>
      <c r="DG63" s="61"/>
      <c r="DH63" s="61"/>
      <c r="DI63" s="61"/>
      <c r="DJ63" s="61"/>
      <c r="DK63" s="61"/>
      <c r="DS63" s="61"/>
      <c r="DT63" s="61"/>
      <c r="DU63" s="61"/>
      <c r="DV63" s="61"/>
      <c r="DW63" s="61"/>
      <c r="DX63" s="61"/>
      <c r="DY63" s="61"/>
      <c r="DZ63" s="61"/>
      <c r="EA63" s="61"/>
      <c r="EB63" s="61"/>
      <c r="EC63" s="61"/>
      <c r="ED63" s="61"/>
      <c r="EE63" s="61"/>
      <c r="EG63" s="61"/>
      <c r="EH63" s="61"/>
      <c r="EI63" s="61"/>
      <c r="EJ63" s="61"/>
      <c r="EK63" s="61"/>
      <c r="EL63" s="61"/>
      <c r="EM63" s="61"/>
      <c r="EN63" s="61"/>
      <c r="EO63" s="61"/>
      <c r="EP63" s="61"/>
    </row>
    <row r="64" spans="1:146" s="3207" customFormat="1" ht="15.75" customHeight="1" thickBot="1">
      <c r="A64" s="3250"/>
      <c r="B64" s="3528"/>
      <c r="C64" s="1110"/>
      <c r="D64" s="3255" t="s">
        <v>404</v>
      </c>
      <c r="E64" s="17"/>
      <c r="F64" s="17"/>
      <c r="G64" s="17"/>
      <c r="H64" s="3251"/>
      <c r="I64" s="17"/>
      <c r="J64" s="17"/>
      <c r="K64" s="49"/>
      <c r="L64" s="3252"/>
      <c r="M64" s="143"/>
      <c r="N64" s="143"/>
      <c r="O64" s="143"/>
      <c r="P64" s="143"/>
      <c r="Q64" s="61"/>
      <c r="R64" s="61"/>
      <c r="S64" s="61"/>
      <c r="T64" s="61"/>
      <c r="U64" s="61"/>
      <c r="V64" s="61"/>
      <c r="W64" s="61"/>
      <c r="X64" s="61"/>
      <c r="Y64" s="2928"/>
      <c r="Z64" s="2928">
        <v>4.0999999999999996</v>
      </c>
      <c r="AA64" s="2928">
        <v>5.3</v>
      </c>
      <c r="AB64" s="2928">
        <v>4.9000000000000004</v>
      </c>
      <c r="AC64" s="2928"/>
      <c r="AD64" s="2928"/>
      <c r="AE64" s="2928"/>
      <c r="AF64" s="2928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DB64" s="61"/>
      <c r="DC64" s="61"/>
      <c r="DD64" s="61"/>
      <c r="DE64" s="61"/>
      <c r="DF64" s="61"/>
      <c r="DG64" s="61"/>
      <c r="DH64" s="61"/>
      <c r="DI64" s="61"/>
      <c r="DJ64" s="61"/>
      <c r="DK64" s="61"/>
      <c r="DS64" s="61"/>
      <c r="DT64" s="61"/>
      <c r="DU64" s="61"/>
      <c r="DV64" s="61"/>
      <c r="DW64" s="61"/>
      <c r="DX64" s="61"/>
      <c r="DY64" s="61"/>
      <c r="DZ64" s="61"/>
      <c r="EA64" s="61"/>
      <c r="EB64" s="61"/>
      <c r="EC64" s="61"/>
      <c r="ED64" s="61"/>
      <c r="EE64" s="61"/>
      <c r="EG64" s="61"/>
      <c r="EH64" s="61"/>
      <c r="EI64" s="61"/>
      <c r="EJ64" s="61"/>
      <c r="EK64" s="61"/>
      <c r="EL64" s="61"/>
      <c r="EM64" s="61"/>
      <c r="EN64" s="61"/>
      <c r="EO64" s="61"/>
      <c r="EP64" s="61"/>
    </row>
    <row r="65" spans="1:146" s="4" customFormat="1">
      <c r="A65" s="114"/>
      <c r="B65" s="114"/>
      <c r="C65" s="114">
        <f>SUM(C15:C64)</f>
        <v>49</v>
      </c>
      <c r="D65" s="775" t="s">
        <v>285</v>
      </c>
      <c r="E65" s="1025">
        <f>COUNTIF(E15:E48,"&gt;=5")</f>
        <v>14</v>
      </c>
      <c r="F65" s="1025">
        <f t="shared" ref="F65:T65" si="0">COUNTIF(F15:F48,"&gt;=5")</f>
        <v>6</v>
      </c>
      <c r="G65" s="1025">
        <f t="shared" si="0"/>
        <v>13</v>
      </c>
      <c r="H65" s="2487">
        <f t="shared" si="0"/>
        <v>14</v>
      </c>
      <c r="I65" s="1025">
        <f t="shared" si="0"/>
        <v>14</v>
      </c>
      <c r="J65" s="1025">
        <f t="shared" si="0"/>
        <v>7</v>
      </c>
      <c r="K65" s="1025">
        <f t="shared" si="0"/>
        <v>6</v>
      </c>
      <c r="L65" s="1025">
        <f t="shared" si="0"/>
        <v>5</v>
      </c>
      <c r="M65" s="1025">
        <f t="shared" si="0"/>
        <v>6</v>
      </c>
      <c r="N65" s="1025">
        <f t="shared" si="0"/>
        <v>4</v>
      </c>
      <c r="O65" s="1025">
        <f>COUNTIF(O15:O48,"&gt;=5")</f>
        <v>4</v>
      </c>
      <c r="P65" s="1025">
        <f>COUNTIF(P15:P48,"&gt;=5")</f>
        <v>3</v>
      </c>
      <c r="Q65" s="1025">
        <f t="shared" si="0"/>
        <v>1</v>
      </c>
      <c r="R65" s="1025">
        <f t="shared" si="0"/>
        <v>1</v>
      </c>
      <c r="S65" s="1025">
        <f t="shared" si="0"/>
        <v>2</v>
      </c>
      <c r="T65" s="1025">
        <f t="shared" si="0"/>
        <v>0</v>
      </c>
      <c r="U65" s="1025">
        <f t="shared" ref="U65:X65" si="1">COUNTIF(U15:U48,"&gt;=5")</f>
        <v>0</v>
      </c>
      <c r="V65" s="1025">
        <f t="shared" si="1"/>
        <v>0</v>
      </c>
      <c r="W65" s="1025">
        <f t="shared" si="1"/>
        <v>0</v>
      </c>
      <c r="X65" s="1025">
        <f t="shared" si="1"/>
        <v>1</v>
      </c>
      <c r="Y65" s="1025">
        <f t="shared" ref="Y65:Z65" si="2">COUNTIF(Y15:Y64,"&gt;=5")</f>
        <v>3</v>
      </c>
      <c r="Z65" s="1025">
        <f t="shared" si="2"/>
        <v>1</v>
      </c>
      <c r="AA65" s="1025">
        <f>COUNTIF(AA15:AA64,"&gt;=5")</f>
        <v>13</v>
      </c>
      <c r="AB65" s="1025">
        <f>COUNTIF(AB15:AB64,"&gt;=5")</f>
        <v>3</v>
      </c>
      <c r="AC65" s="1025">
        <f t="shared" ref="AC65:AD65" si="3">COUNTIF(AC15:AC64,"&gt;=5")</f>
        <v>11</v>
      </c>
      <c r="AD65" s="1025">
        <f t="shared" si="3"/>
        <v>0</v>
      </c>
      <c r="AE65" s="1025">
        <f>COUNTIF(AE15:AE64,"&gt;=5")</f>
        <v>0</v>
      </c>
      <c r="AF65" s="1025">
        <f>COUNTIF(AF15:AF64,"&gt;=5")</f>
        <v>0</v>
      </c>
      <c r="BE65" s="83"/>
      <c r="BF65" s="83"/>
      <c r="BG65" s="83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CH65" s="83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3"/>
      <c r="CW65" s="83"/>
      <c r="CX65" s="83"/>
      <c r="CY65" s="83"/>
      <c r="CZ65" s="83"/>
      <c r="DA65" s="83"/>
      <c r="DB65" s="83"/>
      <c r="DC65" s="83"/>
      <c r="DD65" s="83"/>
    </row>
    <row r="66" spans="1:146" s="4" customFormat="1">
      <c r="A66" s="114"/>
      <c r="B66" s="114"/>
      <c r="C66" s="114"/>
      <c r="D66" s="775" t="s">
        <v>287</v>
      </c>
      <c r="E66" s="1027">
        <f>COUNT(E15:E48)</f>
        <v>34</v>
      </c>
      <c r="F66" s="1027">
        <f t="shared" ref="F66:T66" si="4">COUNT(F15:F48)</f>
        <v>34</v>
      </c>
      <c r="G66" s="1027">
        <f t="shared" si="4"/>
        <v>34</v>
      </c>
      <c r="H66" s="1027">
        <f t="shared" si="4"/>
        <v>34</v>
      </c>
      <c r="I66" s="1027">
        <f t="shared" si="4"/>
        <v>34</v>
      </c>
      <c r="J66" s="1027">
        <f t="shared" si="4"/>
        <v>34</v>
      </c>
      <c r="K66" s="1027">
        <f t="shared" si="4"/>
        <v>34</v>
      </c>
      <c r="L66" s="1027">
        <f t="shared" si="4"/>
        <v>34</v>
      </c>
      <c r="M66" s="1027">
        <f t="shared" si="4"/>
        <v>31</v>
      </c>
      <c r="N66" s="1027">
        <f t="shared" si="4"/>
        <v>34</v>
      </c>
      <c r="O66" s="1027">
        <f>COUNT(O15:O48)</f>
        <v>34</v>
      </c>
      <c r="P66" s="1027">
        <f>COUNT(P15:P48)</f>
        <v>29</v>
      </c>
      <c r="Q66" s="1027">
        <f t="shared" si="4"/>
        <v>29</v>
      </c>
      <c r="R66" s="1027">
        <f t="shared" si="4"/>
        <v>29</v>
      </c>
      <c r="S66" s="1027">
        <f t="shared" si="4"/>
        <v>29</v>
      </c>
      <c r="T66" s="1027">
        <f t="shared" si="4"/>
        <v>31</v>
      </c>
      <c r="U66" s="1027">
        <f t="shared" ref="U66:X66" si="5">COUNT(U15:U48)</f>
        <v>13</v>
      </c>
      <c r="V66" s="1027">
        <f t="shared" si="5"/>
        <v>13</v>
      </c>
      <c r="W66" s="1027">
        <f t="shared" si="5"/>
        <v>12</v>
      </c>
      <c r="X66" s="1027">
        <f t="shared" si="5"/>
        <v>34</v>
      </c>
      <c r="Y66" s="1027">
        <f t="shared" ref="Y66:AF66" si="6">COUNT(Y15:Y64)</f>
        <v>33</v>
      </c>
      <c r="Z66" s="1027">
        <f t="shared" si="6"/>
        <v>49</v>
      </c>
      <c r="AA66" s="1027">
        <f t="shared" si="6"/>
        <v>49</v>
      </c>
      <c r="AB66" s="1027">
        <f t="shared" si="6"/>
        <v>49</v>
      </c>
      <c r="AC66" s="1027">
        <f t="shared" si="6"/>
        <v>43</v>
      </c>
      <c r="AD66" s="1027">
        <f t="shared" si="6"/>
        <v>0</v>
      </c>
      <c r="AE66" s="1027">
        <f t="shared" si="6"/>
        <v>0</v>
      </c>
      <c r="AF66" s="1027">
        <f t="shared" si="6"/>
        <v>0</v>
      </c>
      <c r="BE66" s="83"/>
      <c r="BF66" s="83"/>
      <c r="BG66" s="83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CH66" s="83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3"/>
      <c r="CW66" s="83"/>
      <c r="CX66" s="83"/>
      <c r="CY66" s="83"/>
      <c r="CZ66" s="83"/>
      <c r="DA66" s="83"/>
      <c r="DB66" s="83"/>
      <c r="DC66" s="83"/>
      <c r="DD66" s="83"/>
    </row>
    <row r="67" spans="1:146" s="4" customFormat="1">
      <c r="A67" s="114"/>
      <c r="B67" s="114"/>
      <c r="C67" s="114"/>
      <c r="D67" s="775" t="s">
        <v>286</v>
      </c>
      <c r="E67" s="1026">
        <f>E65/E66</f>
        <v>0.41176470588235292</v>
      </c>
      <c r="F67" s="1026">
        <f t="shared" ref="F67:T67" si="7">F65/F66</f>
        <v>0.17647058823529413</v>
      </c>
      <c r="G67" s="1026">
        <f t="shared" si="7"/>
        <v>0.38235294117647056</v>
      </c>
      <c r="H67" s="1026">
        <f t="shared" si="7"/>
        <v>0.41176470588235292</v>
      </c>
      <c r="I67" s="1026">
        <f t="shared" si="7"/>
        <v>0.41176470588235292</v>
      </c>
      <c r="J67" s="1026">
        <f t="shared" si="7"/>
        <v>0.20588235294117646</v>
      </c>
      <c r="K67" s="1026">
        <f t="shared" si="7"/>
        <v>0.17647058823529413</v>
      </c>
      <c r="L67" s="1026">
        <f t="shared" si="7"/>
        <v>0.14705882352941177</v>
      </c>
      <c r="M67" s="1026">
        <f t="shared" si="7"/>
        <v>0.19354838709677419</v>
      </c>
      <c r="N67" s="1026">
        <f t="shared" si="7"/>
        <v>0.11764705882352941</v>
      </c>
      <c r="O67" s="1026">
        <f>O65/O66</f>
        <v>0.11764705882352941</v>
      </c>
      <c r="P67" s="1026">
        <f>P65/P66</f>
        <v>0.10344827586206896</v>
      </c>
      <c r="Q67" s="1026">
        <f t="shared" si="7"/>
        <v>3.4482758620689655E-2</v>
      </c>
      <c r="R67" s="1026">
        <f t="shared" si="7"/>
        <v>3.4482758620689655E-2</v>
      </c>
      <c r="S67" s="1026">
        <f t="shared" si="7"/>
        <v>6.8965517241379309E-2</v>
      </c>
      <c r="T67" s="1026">
        <f t="shared" si="7"/>
        <v>0</v>
      </c>
      <c r="U67" s="1026">
        <f t="shared" ref="U67:AB67" si="8">U65/U66</f>
        <v>0</v>
      </c>
      <c r="V67" s="1026">
        <f t="shared" si="8"/>
        <v>0</v>
      </c>
      <c r="W67" s="1026">
        <f t="shared" si="8"/>
        <v>0</v>
      </c>
      <c r="X67" s="1026">
        <f t="shared" si="8"/>
        <v>2.9411764705882353E-2</v>
      </c>
      <c r="Y67" s="1026">
        <f t="shared" si="8"/>
        <v>9.0909090909090912E-2</v>
      </c>
      <c r="Z67" s="1026">
        <f t="shared" si="8"/>
        <v>2.0408163265306121E-2</v>
      </c>
      <c r="AA67" s="1026">
        <f t="shared" si="8"/>
        <v>0.26530612244897961</v>
      </c>
      <c r="AB67" s="1026">
        <f t="shared" si="8"/>
        <v>6.1224489795918366E-2</v>
      </c>
      <c r="AC67" s="1026">
        <f t="shared" ref="AC67:AF67" si="9">AC65/AC66</f>
        <v>0.2558139534883721</v>
      </c>
      <c r="AD67" s="1026" t="e">
        <f t="shared" si="9"/>
        <v>#DIV/0!</v>
      </c>
      <c r="AE67" s="1026" t="e">
        <f t="shared" si="9"/>
        <v>#DIV/0!</v>
      </c>
      <c r="AF67" s="1026" t="e">
        <f t="shared" si="9"/>
        <v>#DIV/0!</v>
      </c>
      <c r="BE67" s="83"/>
      <c r="BF67" s="83"/>
      <c r="BG67" s="83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CH67" s="83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3"/>
      <c r="CW67" s="83"/>
      <c r="CX67" s="83"/>
      <c r="CY67" s="83"/>
      <c r="CZ67" s="83"/>
      <c r="DA67" s="83"/>
      <c r="DB67" s="83"/>
      <c r="DC67" s="83"/>
      <c r="DD67" s="83"/>
    </row>
    <row r="68" spans="1:146" s="965" customFormat="1" ht="15.75" customHeight="1" thickBot="1">
      <c r="A68" s="1167"/>
      <c r="B68" s="108"/>
      <c r="C68" s="108"/>
      <c r="D68" s="775" t="s">
        <v>296</v>
      </c>
      <c r="E68" s="1086">
        <f>COUNTA(D15:D48)</f>
        <v>34</v>
      </c>
      <c r="F68" s="1086"/>
      <c r="G68" s="1086"/>
      <c r="H68" s="2427"/>
      <c r="I68" s="2433"/>
      <c r="J68" s="1086"/>
      <c r="K68" s="1086"/>
      <c r="L68" s="1086"/>
      <c r="M68" s="1086"/>
      <c r="N68" s="1086"/>
      <c r="O68" s="1086"/>
      <c r="P68" s="1086"/>
      <c r="Q68" s="1086"/>
      <c r="R68" s="1086"/>
      <c r="S68" s="1086"/>
      <c r="T68" s="1086"/>
      <c r="U68" s="1086"/>
      <c r="V68" s="2427"/>
      <c r="W68" s="1591"/>
      <c r="X68" s="1591"/>
      <c r="Y68" s="1591"/>
      <c r="Z68" s="1591"/>
      <c r="AA68" s="120"/>
      <c r="AB68" s="26"/>
      <c r="AC68" s="1591"/>
      <c r="AD68" s="1591"/>
      <c r="AE68" s="120"/>
      <c r="AF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DB68" s="61"/>
      <c r="DC68" s="61"/>
      <c r="DD68" s="61"/>
      <c r="DE68" s="61"/>
      <c r="DF68" s="61"/>
      <c r="DG68" s="61"/>
      <c r="DH68" s="61"/>
      <c r="DI68" s="61"/>
      <c r="DJ68" s="61"/>
      <c r="DK68" s="61"/>
      <c r="DS68" s="61"/>
      <c r="DT68" s="61"/>
      <c r="DU68" s="61"/>
      <c r="DV68" s="61"/>
      <c r="DW68" s="61"/>
      <c r="DX68" s="61"/>
      <c r="DY68" s="61"/>
      <c r="DZ68" s="61"/>
      <c r="EA68" s="61"/>
      <c r="EB68" s="61"/>
      <c r="EC68" s="61"/>
      <c r="ED68" s="61"/>
      <c r="EE68" s="61"/>
      <c r="EG68" s="61"/>
      <c r="EH68" s="61"/>
      <c r="EI68" s="61"/>
      <c r="EJ68" s="61"/>
      <c r="EK68" s="61"/>
      <c r="EL68" s="61"/>
      <c r="EM68" s="61"/>
      <c r="EN68" s="61"/>
      <c r="EO68" s="61"/>
      <c r="EP68" s="61"/>
    </row>
    <row r="69" spans="1:146" s="3478" customFormat="1" ht="15.75" customHeight="1" thickBot="1">
      <c r="A69" s="1167"/>
      <c r="B69" s="108"/>
      <c r="C69" s="108"/>
      <c r="D69" s="775"/>
      <c r="E69" s="1086"/>
      <c r="F69" s="1086"/>
      <c r="G69" s="2427"/>
      <c r="H69" s="1591"/>
      <c r="I69" s="1591"/>
      <c r="J69" s="2433"/>
      <c r="K69" s="1086"/>
      <c r="L69" s="2427"/>
      <c r="M69" s="2433"/>
      <c r="N69" s="2427"/>
      <c r="O69" s="2427"/>
      <c r="P69" s="2427"/>
      <c r="Q69" s="2433"/>
      <c r="R69" s="1086"/>
      <c r="S69" s="1086"/>
      <c r="T69" s="2427"/>
      <c r="U69" s="2427"/>
      <c r="V69" s="2427"/>
      <c r="W69" s="1591"/>
      <c r="X69" s="1591"/>
      <c r="Y69" s="3516">
        <v>2016</v>
      </c>
      <c r="Z69" s="3517"/>
      <c r="AA69" s="3517"/>
      <c r="AB69" s="3518"/>
      <c r="AC69" s="3516">
        <v>2017</v>
      </c>
      <c r="AD69" s="3517"/>
      <c r="AE69" s="3517"/>
      <c r="AF69" s="3518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CM69" s="61"/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DB69" s="61"/>
      <c r="DC69" s="61"/>
      <c r="DD69" s="61"/>
      <c r="DE69" s="61"/>
      <c r="DF69" s="61"/>
      <c r="DG69" s="61"/>
      <c r="DH69" s="61"/>
      <c r="DI69" s="61"/>
      <c r="DJ69" s="61"/>
      <c r="DK69" s="61"/>
      <c r="DS69" s="61"/>
      <c r="DT69" s="61"/>
      <c r="DU69" s="61"/>
      <c r="DV69" s="61"/>
      <c r="DW69" s="61"/>
      <c r="DX69" s="61"/>
      <c r="DY69" s="61"/>
      <c r="DZ69" s="61"/>
      <c r="EA69" s="61"/>
      <c r="EB69" s="61"/>
      <c r="EC69" s="61"/>
      <c r="ED69" s="61"/>
      <c r="EE69" s="61"/>
      <c r="EG69" s="61"/>
      <c r="EH69" s="61"/>
      <c r="EI69" s="61"/>
      <c r="EJ69" s="61"/>
      <c r="EK69" s="61"/>
      <c r="EL69" s="61"/>
      <c r="EM69" s="61"/>
      <c r="EN69" s="61"/>
      <c r="EO69" s="61"/>
      <c r="EP69" s="61"/>
    </row>
    <row r="70" spans="1:146" s="965" customFormat="1" ht="15.75" customHeight="1" thickBot="1">
      <c r="A70" s="992"/>
      <c r="B70" s="992"/>
      <c r="C70" s="992"/>
      <c r="D70" s="1084" t="s">
        <v>126</v>
      </c>
      <c r="E70" s="1003"/>
      <c r="F70" s="1003"/>
      <c r="G70" s="1084"/>
      <c r="H70" s="1015"/>
      <c r="I70" s="1015"/>
      <c r="J70" s="1085"/>
      <c r="K70" s="1004"/>
      <c r="L70" s="1005"/>
      <c r="M70" s="395"/>
      <c r="N70" s="749"/>
      <c r="O70" s="749"/>
      <c r="P70" s="397"/>
      <c r="Q70" s="539"/>
      <c r="R70" s="540"/>
      <c r="S70" s="540"/>
      <c r="T70" s="541"/>
      <c r="U70" s="541"/>
      <c r="V70" s="541"/>
      <c r="W70" s="1128"/>
      <c r="X70" s="3037"/>
      <c r="Y70" s="387"/>
      <c r="Z70" s="830">
        <v>5</v>
      </c>
      <c r="AA70" s="830">
        <v>5</v>
      </c>
      <c r="AB70" s="830">
        <v>5</v>
      </c>
      <c r="AC70" s="387"/>
      <c r="AD70" s="830">
        <v>5</v>
      </c>
      <c r="AE70" s="830">
        <v>5</v>
      </c>
      <c r="AF70" s="830">
        <v>5</v>
      </c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</row>
    <row r="71" spans="1:146" ht="15" customHeight="1">
      <c r="A71" s="1014" t="s">
        <v>42</v>
      </c>
      <c r="B71" s="3529" t="s">
        <v>376</v>
      </c>
      <c r="C71" s="993">
        <f>COUNTA(D71:D77)</f>
        <v>7</v>
      </c>
      <c r="D71" s="1161" t="s">
        <v>53</v>
      </c>
      <c r="E71" s="1112">
        <v>5.4</v>
      </c>
      <c r="F71" s="1114">
        <v>0.8</v>
      </c>
      <c r="G71" s="1114">
        <v>6.8</v>
      </c>
      <c r="H71" s="1162">
        <v>4.9000000000000004</v>
      </c>
      <c r="I71" s="1530">
        <v>7.06</v>
      </c>
      <c r="J71" s="1114">
        <v>1.7</v>
      </c>
      <c r="K71" s="1169">
        <v>0</v>
      </c>
      <c r="L71" s="1116">
        <v>0</v>
      </c>
      <c r="M71" s="1117">
        <v>0</v>
      </c>
      <c r="N71" s="1207">
        <v>0</v>
      </c>
      <c r="O71" s="1207">
        <v>0.3</v>
      </c>
      <c r="P71" s="1207"/>
      <c r="Q71" s="1241">
        <v>1.7</v>
      </c>
      <c r="R71" s="1119">
        <v>0.9</v>
      </c>
      <c r="S71" s="540">
        <v>0</v>
      </c>
      <c r="T71" s="540">
        <v>0</v>
      </c>
      <c r="U71" s="2453">
        <v>0</v>
      </c>
      <c r="V71" s="540">
        <v>0</v>
      </c>
      <c r="W71" s="806">
        <v>0</v>
      </c>
      <c r="X71" s="540">
        <v>0</v>
      </c>
      <c r="Y71" s="1046">
        <v>0</v>
      </c>
      <c r="Z71" s="1046">
        <v>0</v>
      </c>
      <c r="AA71" s="1046">
        <v>2.0499999999999998</v>
      </c>
      <c r="AB71" s="1046">
        <v>4.4000000000000004</v>
      </c>
      <c r="AC71" s="1046">
        <v>1.57</v>
      </c>
      <c r="AD71" s="1046"/>
      <c r="AE71" s="1046"/>
      <c r="AF71" s="1046"/>
      <c r="AG71" s="13"/>
      <c r="AH71" s="13"/>
      <c r="AI71" s="67"/>
      <c r="AJ71" s="67"/>
      <c r="AK71" s="67"/>
      <c r="AL71" s="67"/>
      <c r="AM71" s="61"/>
      <c r="AN71" s="26"/>
      <c r="AO71" s="15"/>
      <c r="AP71" s="15"/>
      <c r="AQ71" s="15"/>
      <c r="AR71" s="13"/>
      <c r="AS71" s="26"/>
      <c r="AT71" s="15"/>
      <c r="AU71" s="13"/>
      <c r="AV71" s="61"/>
      <c r="AW71" s="13"/>
      <c r="AX71" s="67"/>
      <c r="AY71" s="67"/>
      <c r="AZ71" s="67"/>
      <c r="BA71" s="67"/>
      <c r="BB71" s="61"/>
      <c r="BC71" s="61"/>
      <c r="BD71" s="61"/>
      <c r="BE71" s="15"/>
      <c r="BF71" s="15"/>
      <c r="BG71" s="15"/>
      <c r="BH71" s="13"/>
      <c r="BI71" s="13"/>
      <c r="BJ71" s="73"/>
      <c r="BK71" s="73"/>
      <c r="BL71" s="61"/>
      <c r="BM71" s="13"/>
      <c r="BN71" s="67"/>
      <c r="BO71" s="67"/>
      <c r="BP71" s="67"/>
      <c r="BQ71" s="61"/>
      <c r="BR71" s="61"/>
      <c r="BS71" s="61"/>
      <c r="BT71" s="61"/>
      <c r="BU71" s="73"/>
      <c r="BV71" s="73"/>
      <c r="BW71" s="31"/>
      <c r="BX71" s="13"/>
      <c r="BY71" s="13"/>
      <c r="BZ71" s="61"/>
      <c r="CA71" s="61"/>
      <c r="CB71" s="61"/>
      <c r="CC71" s="67"/>
      <c r="CD71" s="67"/>
      <c r="CE71" s="67"/>
      <c r="CF71" s="15"/>
      <c r="CG71" s="13"/>
      <c r="CH71" s="26"/>
      <c r="CK71" s="26"/>
      <c r="CL71" s="15"/>
      <c r="CM71" s="73"/>
      <c r="CN71" s="73"/>
      <c r="CO71" s="13"/>
      <c r="CP71" s="61"/>
      <c r="CQ71" s="61"/>
      <c r="CR71" s="67"/>
      <c r="CS71" s="67"/>
      <c r="CT71" s="67"/>
      <c r="CU71" s="61"/>
      <c r="CV71" s="61"/>
      <c r="CW71" s="61"/>
      <c r="DB71" s="61"/>
      <c r="DC71" s="61"/>
      <c r="DD71" s="61"/>
      <c r="DE71" s="61"/>
      <c r="DF71" s="61"/>
      <c r="DG71" s="61"/>
      <c r="DH71" s="67"/>
      <c r="DI71" s="67"/>
      <c r="DJ71" s="67"/>
      <c r="DK71" s="61"/>
      <c r="DS71" s="61"/>
      <c r="DT71" s="61"/>
      <c r="DU71" s="61"/>
      <c r="DV71" s="61"/>
      <c r="DW71" s="67"/>
      <c r="DX71" s="67"/>
      <c r="DY71" s="67"/>
      <c r="DZ71" s="61"/>
      <c r="EA71" s="61"/>
      <c r="EB71" s="61"/>
      <c r="EC71" s="61"/>
      <c r="ED71" s="61"/>
      <c r="EE71" s="61"/>
      <c r="EG71" s="61"/>
      <c r="EH71" s="61"/>
      <c r="EI71" s="61"/>
      <c r="EJ71" s="61"/>
      <c r="EK71" s="61"/>
      <c r="EL71" s="67"/>
      <c r="EM71" s="67"/>
      <c r="EN71" s="67"/>
      <c r="EO71" s="61"/>
      <c r="EP71" s="61"/>
    </row>
    <row r="72" spans="1:146">
      <c r="A72" s="1170" t="s">
        <v>42</v>
      </c>
      <c r="B72" s="3530"/>
      <c r="C72" s="1171"/>
      <c r="D72" s="1163" t="s">
        <v>427</v>
      </c>
      <c r="E72" s="1122"/>
      <c r="F72" s="1003">
        <v>2</v>
      </c>
      <c r="G72" s="1003">
        <v>4.2</v>
      </c>
      <c r="H72" s="1164">
        <v>17</v>
      </c>
      <c r="I72" s="324">
        <v>0.55000000000000004</v>
      </c>
      <c r="J72" s="1003">
        <v>0</v>
      </c>
      <c r="K72" s="1172">
        <v>0</v>
      </c>
      <c r="L72" s="1005">
        <v>0</v>
      </c>
      <c r="M72" s="1125"/>
      <c r="N72" s="1208">
        <v>0</v>
      </c>
      <c r="O72" s="1208">
        <v>0</v>
      </c>
      <c r="P72" s="1208"/>
      <c r="Q72" s="1183">
        <v>0</v>
      </c>
      <c r="R72" s="1127">
        <v>0</v>
      </c>
      <c r="S72" s="1127">
        <v>0</v>
      </c>
      <c r="T72" s="1127">
        <v>0</v>
      </c>
      <c r="U72" s="3037">
        <v>0</v>
      </c>
      <c r="V72" s="1127">
        <v>0</v>
      </c>
      <c r="W72" s="1046">
        <v>0</v>
      </c>
      <c r="X72" s="1127">
        <v>0</v>
      </c>
      <c r="Y72" s="1046">
        <v>0</v>
      </c>
      <c r="Z72" s="1046">
        <v>0</v>
      </c>
      <c r="AA72" s="1046">
        <v>0.43</v>
      </c>
      <c r="AB72" s="1046">
        <v>0</v>
      </c>
      <c r="AC72" s="1046">
        <v>0</v>
      </c>
      <c r="AD72" s="1046"/>
      <c r="AE72" s="1046"/>
      <c r="AF72" s="1046"/>
      <c r="AG72" s="49"/>
      <c r="AH72" s="49"/>
      <c r="AI72" s="49"/>
      <c r="AJ72" s="14"/>
      <c r="AK72" s="49"/>
      <c r="AL72" s="49"/>
      <c r="AM72" s="61"/>
      <c r="AN72" s="28"/>
      <c r="AO72" s="16"/>
      <c r="AP72" s="16"/>
      <c r="AQ72" s="16"/>
      <c r="AR72" s="14"/>
      <c r="AS72" s="26"/>
      <c r="AT72" s="16"/>
      <c r="AU72" s="49"/>
      <c r="AV72" s="28"/>
      <c r="AW72" s="49"/>
      <c r="AX72" s="49"/>
      <c r="AY72" s="49"/>
      <c r="AZ72" s="14"/>
      <c r="BA72" s="14"/>
      <c r="BB72" s="61"/>
      <c r="BC72" s="61"/>
      <c r="BD72" s="28"/>
      <c r="BE72" s="16"/>
      <c r="BF72" s="16"/>
      <c r="BG72" s="16"/>
      <c r="BH72" s="14"/>
      <c r="BI72" s="49"/>
      <c r="BJ72" s="49"/>
      <c r="BK72" s="49"/>
      <c r="BL72" s="28"/>
      <c r="BM72" s="49"/>
      <c r="BN72" s="49"/>
      <c r="BO72" s="49"/>
      <c r="BP72" s="14"/>
      <c r="BQ72" s="61"/>
      <c r="BR72" s="61"/>
      <c r="BS72" s="61"/>
      <c r="BT72" s="28"/>
      <c r="BU72" s="49"/>
      <c r="BV72" s="49"/>
      <c r="BW72" s="16"/>
      <c r="BX72" s="49"/>
      <c r="BY72" s="14"/>
      <c r="BZ72" s="61"/>
      <c r="CA72" s="61"/>
      <c r="CB72" s="61"/>
      <c r="CC72" s="28"/>
      <c r="CD72" s="49"/>
      <c r="CE72" s="49"/>
      <c r="CF72" s="16"/>
      <c r="CG72" s="14"/>
      <c r="CH72" s="26"/>
      <c r="CK72" s="28"/>
      <c r="CL72" s="16"/>
      <c r="CM72" s="49"/>
      <c r="CN72" s="49"/>
      <c r="CO72" s="14"/>
      <c r="CP72" s="61"/>
      <c r="CQ72" s="61"/>
      <c r="CR72" s="61"/>
      <c r="CS72" s="61"/>
      <c r="CT72" s="61"/>
      <c r="CU72" s="61"/>
      <c r="CV72" s="61"/>
      <c r="CW72" s="61"/>
      <c r="DB72" s="61"/>
      <c r="DC72" s="61"/>
      <c r="DD72" s="61"/>
      <c r="DE72" s="61"/>
      <c r="DF72" s="61"/>
      <c r="DG72" s="61"/>
      <c r="DH72" s="61"/>
      <c r="DI72" s="61"/>
      <c r="DJ72" s="61"/>
      <c r="DK72" s="61"/>
      <c r="DS72" s="61"/>
      <c r="DT72" s="61"/>
      <c r="DU72" s="61"/>
      <c r="DV72" s="61"/>
      <c r="DW72" s="61"/>
      <c r="DX72" s="61"/>
      <c r="DY72" s="61"/>
      <c r="DZ72" s="61"/>
      <c r="EA72" s="61"/>
      <c r="EB72" s="61"/>
      <c r="EC72" s="61"/>
      <c r="ED72" s="61"/>
      <c r="EE72" s="61"/>
      <c r="EG72" s="61"/>
      <c r="EH72" s="61"/>
      <c r="EI72" s="61"/>
      <c r="EJ72" s="61"/>
      <c r="EK72" s="61"/>
      <c r="EL72" s="61"/>
      <c r="EM72" s="61"/>
      <c r="EN72" s="61"/>
      <c r="EO72" s="61"/>
      <c r="EP72" s="61"/>
    </row>
    <row r="73" spans="1:146" ht="15" customHeight="1">
      <c r="A73" s="1170" t="s">
        <v>42</v>
      </c>
      <c r="B73" s="3530"/>
      <c r="C73" s="1171"/>
      <c r="D73" s="1163" t="s">
        <v>64</v>
      </c>
      <c r="E73" s="1122">
        <v>0</v>
      </c>
      <c r="F73" s="1122">
        <v>0.3</v>
      </c>
      <c r="G73" s="1122">
        <v>7</v>
      </c>
      <c r="H73" s="1123">
        <v>8.51</v>
      </c>
      <c r="I73" s="2431">
        <v>3.22</v>
      </c>
      <c r="J73" s="1122">
        <v>0</v>
      </c>
      <c r="K73" s="1004">
        <v>0.16700000000000001</v>
      </c>
      <c r="L73" s="1005">
        <v>0</v>
      </c>
      <c r="M73" s="1125">
        <v>0</v>
      </c>
      <c r="N73" s="1208">
        <v>0</v>
      </c>
      <c r="O73" s="1208">
        <v>0.4</v>
      </c>
      <c r="P73" s="1208"/>
      <c r="Q73" s="1183">
        <v>0</v>
      </c>
      <c r="R73" s="1127">
        <v>0</v>
      </c>
      <c r="S73" s="1127">
        <v>0</v>
      </c>
      <c r="T73" s="1127">
        <v>0</v>
      </c>
      <c r="U73" s="3037">
        <v>0</v>
      </c>
      <c r="V73" s="1127">
        <v>0</v>
      </c>
      <c r="W73" s="1046">
        <v>0</v>
      </c>
      <c r="X73" s="1127">
        <v>0</v>
      </c>
      <c r="Y73" s="1046">
        <v>0</v>
      </c>
      <c r="Z73" s="1046">
        <v>0</v>
      </c>
      <c r="AA73" s="1046">
        <v>0.63</v>
      </c>
      <c r="AB73" s="1046">
        <v>0</v>
      </c>
      <c r="AC73" s="1046">
        <v>0</v>
      </c>
      <c r="AD73" s="1046"/>
      <c r="AE73" s="1046"/>
      <c r="AF73" s="1046"/>
      <c r="AG73" s="13"/>
      <c r="AH73" s="13"/>
      <c r="AI73" s="13"/>
      <c r="AJ73" s="13"/>
      <c r="AK73" s="69"/>
      <c r="AL73" s="69"/>
      <c r="AM73" s="61"/>
      <c r="AN73" s="26"/>
      <c r="AO73" s="17"/>
      <c r="AP73" s="17"/>
      <c r="AQ73" s="17"/>
      <c r="AR73" s="14"/>
      <c r="AS73" s="26"/>
      <c r="AT73" s="17"/>
      <c r="AU73" s="61"/>
      <c r="AV73" s="13"/>
      <c r="AW73" s="13"/>
      <c r="AX73" s="13"/>
      <c r="AY73" s="13"/>
      <c r="AZ73" s="61"/>
      <c r="BA73" s="14"/>
      <c r="BB73" s="61"/>
      <c r="BC73" s="61"/>
      <c r="BD73" s="61"/>
      <c r="BE73" s="17"/>
      <c r="BF73" s="17"/>
      <c r="BG73" s="17"/>
      <c r="BH73" s="14"/>
      <c r="BI73" s="49"/>
      <c r="BJ73" s="61"/>
      <c r="BK73" s="13"/>
      <c r="BL73" s="13"/>
      <c r="BM73" s="13"/>
      <c r="BN73" s="13"/>
      <c r="BO73" s="69"/>
      <c r="BP73" s="14"/>
      <c r="BQ73" s="61"/>
      <c r="BR73" s="61"/>
      <c r="BS73" s="61"/>
      <c r="BT73" s="61"/>
      <c r="BU73" s="49"/>
      <c r="BV73" s="49"/>
      <c r="BW73" s="16"/>
      <c r="BX73" s="49"/>
      <c r="BY73" s="61"/>
      <c r="BZ73" s="13"/>
      <c r="CA73" s="13"/>
      <c r="CB73" s="13"/>
      <c r="CC73" s="13"/>
      <c r="CD73" s="49"/>
      <c r="CE73" s="49"/>
      <c r="CF73" s="16"/>
      <c r="CG73" s="14"/>
      <c r="CH73" s="26"/>
      <c r="CK73" s="26"/>
      <c r="CL73" s="16"/>
      <c r="CM73" s="49"/>
      <c r="CN73" s="61"/>
      <c r="CO73" s="13"/>
      <c r="CP73" s="13"/>
      <c r="CQ73" s="13"/>
      <c r="CR73" s="13"/>
      <c r="CS73" s="61"/>
      <c r="CT73" s="61"/>
      <c r="CU73" s="61"/>
      <c r="CV73" s="61"/>
      <c r="CW73" s="61"/>
      <c r="DB73" s="61"/>
      <c r="DC73" s="61"/>
      <c r="DD73" s="13"/>
      <c r="DE73" s="13"/>
      <c r="DF73" s="73"/>
      <c r="DG73" s="13"/>
      <c r="DH73" s="13"/>
      <c r="DI73" s="61"/>
      <c r="DJ73" s="61"/>
      <c r="DK73" s="61"/>
      <c r="DS73" s="61"/>
      <c r="DT73" s="73"/>
      <c r="DU73" s="73"/>
      <c r="DV73" s="73"/>
      <c r="DW73" s="13"/>
      <c r="DX73" s="61"/>
      <c r="DY73" s="61"/>
      <c r="DZ73" s="61"/>
      <c r="EA73" s="61"/>
      <c r="EB73" s="61"/>
      <c r="EC73" s="61"/>
      <c r="ED73" s="61"/>
      <c r="EE73" s="61"/>
      <c r="EG73" s="61"/>
      <c r="EH73" s="61"/>
      <c r="EI73" s="73"/>
      <c r="EJ73" s="73"/>
      <c r="EK73" s="73"/>
      <c r="EL73" s="13"/>
      <c r="EM73" s="61"/>
      <c r="EN73" s="61"/>
      <c r="EO73" s="61"/>
      <c r="EP73" s="61"/>
    </row>
    <row r="74" spans="1:146">
      <c r="A74" s="1170" t="s">
        <v>42</v>
      </c>
      <c r="B74" s="3530"/>
      <c r="C74" s="1171"/>
      <c r="D74" s="1163" t="s">
        <v>63</v>
      </c>
      <c r="E74" s="1122">
        <v>0</v>
      </c>
      <c r="F74" s="1003">
        <v>0.5</v>
      </c>
      <c r="G74" s="1003">
        <v>1</v>
      </c>
      <c r="H74" s="1164">
        <v>4.3</v>
      </c>
      <c r="I74" s="324">
        <v>6.73</v>
      </c>
      <c r="J74" s="1003">
        <v>0</v>
      </c>
      <c r="K74" s="1172">
        <v>0.83299999999999996</v>
      </c>
      <c r="L74" s="1005">
        <v>0</v>
      </c>
      <c r="M74" s="1125">
        <v>0</v>
      </c>
      <c r="N74" s="1208">
        <v>0</v>
      </c>
      <c r="O74" s="1208">
        <v>0.3</v>
      </c>
      <c r="P74" s="1208"/>
      <c r="Q74" s="1183">
        <v>0</v>
      </c>
      <c r="R74" s="1127">
        <v>0</v>
      </c>
      <c r="S74" s="1127">
        <v>0</v>
      </c>
      <c r="T74" s="1127">
        <v>0</v>
      </c>
      <c r="U74" s="3037">
        <v>0</v>
      </c>
      <c r="V74" s="1127">
        <v>0</v>
      </c>
      <c r="W74" s="1046">
        <v>0</v>
      </c>
      <c r="X74" s="1127">
        <v>0</v>
      </c>
      <c r="Y74" s="1046">
        <v>0</v>
      </c>
      <c r="Z74" s="1046">
        <v>0</v>
      </c>
      <c r="AA74" s="1046">
        <v>0</v>
      </c>
      <c r="AB74" s="1046">
        <v>0</v>
      </c>
      <c r="AC74" s="1046">
        <v>0</v>
      </c>
      <c r="AD74" s="1046"/>
      <c r="AE74" s="1046"/>
      <c r="AF74" s="1046"/>
      <c r="AG74" s="49"/>
      <c r="AH74" s="49"/>
      <c r="AI74" s="49"/>
      <c r="AJ74" s="77"/>
      <c r="AK74" s="69"/>
      <c r="AL74" s="69"/>
      <c r="AM74" s="61"/>
      <c r="AN74" s="26"/>
      <c r="AO74" s="17"/>
      <c r="AP74" s="17"/>
      <c r="AQ74" s="17"/>
      <c r="AR74" s="14"/>
      <c r="AS74" s="26"/>
      <c r="AT74" s="17"/>
      <c r="AU74" s="28"/>
      <c r="AV74" s="49"/>
      <c r="AW74" s="49"/>
      <c r="AX74" s="49"/>
      <c r="AY74" s="77"/>
      <c r="AZ74" s="61"/>
      <c r="BA74" s="14"/>
      <c r="BB74" s="61"/>
      <c r="BC74" s="61"/>
      <c r="BD74" s="61"/>
      <c r="BE74" s="17"/>
      <c r="BF74" s="17"/>
      <c r="BG74" s="17"/>
      <c r="BH74" s="14"/>
      <c r="BI74" s="49"/>
      <c r="BJ74" s="28"/>
      <c r="BK74" s="49"/>
      <c r="BL74" s="49"/>
      <c r="BM74" s="49"/>
      <c r="BN74" s="77"/>
      <c r="BO74" s="69"/>
      <c r="BP74" s="14"/>
      <c r="BQ74" s="61"/>
      <c r="BR74" s="61"/>
      <c r="BS74" s="61"/>
      <c r="BT74" s="61"/>
      <c r="BU74" s="49"/>
      <c r="BV74" s="49"/>
      <c r="BW74" s="16"/>
      <c r="BX74" s="49"/>
      <c r="BY74" s="28"/>
      <c r="BZ74" s="49"/>
      <c r="CA74" s="49"/>
      <c r="CB74" s="49"/>
      <c r="CC74" s="77"/>
      <c r="CD74" s="49"/>
      <c r="CE74" s="49"/>
      <c r="CF74" s="16"/>
      <c r="CG74" s="14"/>
      <c r="CH74" s="26"/>
      <c r="CK74" s="26"/>
      <c r="CL74" s="16"/>
      <c r="CM74" s="49"/>
      <c r="CN74" s="28"/>
      <c r="CO74" s="49"/>
      <c r="CP74" s="49"/>
      <c r="CQ74" s="49"/>
      <c r="CR74" s="77"/>
      <c r="CS74" s="61"/>
      <c r="CT74" s="61"/>
      <c r="CU74" s="61"/>
      <c r="CV74" s="61"/>
      <c r="CW74" s="61"/>
      <c r="DB74" s="61"/>
      <c r="DC74" s="28"/>
      <c r="DD74" s="49"/>
      <c r="DE74" s="49"/>
      <c r="DF74" s="49"/>
      <c r="DG74" s="49"/>
      <c r="DH74" s="77"/>
      <c r="DI74" s="61"/>
      <c r="DJ74" s="61"/>
      <c r="DK74" s="61"/>
      <c r="DS74" s="28"/>
      <c r="DT74" s="49"/>
      <c r="DU74" s="49"/>
      <c r="DV74" s="49"/>
      <c r="DW74" s="77"/>
      <c r="DX74" s="61"/>
      <c r="DY74" s="61"/>
      <c r="DZ74" s="61"/>
      <c r="EA74" s="61"/>
      <c r="EB74" s="61"/>
      <c r="EC74" s="61"/>
      <c r="ED74" s="61"/>
      <c r="EE74" s="61"/>
      <c r="EG74" s="61"/>
      <c r="EH74" s="28"/>
      <c r="EI74" s="49"/>
      <c r="EJ74" s="49"/>
      <c r="EK74" s="49"/>
      <c r="EL74" s="77"/>
      <c r="EM74" s="61"/>
      <c r="EN74" s="61"/>
      <c r="EO74" s="61"/>
      <c r="EP74" s="61"/>
    </row>
    <row r="75" spans="1:146">
      <c r="A75" s="1170" t="s">
        <v>42</v>
      </c>
      <c r="B75" s="3530"/>
      <c r="C75" s="1171"/>
      <c r="D75" s="1163" t="s">
        <v>62</v>
      </c>
      <c r="E75" s="1122">
        <v>3.23</v>
      </c>
      <c r="F75" s="1003">
        <v>4.5</v>
      </c>
      <c r="G75" s="1003">
        <v>6.1</v>
      </c>
      <c r="H75" s="1164">
        <v>5.6</v>
      </c>
      <c r="I75" s="324">
        <v>6.03</v>
      </c>
      <c r="J75" s="1003">
        <v>0.1</v>
      </c>
      <c r="K75" s="1172">
        <v>0.45</v>
      </c>
      <c r="L75" s="1005">
        <v>0</v>
      </c>
      <c r="M75" s="1125">
        <v>1.83</v>
      </c>
      <c r="N75" s="1208">
        <v>0</v>
      </c>
      <c r="O75" s="1208">
        <v>0.2</v>
      </c>
      <c r="P75" s="1208"/>
      <c r="Q75" s="1183">
        <v>0</v>
      </c>
      <c r="R75" s="1127">
        <v>0.2</v>
      </c>
      <c r="S75" s="1127">
        <v>0</v>
      </c>
      <c r="T75" s="1127">
        <v>0</v>
      </c>
      <c r="U75" s="3037">
        <v>0</v>
      </c>
      <c r="V75" s="1127">
        <v>0</v>
      </c>
      <c r="W75" s="1046">
        <v>0</v>
      </c>
      <c r="X75" s="1127">
        <v>0</v>
      </c>
      <c r="Y75" s="1046">
        <v>0</v>
      </c>
      <c r="Z75" s="1046">
        <v>0</v>
      </c>
      <c r="AA75" s="1046">
        <v>0.7</v>
      </c>
      <c r="AB75" s="1046">
        <v>0</v>
      </c>
      <c r="AC75" s="1046">
        <v>0</v>
      </c>
      <c r="AD75" s="1046"/>
      <c r="AE75" s="1046"/>
      <c r="AF75" s="1046"/>
      <c r="AG75" s="69"/>
      <c r="AH75" s="49"/>
      <c r="AI75" s="69"/>
      <c r="AJ75" s="77"/>
      <c r="AK75" s="69"/>
      <c r="AL75" s="69"/>
      <c r="AM75" s="61"/>
      <c r="AN75" s="26"/>
      <c r="AO75" s="17"/>
      <c r="AP75" s="17"/>
      <c r="AQ75" s="17"/>
      <c r="AR75" s="14"/>
      <c r="AS75" s="26"/>
      <c r="AT75" s="17"/>
      <c r="AU75" s="78"/>
      <c r="AV75" s="69"/>
      <c r="AW75" s="69"/>
      <c r="AX75" s="69"/>
      <c r="AY75" s="77"/>
      <c r="AZ75" s="61"/>
      <c r="BA75" s="14"/>
      <c r="BB75" s="61"/>
      <c r="BC75" s="61"/>
      <c r="BD75" s="61"/>
      <c r="BE75" s="17"/>
      <c r="BF75" s="17"/>
      <c r="BG75" s="17"/>
      <c r="BH75" s="14"/>
      <c r="BI75" s="49"/>
      <c r="BJ75" s="78"/>
      <c r="BK75" s="69"/>
      <c r="BL75" s="69"/>
      <c r="BM75" s="69"/>
      <c r="BN75" s="77"/>
      <c r="BO75" s="69"/>
      <c r="BP75" s="14"/>
      <c r="BQ75" s="61"/>
      <c r="BR75" s="61"/>
      <c r="BS75" s="61"/>
      <c r="BT75" s="61"/>
      <c r="BU75" s="49"/>
      <c r="BV75" s="49"/>
      <c r="BW75" s="16"/>
      <c r="BX75" s="49"/>
      <c r="BY75" s="78"/>
      <c r="BZ75" s="69"/>
      <c r="CA75" s="69"/>
      <c r="CB75" s="69"/>
      <c r="CC75" s="77"/>
      <c r="CD75" s="49"/>
      <c r="CE75" s="49"/>
      <c r="CF75" s="16"/>
      <c r="CG75" s="14"/>
      <c r="CH75" s="26"/>
      <c r="CK75" s="26"/>
      <c r="CL75" s="16"/>
      <c r="CM75" s="49"/>
      <c r="CN75" s="78"/>
      <c r="CO75" s="69"/>
      <c r="CP75" s="69"/>
      <c r="CQ75" s="69"/>
      <c r="CR75" s="77"/>
      <c r="CS75" s="61"/>
      <c r="CT75" s="61"/>
      <c r="CU75" s="61"/>
      <c r="CV75" s="61"/>
      <c r="CW75" s="61"/>
      <c r="DB75" s="61"/>
      <c r="DC75" s="78"/>
      <c r="DD75" s="49"/>
      <c r="DE75" s="49"/>
      <c r="DF75" s="49"/>
      <c r="DG75" s="49"/>
      <c r="DH75" s="77"/>
      <c r="DI75" s="61"/>
      <c r="DJ75" s="61"/>
      <c r="DK75" s="61"/>
      <c r="DS75" s="78"/>
      <c r="DT75" s="49"/>
      <c r="DU75" s="49"/>
      <c r="DV75" s="49"/>
      <c r="DW75" s="77"/>
      <c r="DX75" s="61"/>
      <c r="DY75" s="61"/>
      <c r="DZ75" s="61"/>
      <c r="EA75" s="61"/>
      <c r="EB75" s="61"/>
      <c r="EC75" s="61"/>
      <c r="ED75" s="61"/>
      <c r="EE75" s="61"/>
      <c r="EG75" s="61"/>
      <c r="EH75" s="78"/>
      <c r="EI75" s="49"/>
      <c r="EJ75" s="49"/>
      <c r="EK75" s="49"/>
      <c r="EL75" s="77"/>
      <c r="EM75" s="61"/>
      <c r="EN75" s="61"/>
      <c r="EO75" s="61"/>
      <c r="EP75" s="61"/>
    </row>
    <row r="76" spans="1:146">
      <c r="A76" s="1170" t="s">
        <v>42</v>
      </c>
      <c r="B76" s="3530"/>
      <c r="C76" s="1171"/>
      <c r="D76" s="1163" t="s">
        <v>43</v>
      </c>
      <c r="E76" s="1122">
        <v>2.73</v>
      </c>
      <c r="F76" s="1003">
        <v>5.7</v>
      </c>
      <c r="G76" s="1003">
        <v>4.3</v>
      </c>
      <c r="H76" s="1164">
        <v>4.7</v>
      </c>
      <c r="I76" s="324">
        <v>8.08</v>
      </c>
      <c r="J76" s="1003">
        <v>5.3</v>
      </c>
      <c r="K76" s="1172">
        <v>0</v>
      </c>
      <c r="L76" s="1005">
        <v>0</v>
      </c>
      <c r="M76" s="1125">
        <v>2.23</v>
      </c>
      <c r="N76" s="1208">
        <v>0</v>
      </c>
      <c r="O76" s="1208">
        <v>0.96</v>
      </c>
      <c r="P76" s="1208"/>
      <c r="Q76" s="1183">
        <v>0</v>
      </c>
      <c r="R76" s="1127">
        <v>0</v>
      </c>
      <c r="S76" s="1127">
        <v>0</v>
      </c>
      <c r="T76" s="1127">
        <v>0</v>
      </c>
      <c r="U76" s="3037">
        <v>0</v>
      </c>
      <c r="V76" s="1127">
        <v>0</v>
      </c>
      <c r="W76" s="1046">
        <v>0</v>
      </c>
      <c r="X76" s="1127">
        <v>0</v>
      </c>
      <c r="Y76" s="1046">
        <v>0</v>
      </c>
      <c r="Z76" s="1046">
        <v>0</v>
      </c>
      <c r="AA76" s="1046">
        <v>0</v>
      </c>
      <c r="AB76" s="1046">
        <v>5.33</v>
      </c>
      <c r="AC76" s="1046">
        <v>1</v>
      </c>
      <c r="AD76" s="1046"/>
      <c r="AE76" s="1046"/>
      <c r="AF76" s="1046"/>
      <c r="AG76" s="69"/>
      <c r="AH76" s="49"/>
      <c r="AI76" s="69"/>
      <c r="AJ76" s="77"/>
      <c r="AK76" s="69"/>
      <c r="AL76" s="69"/>
      <c r="AM76" s="61"/>
      <c r="AN76" s="26"/>
      <c r="AO76" s="17"/>
      <c r="AP76" s="17"/>
      <c r="AQ76" s="17"/>
      <c r="AR76" s="14"/>
      <c r="AS76" s="26"/>
      <c r="AT76" s="17"/>
      <c r="AU76" s="78"/>
      <c r="AV76" s="69"/>
      <c r="AW76" s="69"/>
      <c r="AX76" s="69"/>
      <c r="AY76" s="77"/>
      <c r="AZ76" s="61"/>
      <c r="BA76" s="14"/>
      <c r="BB76" s="61"/>
      <c r="BC76" s="61"/>
      <c r="BD76" s="61"/>
      <c r="BE76" s="17"/>
      <c r="BF76" s="17"/>
      <c r="BG76" s="17"/>
      <c r="BH76" s="14"/>
      <c r="BI76" s="49"/>
      <c r="BJ76" s="78"/>
      <c r="BK76" s="69"/>
      <c r="BL76" s="69"/>
      <c r="BM76" s="69"/>
      <c r="BN76" s="77"/>
      <c r="BO76" s="69"/>
      <c r="BP76" s="14"/>
      <c r="BQ76" s="61"/>
      <c r="BR76" s="61"/>
      <c r="BS76" s="61"/>
      <c r="BT76" s="61"/>
      <c r="BU76" s="49"/>
      <c r="BV76" s="49"/>
      <c r="BW76" s="16"/>
      <c r="BX76" s="49"/>
      <c r="BY76" s="78"/>
      <c r="BZ76" s="69"/>
      <c r="CA76" s="69"/>
      <c r="CB76" s="69"/>
      <c r="CC76" s="77"/>
      <c r="CD76" s="49"/>
      <c r="CE76" s="49"/>
      <c r="CF76" s="16"/>
      <c r="CG76" s="14"/>
      <c r="CH76" s="26"/>
      <c r="CK76" s="26"/>
      <c r="CL76" s="16"/>
      <c r="CM76" s="49"/>
      <c r="CN76" s="78"/>
      <c r="CO76" s="69"/>
      <c r="CP76" s="69"/>
      <c r="CQ76" s="69"/>
      <c r="CR76" s="77"/>
      <c r="CS76" s="61"/>
      <c r="CT76" s="61"/>
      <c r="CU76" s="61"/>
      <c r="CV76" s="61"/>
      <c r="CW76" s="61"/>
      <c r="DB76" s="61"/>
      <c r="DC76" s="78"/>
      <c r="DD76" s="49"/>
      <c r="DE76" s="49"/>
      <c r="DF76" s="49"/>
      <c r="DG76" s="49"/>
      <c r="DH76" s="77"/>
      <c r="DI76" s="61"/>
      <c r="DJ76" s="61"/>
      <c r="DK76" s="61"/>
      <c r="DS76" s="78"/>
      <c r="DT76" s="49"/>
      <c r="DU76" s="49"/>
      <c r="DV76" s="49"/>
      <c r="DW76" s="77"/>
      <c r="DX76" s="61"/>
      <c r="DY76" s="61"/>
      <c r="DZ76" s="61"/>
      <c r="EA76" s="61"/>
      <c r="EB76" s="61"/>
      <c r="EC76" s="61"/>
      <c r="ED76" s="61"/>
      <c r="EE76" s="61"/>
      <c r="EG76" s="61"/>
      <c r="EH76" s="78"/>
      <c r="EI76" s="49"/>
      <c r="EJ76" s="49"/>
      <c r="EK76" s="49"/>
      <c r="EL76" s="77"/>
      <c r="EM76" s="61"/>
      <c r="EN76" s="61"/>
      <c r="EO76" s="61"/>
      <c r="EP76" s="61"/>
    </row>
    <row r="77" spans="1:146" ht="15.75" thickBot="1">
      <c r="A77" s="1173" t="s">
        <v>42</v>
      </c>
      <c r="B77" s="3531"/>
      <c r="C77" s="1174"/>
      <c r="D77" s="1165" t="s">
        <v>65</v>
      </c>
      <c r="E77" s="1146">
        <v>0</v>
      </c>
      <c r="F77" s="1147">
        <v>0</v>
      </c>
      <c r="G77" s="1147">
        <v>4.0999999999999996</v>
      </c>
      <c r="H77" s="1166">
        <v>6.35</v>
      </c>
      <c r="I77" s="1543">
        <v>1.6</v>
      </c>
      <c r="J77" s="1147">
        <v>0</v>
      </c>
      <c r="K77" s="1175">
        <v>0</v>
      </c>
      <c r="L77" s="1134">
        <v>0</v>
      </c>
      <c r="M77" s="1135">
        <v>0</v>
      </c>
      <c r="N77" s="1209">
        <v>0</v>
      </c>
      <c r="O77" s="1209">
        <v>0</v>
      </c>
      <c r="P77" s="1209"/>
      <c r="Q77" s="1184">
        <v>0</v>
      </c>
      <c r="R77" s="1127">
        <v>0</v>
      </c>
      <c r="S77" s="387">
        <v>0</v>
      </c>
      <c r="T77" s="387">
        <v>0</v>
      </c>
      <c r="U77" s="389">
        <v>0</v>
      </c>
      <c r="V77" s="387">
        <v>0</v>
      </c>
      <c r="W77" s="830">
        <v>0</v>
      </c>
      <c r="X77" s="387">
        <v>0</v>
      </c>
      <c r="Y77" s="1046">
        <v>0</v>
      </c>
      <c r="Z77" s="1046">
        <v>0</v>
      </c>
      <c r="AA77" s="1046">
        <v>0</v>
      </c>
      <c r="AB77" s="1046">
        <v>1</v>
      </c>
      <c r="AC77" s="1046">
        <v>0</v>
      </c>
      <c r="AD77" s="1046"/>
      <c r="AE77" s="1046"/>
      <c r="AF77" s="1046"/>
      <c r="AG77" s="69"/>
      <c r="AH77" s="49"/>
      <c r="AI77" s="69"/>
      <c r="AJ77" s="77"/>
      <c r="AK77" s="82"/>
      <c r="AL77" s="82"/>
      <c r="AM77" s="61"/>
      <c r="AN77" s="26"/>
      <c r="AO77" s="18"/>
      <c r="AP77" s="18"/>
      <c r="AQ77" s="18"/>
      <c r="AR77" s="14"/>
      <c r="AS77" s="26"/>
      <c r="AT77" s="18"/>
      <c r="AU77" s="78"/>
      <c r="AV77" s="69"/>
      <c r="AW77" s="69"/>
      <c r="AX77" s="69"/>
      <c r="AY77" s="77"/>
      <c r="AZ77" s="61"/>
      <c r="BA77" s="14"/>
      <c r="BB77" s="61"/>
      <c r="BC77" s="61"/>
      <c r="BD77" s="61"/>
      <c r="BE77" s="18"/>
      <c r="BF77" s="18"/>
      <c r="BG77" s="18"/>
      <c r="BH77" s="14"/>
      <c r="BI77" s="82"/>
      <c r="BJ77" s="78"/>
      <c r="BK77" s="69"/>
      <c r="BL77" s="69"/>
      <c r="BM77" s="69"/>
      <c r="BN77" s="77"/>
      <c r="BO77" s="82"/>
      <c r="BP77" s="14"/>
      <c r="BQ77" s="61"/>
      <c r="BR77" s="61"/>
      <c r="BS77" s="61"/>
      <c r="BT77" s="61"/>
      <c r="BU77" s="82"/>
      <c r="BV77" s="82"/>
      <c r="BW77" s="18"/>
      <c r="BX77" s="82"/>
      <c r="BY77" s="78"/>
      <c r="BZ77" s="69"/>
      <c r="CA77" s="69"/>
      <c r="CB77" s="69"/>
      <c r="CC77" s="77"/>
      <c r="CD77" s="82"/>
      <c r="CE77" s="82"/>
      <c r="CF77" s="18"/>
      <c r="CG77" s="14"/>
      <c r="CH77" s="26"/>
      <c r="CK77" s="26"/>
      <c r="CL77" s="18"/>
      <c r="CM77" s="82"/>
      <c r="CN77" s="78"/>
      <c r="CO77" s="69"/>
      <c r="CP77" s="69"/>
      <c r="CQ77" s="69"/>
      <c r="CR77" s="77"/>
      <c r="CS77" s="61"/>
      <c r="CT77" s="61"/>
      <c r="CU77" s="61"/>
      <c r="CV77" s="61"/>
      <c r="CW77" s="61"/>
      <c r="DB77" s="61"/>
      <c r="DC77" s="78"/>
      <c r="DD77" s="49"/>
      <c r="DE77" s="49"/>
      <c r="DF77" s="49"/>
      <c r="DG77" s="49"/>
      <c r="DH77" s="77"/>
      <c r="DI77" s="61"/>
      <c r="DJ77" s="61"/>
      <c r="DK77" s="61"/>
      <c r="DS77" s="78"/>
      <c r="DT77" s="49"/>
      <c r="DU77" s="49"/>
      <c r="DV77" s="49"/>
      <c r="DW77" s="77"/>
      <c r="DX77" s="61"/>
      <c r="DY77" s="61"/>
      <c r="DZ77" s="61"/>
      <c r="EA77" s="61"/>
      <c r="EB77" s="61"/>
      <c r="EC77" s="61"/>
      <c r="ED77" s="61"/>
      <c r="EE77" s="61"/>
      <c r="EG77" s="61"/>
      <c r="EH77" s="78"/>
      <c r="EI77" s="49"/>
      <c r="EJ77" s="49"/>
      <c r="EK77" s="49"/>
      <c r="EL77" s="77"/>
      <c r="EM77" s="61"/>
      <c r="EN77" s="61"/>
      <c r="EO77" s="61"/>
      <c r="EP77" s="61"/>
    </row>
    <row r="78" spans="1:146">
      <c r="A78" s="1008" t="s">
        <v>49</v>
      </c>
      <c r="B78" s="3526" t="s">
        <v>375</v>
      </c>
      <c r="C78" s="1009">
        <f>COUNTA(D78:D86)</f>
        <v>9</v>
      </c>
      <c r="D78" s="1161" t="s">
        <v>59</v>
      </c>
      <c r="E78" s="1112">
        <v>0.33</v>
      </c>
      <c r="F78" s="1114">
        <v>1</v>
      </c>
      <c r="G78" s="1114">
        <v>4.5</v>
      </c>
      <c r="H78" s="1162">
        <v>4.9000000000000004</v>
      </c>
      <c r="I78" s="1530">
        <v>5.93</v>
      </c>
      <c r="J78" s="1114">
        <v>1.085</v>
      </c>
      <c r="K78" s="1169">
        <v>0.46700000000000003</v>
      </c>
      <c r="L78" s="1116">
        <v>0.7</v>
      </c>
      <c r="M78" s="1117">
        <v>0.16</v>
      </c>
      <c r="N78" s="1118">
        <v>0</v>
      </c>
      <c r="O78" s="1118">
        <v>0</v>
      </c>
      <c r="P78" s="1207"/>
      <c r="Q78" s="2019">
        <v>0</v>
      </c>
      <c r="R78" s="396">
        <v>0</v>
      </c>
      <c r="S78" s="1127">
        <v>0</v>
      </c>
      <c r="T78" s="1127">
        <v>0</v>
      </c>
      <c r="U78" s="1127">
        <v>0</v>
      </c>
      <c r="V78" s="540">
        <v>0</v>
      </c>
      <c r="W78" s="1127">
        <v>0.82</v>
      </c>
      <c r="X78" s="1127">
        <v>0</v>
      </c>
      <c r="Y78" s="540">
        <v>0</v>
      </c>
      <c r="Z78" s="806">
        <v>0</v>
      </c>
      <c r="AA78" s="3329">
        <v>0</v>
      </c>
      <c r="AB78" s="806">
        <v>0</v>
      </c>
      <c r="AC78" s="540">
        <v>0</v>
      </c>
      <c r="AD78" s="806"/>
      <c r="AE78" s="3329"/>
      <c r="AF78" s="806"/>
      <c r="AG78" s="69"/>
      <c r="AH78" s="49"/>
      <c r="AI78" s="69"/>
      <c r="AJ78" s="77"/>
      <c r="AK78" s="14"/>
      <c r="AL78" s="14"/>
      <c r="AM78" s="61"/>
      <c r="AN78" s="26"/>
      <c r="AO78" s="14"/>
      <c r="AP78" s="14"/>
      <c r="AQ78" s="14"/>
      <c r="AR78" s="14"/>
      <c r="AS78" s="26"/>
      <c r="AT78" s="14"/>
      <c r="AU78" s="78"/>
      <c r="AV78" s="69"/>
      <c r="AW78" s="69"/>
      <c r="AX78" s="69"/>
      <c r="AY78" s="77"/>
      <c r="AZ78" s="61"/>
      <c r="BA78" s="14"/>
      <c r="BB78" s="61"/>
      <c r="BC78" s="61"/>
      <c r="BD78" s="61"/>
      <c r="BE78" s="14"/>
      <c r="BF78" s="14"/>
      <c r="BG78" s="14"/>
      <c r="BH78" s="14"/>
      <c r="BI78" s="30"/>
      <c r="BJ78" s="78"/>
      <c r="BK78" s="69"/>
      <c r="BL78" s="69"/>
      <c r="BM78" s="69"/>
      <c r="BN78" s="77"/>
      <c r="BO78" s="14"/>
      <c r="BP78" s="14"/>
      <c r="BQ78" s="61"/>
      <c r="BR78" s="61"/>
      <c r="BS78" s="61"/>
      <c r="BT78" s="61"/>
      <c r="BU78" s="30"/>
      <c r="BV78" s="30"/>
      <c r="BW78" s="30"/>
      <c r="BX78" s="30"/>
      <c r="BY78" s="78"/>
      <c r="BZ78" s="69"/>
      <c r="CA78" s="69"/>
      <c r="CB78" s="69"/>
      <c r="CC78" s="77"/>
      <c r="CD78" s="30"/>
      <c r="CE78" s="30"/>
      <c r="CF78" s="30"/>
      <c r="CG78" s="14"/>
      <c r="CH78" s="26"/>
      <c r="CK78" s="26"/>
      <c r="CL78" s="30"/>
      <c r="CM78" s="30"/>
      <c r="CN78" s="78"/>
      <c r="CO78" s="69"/>
      <c r="CP78" s="69"/>
      <c r="CQ78" s="69"/>
      <c r="CR78" s="77"/>
      <c r="CS78" s="61"/>
      <c r="CT78" s="61"/>
      <c r="CU78" s="61"/>
      <c r="CV78" s="61"/>
      <c r="CW78" s="61"/>
      <c r="DB78" s="61"/>
      <c r="DC78" s="78"/>
      <c r="DD78" s="49"/>
      <c r="DE78" s="49"/>
      <c r="DF78" s="49"/>
      <c r="DG78" s="49"/>
      <c r="DH78" s="77"/>
      <c r="DI78" s="61"/>
      <c r="DJ78" s="61"/>
      <c r="DK78" s="61"/>
      <c r="DS78" s="78"/>
      <c r="DT78" s="49"/>
      <c r="DU78" s="49"/>
      <c r="DV78" s="49"/>
      <c r="DW78" s="77"/>
      <c r="DX78" s="61"/>
      <c r="DY78" s="61"/>
      <c r="DZ78" s="61"/>
      <c r="EA78" s="61"/>
      <c r="EB78" s="61"/>
      <c r="EC78" s="61"/>
      <c r="ED78" s="61"/>
      <c r="EE78" s="61"/>
      <c r="EG78" s="61"/>
      <c r="EH78" s="78"/>
      <c r="EI78" s="49"/>
      <c r="EJ78" s="49"/>
      <c r="EK78" s="49"/>
      <c r="EL78" s="77"/>
      <c r="EM78" s="61"/>
      <c r="EN78" s="61"/>
      <c r="EO78" s="61"/>
      <c r="EP78" s="61"/>
    </row>
    <row r="79" spans="1:146">
      <c r="A79" s="1107" t="s">
        <v>49</v>
      </c>
      <c r="B79" s="3527"/>
      <c r="C79" s="1168"/>
      <c r="D79" s="1163" t="s">
        <v>61</v>
      </c>
      <c r="E79" s="1122">
        <v>2.37</v>
      </c>
      <c r="F79" s="1003">
        <v>0.9</v>
      </c>
      <c r="G79" s="1003">
        <v>3.7</v>
      </c>
      <c r="H79" s="1164">
        <v>6.3</v>
      </c>
      <c r="I79" s="324">
        <v>5.44</v>
      </c>
      <c r="J79" s="1003">
        <v>0.34</v>
      </c>
      <c r="K79" s="1172">
        <v>0.7</v>
      </c>
      <c r="L79" s="1005">
        <v>0.63</v>
      </c>
      <c r="M79" s="1125">
        <v>0.53</v>
      </c>
      <c r="N79" s="1126">
        <v>0</v>
      </c>
      <c r="O79" s="1126">
        <v>0</v>
      </c>
      <c r="P79" s="1208"/>
      <c r="Q79" s="143">
        <v>0</v>
      </c>
      <c r="R79" s="1126">
        <v>0</v>
      </c>
      <c r="S79" s="1127">
        <v>0</v>
      </c>
      <c r="T79" s="1127">
        <v>0</v>
      </c>
      <c r="U79" s="1127">
        <v>0</v>
      </c>
      <c r="V79" s="1127">
        <v>0</v>
      </c>
      <c r="W79" s="1127">
        <v>0.46</v>
      </c>
      <c r="X79" s="1127">
        <v>0</v>
      </c>
      <c r="Y79" s="1046">
        <v>0</v>
      </c>
      <c r="Z79" s="1046">
        <v>0</v>
      </c>
      <c r="AA79" s="3330">
        <v>0.4</v>
      </c>
      <c r="AB79" s="1046">
        <v>1.57</v>
      </c>
      <c r="AC79" s="1046">
        <v>0</v>
      </c>
      <c r="AD79" s="1046"/>
      <c r="AE79" s="3330"/>
      <c r="AF79" s="1046"/>
      <c r="AG79" s="69"/>
      <c r="AH79" s="49"/>
      <c r="AI79" s="69"/>
      <c r="AJ79" s="77"/>
      <c r="AK79" s="61"/>
      <c r="AL79" s="61"/>
      <c r="AM79" s="61"/>
      <c r="AN79" s="26"/>
      <c r="AO79" s="14"/>
      <c r="AP79" s="14"/>
      <c r="AQ79" s="14"/>
      <c r="AR79" s="14"/>
      <c r="AS79" s="26"/>
      <c r="AT79" s="14"/>
      <c r="AU79" s="78"/>
      <c r="AV79" s="69"/>
      <c r="AW79" s="69"/>
      <c r="AX79" s="69"/>
      <c r="AY79" s="77"/>
      <c r="AZ79" s="61"/>
      <c r="BA79" s="61"/>
      <c r="BB79" s="61"/>
      <c r="BC79" s="61"/>
      <c r="BD79" s="61"/>
      <c r="BE79" s="14"/>
      <c r="BF79" s="14"/>
      <c r="BG79" s="14"/>
      <c r="BH79" s="14"/>
      <c r="BI79" s="14"/>
      <c r="BJ79" s="78"/>
      <c r="BK79" s="69"/>
      <c r="BL79" s="69"/>
      <c r="BM79" s="69"/>
      <c r="BN79" s="77"/>
      <c r="BO79" s="14"/>
      <c r="BP79" s="14"/>
      <c r="BQ79" s="61"/>
      <c r="BR79" s="61"/>
      <c r="BS79" s="61"/>
      <c r="BT79" s="61"/>
      <c r="BU79" s="14"/>
      <c r="BV79" s="14"/>
      <c r="BW79" s="14"/>
      <c r="BX79" s="14"/>
      <c r="BY79" s="78"/>
      <c r="BZ79" s="69"/>
      <c r="CA79" s="69"/>
      <c r="CB79" s="69"/>
      <c r="CC79" s="77"/>
      <c r="CD79" s="14"/>
      <c r="CE79" s="14"/>
      <c r="CF79" s="14"/>
      <c r="CG79" s="14"/>
      <c r="CH79" s="26"/>
      <c r="CK79" s="26"/>
      <c r="CL79" s="14"/>
      <c r="CM79" s="14"/>
      <c r="CN79" s="78"/>
      <c r="CO79" s="69"/>
      <c r="CP79" s="69"/>
      <c r="CQ79" s="69"/>
      <c r="CR79" s="77"/>
      <c r="CS79" s="61"/>
      <c r="CT79" s="61"/>
      <c r="CU79" s="61"/>
      <c r="CV79" s="61"/>
      <c r="CW79" s="61"/>
      <c r="DB79" s="61"/>
      <c r="DC79" s="78"/>
      <c r="DD79" s="69"/>
      <c r="DE79" s="69"/>
      <c r="DF79" s="69"/>
      <c r="DG79" s="69"/>
      <c r="DH79" s="77"/>
      <c r="DI79" s="61"/>
      <c r="DJ79" s="61"/>
      <c r="DK79" s="61"/>
      <c r="DS79" s="78"/>
      <c r="DT79" s="69"/>
      <c r="DU79" s="69"/>
      <c r="DV79" s="69"/>
      <c r="DW79" s="77"/>
      <c r="DX79" s="61"/>
      <c r="DY79" s="61"/>
      <c r="DZ79" s="61"/>
      <c r="EA79" s="61"/>
      <c r="EB79" s="61"/>
      <c r="EC79" s="61"/>
      <c r="ED79" s="61"/>
      <c r="EE79" s="61"/>
      <c r="EG79" s="61"/>
      <c r="EH79" s="78"/>
      <c r="EI79" s="69"/>
      <c r="EJ79" s="69"/>
      <c r="EK79" s="69"/>
      <c r="EL79" s="77"/>
      <c r="EM79" s="61"/>
      <c r="EN79" s="61"/>
      <c r="EO79" s="61"/>
      <c r="EP79" s="61"/>
    </row>
    <row r="80" spans="1:146">
      <c r="A80" s="1107" t="s">
        <v>49</v>
      </c>
      <c r="B80" s="3527"/>
      <c r="C80" s="1168"/>
      <c r="D80" s="1163" t="s">
        <v>52</v>
      </c>
      <c r="E80" s="1122">
        <v>4.7300000000000004</v>
      </c>
      <c r="F80" s="1003">
        <v>2.1</v>
      </c>
      <c r="G80" s="1003">
        <v>6.6</v>
      </c>
      <c r="H80" s="1164">
        <v>6.6</v>
      </c>
      <c r="I80" s="324">
        <v>5.45</v>
      </c>
      <c r="J80" s="1003">
        <v>1.87</v>
      </c>
      <c r="K80" s="1172">
        <v>1.4670000000000001</v>
      </c>
      <c r="L80" s="1005">
        <v>2.17</v>
      </c>
      <c r="M80" s="1125">
        <v>0.33</v>
      </c>
      <c r="N80" s="1126">
        <v>0</v>
      </c>
      <c r="O80" s="1126">
        <v>0.8</v>
      </c>
      <c r="P80" s="1208"/>
      <c r="Q80" s="143">
        <v>0</v>
      </c>
      <c r="R80" s="1126">
        <v>0</v>
      </c>
      <c r="S80" s="1127">
        <v>0</v>
      </c>
      <c r="T80" s="1127">
        <v>0</v>
      </c>
      <c r="U80" s="1127">
        <v>0</v>
      </c>
      <c r="V80" s="1127">
        <v>0</v>
      </c>
      <c r="W80" s="1127">
        <v>1.62</v>
      </c>
      <c r="X80" s="1127">
        <v>0</v>
      </c>
      <c r="Y80" s="1046">
        <v>0</v>
      </c>
      <c r="Z80" s="1046">
        <v>0</v>
      </c>
      <c r="AA80" s="3330">
        <v>1.23</v>
      </c>
      <c r="AB80" s="1046">
        <v>4.33</v>
      </c>
      <c r="AC80" s="1046">
        <v>0</v>
      </c>
      <c r="AD80" s="1046"/>
      <c r="AE80" s="3330"/>
      <c r="AF80" s="1046"/>
      <c r="AG80" s="69"/>
      <c r="AH80" s="49"/>
      <c r="AI80" s="69"/>
      <c r="AJ80" s="77"/>
      <c r="AK80" s="61"/>
      <c r="AL80" s="61"/>
      <c r="AM80" s="61"/>
      <c r="AN80" s="26"/>
      <c r="AO80" s="26"/>
      <c r="AP80" s="26"/>
      <c r="AQ80" s="26"/>
      <c r="AR80" s="26"/>
      <c r="AS80" s="26"/>
      <c r="AT80" s="26"/>
      <c r="AU80" s="78"/>
      <c r="AV80" s="69"/>
      <c r="AW80" s="69"/>
      <c r="AX80" s="69"/>
      <c r="AY80" s="77"/>
      <c r="AZ80" s="61"/>
      <c r="BA80" s="61"/>
      <c r="BB80" s="61"/>
      <c r="BC80" s="61"/>
      <c r="BD80" s="61"/>
      <c r="BE80" s="26"/>
      <c r="BF80" s="26"/>
      <c r="BG80" s="26"/>
      <c r="BH80" s="26"/>
      <c r="BI80" s="61"/>
      <c r="BJ80" s="78"/>
      <c r="BK80" s="69"/>
      <c r="BL80" s="69"/>
      <c r="BM80" s="69"/>
      <c r="BN80" s="77"/>
      <c r="BO80" s="61"/>
      <c r="BP80" s="61"/>
      <c r="BQ80" s="61"/>
      <c r="BR80" s="61"/>
      <c r="BS80" s="61"/>
      <c r="BT80" s="61"/>
      <c r="BU80" s="61"/>
      <c r="BV80" s="61"/>
      <c r="BW80" s="26"/>
      <c r="BX80" s="61"/>
      <c r="BY80" s="78"/>
      <c r="BZ80" s="69"/>
      <c r="CA80" s="69"/>
      <c r="CB80" s="69"/>
      <c r="CC80" s="77"/>
      <c r="CD80" s="61"/>
      <c r="CE80" s="61"/>
      <c r="CF80" s="26"/>
      <c r="CG80" s="26"/>
      <c r="CH80" s="26"/>
      <c r="CK80" s="26"/>
      <c r="CL80" s="26"/>
      <c r="CM80" s="61"/>
      <c r="CN80" s="78"/>
      <c r="CO80" s="69"/>
      <c r="CP80" s="69"/>
      <c r="CQ80" s="69"/>
      <c r="CR80" s="77"/>
      <c r="CS80" s="61"/>
      <c r="CT80" s="61"/>
      <c r="CU80" s="61"/>
      <c r="CV80" s="61"/>
      <c r="CW80" s="61"/>
      <c r="DB80" s="61"/>
      <c r="DC80" s="78"/>
      <c r="DD80" s="49"/>
      <c r="DE80" s="49"/>
      <c r="DF80" s="49"/>
      <c r="DG80" s="49"/>
      <c r="DH80" s="77"/>
      <c r="DI80" s="61"/>
      <c r="DJ80" s="61"/>
      <c r="DK80" s="61"/>
      <c r="DS80" s="78"/>
      <c r="DT80" s="49"/>
      <c r="DU80" s="49"/>
      <c r="DV80" s="49"/>
      <c r="DW80" s="77"/>
      <c r="DX80" s="61"/>
      <c r="DY80" s="61"/>
      <c r="DZ80" s="61"/>
      <c r="EA80" s="61"/>
      <c r="EB80" s="61"/>
      <c r="EC80" s="61"/>
      <c r="ED80" s="61"/>
      <c r="EE80" s="61"/>
      <c r="EG80" s="61"/>
      <c r="EH80" s="78"/>
      <c r="EI80" s="49"/>
      <c r="EJ80" s="49"/>
      <c r="EK80" s="49"/>
      <c r="EL80" s="77"/>
      <c r="EM80" s="61"/>
      <c r="EN80" s="61"/>
      <c r="EO80" s="61"/>
      <c r="EP80" s="61"/>
    </row>
    <row r="81" spans="1:146">
      <c r="A81" s="1107" t="s">
        <v>49</v>
      </c>
      <c r="B81" s="3527"/>
      <c r="C81" s="1168"/>
      <c r="D81" s="1163" t="s">
        <v>193</v>
      </c>
      <c r="E81" s="1122">
        <v>0.67</v>
      </c>
      <c r="F81" s="1003">
        <v>0.1</v>
      </c>
      <c r="G81" s="1003">
        <v>5.3</v>
      </c>
      <c r="H81" s="1164">
        <v>6.2</v>
      </c>
      <c r="I81" s="324">
        <v>4.6500000000000004</v>
      </c>
      <c r="J81" s="1003">
        <v>1.91</v>
      </c>
      <c r="K81" s="1172">
        <v>0</v>
      </c>
      <c r="L81" s="1005">
        <v>0</v>
      </c>
      <c r="M81" s="1125">
        <v>0</v>
      </c>
      <c r="N81" s="1126">
        <v>0</v>
      </c>
      <c r="O81" s="1126">
        <v>0</v>
      </c>
      <c r="P81" s="1208"/>
      <c r="Q81" s="143">
        <v>0</v>
      </c>
      <c r="R81" s="1126">
        <v>0</v>
      </c>
      <c r="S81" s="1127">
        <v>0</v>
      </c>
      <c r="T81" s="1127">
        <v>0</v>
      </c>
      <c r="U81" s="1127">
        <v>0</v>
      </c>
      <c r="V81" s="1127">
        <v>0</v>
      </c>
      <c r="W81" s="1127">
        <v>2.29</v>
      </c>
      <c r="X81" s="1127">
        <v>0</v>
      </c>
      <c r="Y81" s="1046">
        <v>0</v>
      </c>
      <c r="Z81" s="1046">
        <v>0</v>
      </c>
      <c r="AA81" s="3330">
        <v>0.33</v>
      </c>
      <c r="AB81" s="1046">
        <v>0</v>
      </c>
      <c r="AC81" s="1046">
        <v>0</v>
      </c>
      <c r="AD81" s="1046"/>
      <c r="AE81" s="3330"/>
      <c r="AF81" s="1046"/>
      <c r="AG81" s="14"/>
      <c r="AH81" s="14"/>
      <c r="AI81" s="14"/>
      <c r="AJ81" s="61"/>
      <c r="AK81" s="61"/>
      <c r="AL81" s="61"/>
      <c r="AM81" s="61"/>
      <c r="AN81" s="26"/>
      <c r="AO81" s="26"/>
      <c r="AP81" s="26"/>
      <c r="AQ81" s="26"/>
      <c r="AR81" s="26"/>
      <c r="AS81" s="26"/>
      <c r="AT81" s="26"/>
      <c r="AU81" s="78"/>
      <c r="AV81" s="14"/>
      <c r="AW81" s="14"/>
      <c r="AX81" s="14"/>
      <c r="AY81" s="61"/>
      <c r="AZ81" s="61"/>
      <c r="BA81" s="61"/>
      <c r="BB81" s="61"/>
      <c r="BC81" s="61"/>
      <c r="BD81" s="61"/>
      <c r="BE81" s="26"/>
      <c r="BF81" s="26"/>
      <c r="BG81" s="26"/>
      <c r="BH81" s="26"/>
      <c r="BI81" s="61"/>
      <c r="BJ81" s="78"/>
      <c r="BK81" s="38"/>
      <c r="BL81" s="38"/>
      <c r="BM81" s="38"/>
      <c r="BN81" s="61"/>
      <c r="BO81" s="61"/>
      <c r="BP81" s="61"/>
      <c r="BQ81" s="61"/>
      <c r="BR81" s="61"/>
      <c r="BS81" s="61"/>
      <c r="BT81" s="61"/>
      <c r="BU81" s="61"/>
      <c r="BV81" s="61"/>
      <c r="BW81" s="26"/>
      <c r="BX81" s="61"/>
      <c r="BY81" s="78"/>
      <c r="BZ81" s="38"/>
      <c r="CA81" s="38"/>
      <c r="CB81" s="38"/>
      <c r="CC81" s="61"/>
      <c r="CD81" s="61"/>
      <c r="CE81" s="61"/>
      <c r="CF81" s="26"/>
      <c r="CG81" s="26"/>
      <c r="CH81" s="26"/>
      <c r="CM81" s="61"/>
      <c r="CN81" s="78"/>
      <c r="CO81" s="38"/>
      <c r="CP81" s="38"/>
      <c r="CQ81" s="38"/>
      <c r="CR81" s="61"/>
      <c r="CS81" s="61"/>
      <c r="CT81" s="61"/>
      <c r="CU81" s="61"/>
      <c r="CV81" s="61"/>
      <c r="CW81" s="61"/>
      <c r="DB81" s="61"/>
      <c r="DC81" s="78"/>
      <c r="DD81" s="38"/>
      <c r="DE81" s="38"/>
      <c r="DF81" s="38"/>
      <c r="DG81" s="61"/>
      <c r="DH81" s="61"/>
      <c r="DI81" s="61"/>
      <c r="DJ81" s="61"/>
      <c r="DK81" s="61"/>
      <c r="DS81" s="78"/>
      <c r="DT81" s="38"/>
      <c r="DU81" s="38"/>
      <c r="DV81" s="38"/>
      <c r="DW81" s="61"/>
      <c r="DX81" s="61"/>
      <c r="DY81" s="61"/>
      <c r="DZ81" s="61"/>
      <c r="EA81" s="61"/>
      <c r="EB81" s="61"/>
      <c r="EC81" s="61"/>
      <c r="ED81" s="61"/>
      <c r="EE81" s="61"/>
      <c r="EG81" s="61"/>
      <c r="EH81" s="78"/>
      <c r="EI81" s="38"/>
      <c r="EJ81" s="38"/>
      <c r="EK81" s="38"/>
      <c r="EL81" s="61"/>
      <c r="EM81" s="61"/>
      <c r="EN81" s="61"/>
      <c r="EO81" s="61"/>
      <c r="EP81" s="61"/>
    </row>
    <row r="82" spans="1:146">
      <c r="A82" s="1107" t="s">
        <v>49</v>
      </c>
      <c r="B82" s="3527"/>
      <c r="C82" s="1168"/>
      <c r="D82" s="1163" t="s">
        <v>50</v>
      </c>
      <c r="E82" s="1122">
        <v>2.13</v>
      </c>
      <c r="F82" s="1003">
        <v>2.7</v>
      </c>
      <c r="G82" s="1003">
        <v>4.5999999999999996</v>
      </c>
      <c r="H82" s="1164">
        <v>5.7</v>
      </c>
      <c r="I82" s="324">
        <v>1.17</v>
      </c>
      <c r="J82" s="1003">
        <v>2.48</v>
      </c>
      <c r="K82" s="1172">
        <v>0.6</v>
      </c>
      <c r="L82" s="1005">
        <v>1.27</v>
      </c>
      <c r="M82" s="1125">
        <v>0.13</v>
      </c>
      <c r="N82" s="1126">
        <v>0</v>
      </c>
      <c r="O82" s="1126">
        <v>0.2</v>
      </c>
      <c r="P82" s="1208"/>
      <c r="Q82" s="143">
        <v>0</v>
      </c>
      <c r="R82" s="1126">
        <v>0</v>
      </c>
      <c r="S82" s="1127">
        <v>0</v>
      </c>
      <c r="T82" s="1127">
        <v>0</v>
      </c>
      <c r="U82" s="1127">
        <v>0</v>
      </c>
      <c r="V82" s="1127">
        <v>0</v>
      </c>
      <c r="W82" s="1127">
        <v>1.19</v>
      </c>
      <c r="X82" s="1127">
        <v>0</v>
      </c>
      <c r="Y82" s="1046">
        <v>0</v>
      </c>
      <c r="Z82" s="1046">
        <v>0</v>
      </c>
      <c r="AA82" s="3330">
        <v>0.93</v>
      </c>
      <c r="AB82" s="1046">
        <v>1.43</v>
      </c>
      <c r="AC82" s="1046">
        <v>0</v>
      </c>
      <c r="AD82" s="1046"/>
      <c r="AE82" s="3330"/>
      <c r="AF82" s="1046"/>
      <c r="AG82" s="61"/>
      <c r="AH82" s="61"/>
      <c r="AI82" s="61"/>
      <c r="AJ82" s="61"/>
      <c r="AK82" s="61"/>
      <c r="AL82" s="61"/>
      <c r="AM82" s="61"/>
      <c r="AN82" s="26"/>
      <c r="AO82" s="26"/>
      <c r="AP82" s="26"/>
      <c r="AQ82" s="26"/>
      <c r="AR82" s="26"/>
      <c r="AS82" s="26"/>
      <c r="AT82" s="26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26"/>
      <c r="BF82" s="26"/>
      <c r="BG82" s="26"/>
      <c r="BH82" s="26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26"/>
      <c r="BX82" s="61"/>
      <c r="BY82" s="61"/>
      <c r="BZ82" s="61"/>
      <c r="CA82" s="61"/>
      <c r="CB82" s="61"/>
      <c r="CC82" s="61"/>
      <c r="CD82" s="61"/>
      <c r="CE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</row>
    <row r="83" spans="1:146">
      <c r="A83" s="1107" t="s">
        <v>49</v>
      </c>
      <c r="B83" s="3527"/>
      <c r="C83" s="1168"/>
      <c r="D83" s="1163" t="s">
        <v>58</v>
      </c>
      <c r="E83" s="1122">
        <v>0.83</v>
      </c>
      <c r="F83" s="1003">
        <v>0.2</v>
      </c>
      <c r="G83" s="1003">
        <v>3.3</v>
      </c>
      <c r="H83" s="1164">
        <v>5.62</v>
      </c>
      <c r="I83" s="324">
        <v>4.62</v>
      </c>
      <c r="J83" s="1003">
        <v>1.25</v>
      </c>
      <c r="K83" s="1172">
        <v>0</v>
      </c>
      <c r="L83" s="1005">
        <v>0</v>
      </c>
      <c r="M83" s="1125">
        <v>0</v>
      </c>
      <c r="N83" s="1126">
        <v>0</v>
      </c>
      <c r="O83" s="1126">
        <v>0</v>
      </c>
      <c r="P83" s="1208"/>
      <c r="Q83" s="143">
        <v>0</v>
      </c>
      <c r="R83" s="1126">
        <v>0</v>
      </c>
      <c r="S83" s="1127">
        <v>0</v>
      </c>
      <c r="T83" s="1127">
        <v>0</v>
      </c>
      <c r="U83" s="1127">
        <v>0</v>
      </c>
      <c r="V83" s="1127">
        <v>0</v>
      </c>
      <c r="W83" s="1127">
        <v>0.87</v>
      </c>
      <c r="X83" s="1127">
        <v>0</v>
      </c>
      <c r="Y83" s="1046">
        <v>0</v>
      </c>
      <c r="Z83" s="1046">
        <v>0</v>
      </c>
      <c r="AA83" s="3330">
        <v>0.33</v>
      </c>
      <c r="AB83" s="1046">
        <v>0</v>
      </c>
      <c r="AC83" s="1046">
        <v>0</v>
      </c>
      <c r="AD83" s="1046"/>
      <c r="AE83" s="3330"/>
      <c r="AF83" s="1046"/>
      <c r="AG83" s="61"/>
      <c r="AH83" s="61"/>
      <c r="AI83" s="61"/>
      <c r="AJ83" s="61"/>
      <c r="AK83" s="61"/>
      <c r="AL83" s="61"/>
      <c r="AM83" s="61"/>
      <c r="AN83" s="26"/>
      <c r="AO83" s="26"/>
      <c r="AP83" s="26"/>
      <c r="AQ83" s="26"/>
      <c r="AR83" s="26"/>
      <c r="AS83" s="26"/>
      <c r="AT83" s="26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26"/>
      <c r="BF83" s="26"/>
      <c r="BG83" s="26"/>
      <c r="BH83" s="26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26"/>
      <c r="BX83" s="61"/>
      <c r="BY83" s="61"/>
      <c r="BZ83" s="61"/>
      <c r="CA83" s="61"/>
      <c r="CB83" s="61"/>
      <c r="CC83" s="61"/>
      <c r="CD83" s="61"/>
      <c r="CE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</row>
    <row r="84" spans="1:146">
      <c r="A84" s="1107" t="s">
        <v>49</v>
      </c>
      <c r="B84" s="3527"/>
      <c r="C84" s="1168"/>
      <c r="D84" s="1163" t="s">
        <v>194</v>
      </c>
      <c r="E84" s="1122">
        <v>0.5</v>
      </c>
      <c r="F84" s="1003">
        <v>0.8</v>
      </c>
      <c r="G84" s="1003">
        <v>2</v>
      </c>
      <c r="H84" s="1164">
        <v>2.9</v>
      </c>
      <c r="I84" s="324">
        <v>8.56</v>
      </c>
      <c r="J84" s="1003">
        <v>0.54</v>
      </c>
      <c r="K84" s="1172">
        <v>0</v>
      </c>
      <c r="L84" s="1005">
        <v>0</v>
      </c>
      <c r="M84" s="1125">
        <v>0</v>
      </c>
      <c r="N84" s="1126">
        <v>0</v>
      </c>
      <c r="O84" s="1126">
        <v>0</v>
      </c>
      <c r="P84" s="1208"/>
      <c r="Q84" s="143">
        <v>0</v>
      </c>
      <c r="R84" s="1126">
        <v>0</v>
      </c>
      <c r="S84" s="1127">
        <v>0</v>
      </c>
      <c r="T84" s="1127">
        <v>0</v>
      </c>
      <c r="U84" s="1127">
        <v>0</v>
      </c>
      <c r="V84" s="1127">
        <v>0</v>
      </c>
      <c r="W84" s="1127">
        <v>1.28</v>
      </c>
      <c r="X84" s="1127">
        <v>0</v>
      </c>
      <c r="Y84" s="1046">
        <v>0</v>
      </c>
      <c r="Z84" s="1046">
        <v>0</v>
      </c>
      <c r="AA84" s="3330">
        <v>0.47</v>
      </c>
      <c r="AB84" s="1046">
        <v>0</v>
      </c>
      <c r="AC84" s="1046">
        <v>0</v>
      </c>
      <c r="AD84" s="1046"/>
      <c r="AE84" s="3330"/>
      <c r="AF84" s="1046"/>
      <c r="AG84" s="61"/>
      <c r="AH84" s="61"/>
      <c r="AI84" s="61"/>
      <c r="AJ84" s="61"/>
      <c r="AK84" s="61"/>
      <c r="AL84" s="61"/>
      <c r="AM84" s="61"/>
      <c r="AN84" s="26"/>
      <c r="AO84" s="26"/>
      <c r="AP84" s="26"/>
      <c r="AQ84" s="26"/>
      <c r="AR84" s="26"/>
      <c r="AS84" s="26"/>
      <c r="AT84" s="26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26"/>
      <c r="BF84" s="26"/>
      <c r="BG84" s="26"/>
      <c r="BH84" s="26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X84" s="61"/>
      <c r="BY84" s="61"/>
      <c r="BZ84" s="61"/>
      <c r="CA84" s="61"/>
      <c r="CB84" s="61"/>
      <c r="CC84" s="61"/>
      <c r="CD84" s="61"/>
      <c r="CE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S84" s="61"/>
      <c r="DT84" s="61"/>
      <c r="DU84" s="61"/>
      <c r="DV84" s="61"/>
      <c r="DW84" s="61"/>
      <c r="DX84" s="61"/>
      <c r="DY84" s="61"/>
      <c r="DZ84" s="61"/>
      <c r="EA84" s="61"/>
      <c r="EB84" s="61"/>
      <c r="EC84" s="61"/>
      <c r="ED84" s="61"/>
      <c r="EE84" s="61"/>
      <c r="EG84" s="61"/>
      <c r="EH84" s="61"/>
      <c r="EI84" s="61"/>
      <c r="EJ84" s="61"/>
      <c r="EK84" s="61"/>
      <c r="EL84" s="61"/>
      <c r="EM84" s="61"/>
      <c r="EN84" s="61"/>
      <c r="EO84" s="61"/>
      <c r="EP84" s="61"/>
    </row>
    <row r="85" spans="1:146">
      <c r="A85" s="1107" t="s">
        <v>49</v>
      </c>
      <c r="B85" s="3527"/>
      <c r="C85" s="1168"/>
      <c r="D85" s="1121" t="s">
        <v>57</v>
      </c>
      <c r="E85" s="1122">
        <v>0</v>
      </c>
      <c r="F85" s="1122">
        <v>1.5</v>
      </c>
      <c r="G85" s="1122">
        <v>1.27</v>
      </c>
      <c r="H85" s="1123">
        <v>2.23</v>
      </c>
      <c r="I85" s="2431">
        <v>0.3</v>
      </c>
      <c r="J85" s="1003">
        <v>3.92</v>
      </c>
      <c r="K85" s="1004">
        <v>0.7</v>
      </c>
      <c r="L85" s="1005">
        <v>0</v>
      </c>
      <c r="M85" s="1125">
        <v>0</v>
      </c>
      <c r="N85" s="1609">
        <v>0</v>
      </c>
      <c r="O85" s="1609">
        <v>0</v>
      </c>
      <c r="P85" s="2025"/>
      <c r="Q85" s="143">
        <v>0</v>
      </c>
      <c r="R85" s="1126">
        <v>0</v>
      </c>
      <c r="S85" s="1127">
        <v>0</v>
      </c>
      <c r="T85" s="1127">
        <v>0</v>
      </c>
      <c r="U85" s="1127">
        <v>0</v>
      </c>
      <c r="V85" s="1127">
        <v>0</v>
      </c>
      <c r="W85" s="1127">
        <v>1.1399999999999999</v>
      </c>
      <c r="X85" s="1127">
        <v>0</v>
      </c>
      <c r="Y85" s="1046">
        <v>0</v>
      </c>
      <c r="Z85" s="1046">
        <v>0</v>
      </c>
      <c r="AA85" s="3330">
        <v>0.63</v>
      </c>
      <c r="AB85" s="1046">
        <v>0</v>
      </c>
      <c r="AC85" s="1046">
        <v>0</v>
      </c>
      <c r="AD85" s="1046"/>
      <c r="AE85" s="3330"/>
      <c r="AF85" s="1046"/>
      <c r="AG85" s="61"/>
      <c r="AH85" s="61"/>
      <c r="AI85" s="61"/>
      <c r="AJ85" s="61"/>
      <c r="AK85" s="61"/>
      <c r="AL85" s="61"/>
      <c r="AM85" s="61"/>
      <c r="AN85" s="26"/>
      <c r="AO85" s="26"/>
      <c r="AP85" s="26"/>
      <c r="AQ85" s="26"/>
      <c r="AR85" s="26"/>
      <c r="AS85" s="26"/>
      <c r="AT85" s="26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S85" s="61"/>
      <c r="DT85" s="61"/>
      <c r="DU85" s="61"/>
      <c r="DV85" s="61"/>
      <c r="DW85" s="61"/>
      <c r="DX85" s="61"/>
      <c r="DY85" s="61"/>
      <c r="DZ85" s="61"/>
      <c r="EA85" s="61"/>
      <c r="EB85" s="61"/>
      <c r="EC85" s="61"/>
      <c r="ED85" s="61"/>
      <c r="EE85" s="61"/>
      <c r="EG85" s="61"/>
      <c r="EH85" s="61"/>
      <c r="EI85" s="61"/>
      <c r="EJ85" s="61"/>
      <c r="EK85" s="61"/>
      <c r="EL85" s="61"/>
      <c r="EM85" s="61"/>
      <c r="EN85" s="61"/>
      <c r="EO85" s="61"/>
      <c r="EP85" s="61"/>
    </row>
    <row r="86" spans="1:146" ht="15.75" thickBot="1">
      <c r="A86" s="1109" t="s">
        <v>49</v>
      </c>
      <c r="B86" s="3528"/>
      <c r="C86" s="1176"/>
      <c r="D86" s="1607" t="s">
        <v>60</v>
      </c>
      <c r="E86" s="1148">
        <v>0</v>
      </c>
      <c r="F86" s="1175">
        <v>0.2</v>
      </c>
      <c r="G86" s="1175">
        <v>0.7</v>
      </c>
      <c r="H86" s="1608">
        <v>2.8</v>
      </c>
      <c r="I86" s="2434">
        <v>6.46</v>
      </c>
      <c r="J86" s="1175">
        <v>0.75</v>
      </c>
      <c r="K86" s="1175">
        <v>0.5</v>
      </c>
      <c r="L86" s="1134">
        <v>0</v>
      </c>
      <c r="M86" s="1135">
        <v>0</v>
      </c>
      <c r="N86" s="1136">
        <v>0</v>
      </c>
      <c r="O86" s="1136">
        <v>0</v>
      </c>
      <c r="P86" s="1209"/>
      <c r="Q86" s="2020">
        <v>0</v>
      </c>
      <c r="R86" s="1829">
        <v>0</v>
      </c>
      <c r="S86" s="387">
        <v>0</v>
      </c>
      <c r="T86" s="387">
        <v>0</v>
      </c>
      <c r="U86" s="387">
        <v>0</v>
      </c>
      <c r="V86" s="387">
        <v>0</v>
      </c>
      <c r="W86" s="387">
        <v>0.7</v>
      </c>
      <c r="X86" s="387">
        <v>0</v>
      </c>
      <c r="Y86" s="1046">
        <v>0</v>
      </c>
      <c r="Z86" s="1046">
        <v>0</v>
      </c>
      <c r="AA86" s="3330">
        <v>0</v>
      </c>
      <c r="AB86" s="1046">
        <v>0</v>
      </c>
      <c r="AC86" s="1046">
        <v>0</v>
      </c>
      <c r="AD86" s="1046"/>
      <c r="AE86" s="3330"/>
      <c r="AF86" s="1046"/>
      <c r="AG86" s="61"/>
      <c r="AH86" s="61"/>
      <c r="AI86" s="61"/>
      <c r="AJ86" s="61"/>
      <c r="AK86" s="61"/>
      <c r="AL86" s="61"/>
      <c r="AM86" s="61"/>
      <c r="AN86" s="26"/>
      <c r="AO86" s="26"/>
      <c r="AP86" s="26"/>
      <c r="AQ86" s="26"/>
      <c r="AR86" s="26"/>
      <c r="AS86" s="26"/>
      <c r="AT86" s="26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</row>
    <row r="87" spans="1:146">
      <c r="A87" s="1014" t="s">
        <v>40</v>
      </c>
      <c r="B87" s="3529" t="s">
        <v>374</v>
      </c>
      <c r="C87" s="993">
        <f>COUNTA(D87:D96)</f>
        <v>10</v>
      </c>
      <c r="D87" s="1161" t="s">
        <v>41</v>
      </c>
      <c r="E87" s="1112">
        <v>0</v>
      </c>
      <c r="F87" s="1112">
        <v>0.3</v>
      </c>
      <c r="G87" s="1112">
        <v>4.01</v>
      </c>
      <c r="H87" s="1113">
        <v>3.71</v>
      </c>
      <c r="I87" s="2430">
        <v>0</v>
      </c>
      <c r="J87" s="1114">
        <v>9.56</v>
      </c>
      <c r="K87" s="1115">
        <v>0</v>
      </c>
      <c r="L87" s="1116">
        <v>1</v>
      </c>
      <c r="M87" s="1117">
        <v>0</v>
      </c>
      <c r="N87" s="1606">
        <v>0.3</v>
      </c>
      <c r="O87" s="1117">
        <v>0</v>
      </c>
      <c r="P87" s="2026"/>
      <c r="Q87" s="1241">
        <v>0</v>
      </c>
      <c r="R87" s="1126">
        <v>0</v>
      </c>
      <c r="S87" s="1127">
        <v>0</v>
      </c>
      <c r="T87" s="1127">
        <v>0</v>
      </c>
      <c r="U87" s="1127">
        <v>0</v>
      </c>
      <c r="V87" s="1127">
        <v>4.01</v>
      </c>
      <c r="W87" s="1127">
        <v>0</v>
      </c>
      <c r="X87" s="1127">
        <v>0</v>
      </c>
      <c r="Y87" s="540">
        <v>0</v>
      </c>
      <c r="Z87" s="3324">
        <v>0</v>
      </c>
      <c r="AA87" s="540">
        <v>0</v>
      </c>
      <c r="AB87" s="806">
        <v>0</v>
      </c>
      <c r="AC87" s="806">
        <v>0</v>
      </c>
      <c r="AD87" s="3324"/>
      <c r="AE87" s="540"/>
      <c r="AF87" s="806"/>
      <c r="AG87" s="61"/>
      <c r="AH87" s="61"/>
      <c r="AI87" s="61"/>
      <c r="AJ87" s="61"/>
      <c r="AK87" s="61"/>
      <c r="AL87" s="61"/>
      <c r="AM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</row>
    <row r="88" spans="1:146">
      <c r="A88" s="1170" t="s">
        <v>40</v>
      </c>
      <c r="B88" s="3530"/>
      <c r="C88" s="1171"/>
      <c r="D88" s="1163" t="s">
        <v>48</v>
      </c>
      <c r="E88" s="1122">
        <v>3.05</v>
      </c>
      <c r="F88" s="1122">
        <v>1.27</v>
      </c>
      <c r="G88" s="1122">
        <v>1.1299999999999999</v>
      </c>
      <c r="H88" s="1123">
        <v>4.1399999999999997</v>
      </c>
      <c r="I88" s="2431">
        <v>8.64</v>
      </c>
      <c r="J88" s="1003">
        <v>2.4900000000000002</v>
      </c>
      <c r="K88" s="1004">
        <v>0.23</v>
      </c>
      <c r="L88" s="1005">
        <v>0</v>
      </c>
      <c r="M88" s="1125">
        <v>0</v>
      </c>
      <c r="N88" s="1177">
        <v>0.5</v>
      </c>
      <c r="O88" s="1125">
        <v>0</v>
      </c>
      <c r="P88" s="2027"/>
      <c r="Q88" s="1183">
        <v>0</v>
      </c>
      <c r="R88" s="1126">
        <v>0</v>
      </c>
      <c r="S88" s="1127">
        <v>0</v>
      </c>
      <c r="T88" s="1127">
        <v>0</v>
      </c>
      <c r="U88" s="1127">
        <v>0</v>
      </c>
      <c r="V88" s="1127">
        <v>0.94</v>
      </c>
      <c r="W88" s="1127">
        <v>0</v>
      </c>
      <c r="X88" s="1127">
        <v>0</v>
      </c>
      <c r="Y88" s="1046">
        <v>0</v>
      </c>
      <c r="Z88" s="61">
        <v>0</v>
      </c>
      <c r="AA88" s="1127">
        <v>0</v>
      </c>
      <c r="AB88" s="1046">
        <v>0</v>
      </c>
      <c r="AC88" s="1046">
        <v>0</v>
      </c>
      <c r="AD88" s="61"/>
      <c r="AE88" s="1127"/>
      <c r="AF88" s="1046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</row>
    <row r="89" spans="1:146">
      <c r="A89" s="1170" t="s">
        <v>40</v>
      </c>
      <c r="B89" s="3530"/>
      <c r="C89" s="1171"/>
      <c r="D89" s="1121" t="s">
        <v>46</v>
      </c>
      <c r="E89" s="1122">
        <v>0</v>
      </c>
      <c r="F89" s="1122">
        <v>0</v>
      </c>
      <c r="G89" s="1122">
        <v>2.5</v>
      </c>
      <c r="H89" s="1123">
        <v>0.1</v>
      </c>
      <c r="I89" s="2431">
        <v>0</v>
      </c>
      <c r="J89" s="1003">
        <v>2.58</v>
      </c>
      <c r="K89" s="1004">
        <v>0</v>
      </c>
      <c r="L89" s="1005">
        <v>1</v>
      </c>
      <c r="M89" s="1125">
        <v>0</v>
      </c>
      <c r="N89" s="1177">
        <v>0.7</v>
      </c>
      <c r="O89" s="1125">
        <v>0</v>
      </c>
      <c r="P89" s="2027"/>
      <c r="Q89" s="1183">
        <v>0</v>
      </c>
      <c r="R89" s="1126">
        <v>0</v>
      </c>
      <c r="S89" s="1127">
        <v>0</v>
      </c>
      <c r="T89" s="1127">
        <v>0</v>
      </c>
      <c r="U89" s="1127">
        <v>0</v>
      </c>
      <c r="V89" s="1127">
        <v>0</v>
      </c>
      <c r="W89" s="1127">
        <v>0</v>
      </c>
      <c r="X89" s="1127">
        <v>0</v>
      </c>
      <c r="Y89" s="1046">
        <v>0</v>
      </c>
      <c r="Z89" s="61">
        <v>0</v>
      </c>
      <c r="AA89" s="1127">
        <v>0</v>
      </c>
      <c r="AB89" s="1046">
        <v>0</v>
      </c>
      <c r="AC89" s="1046">
        <v>0</v>
      </c>
      <c r="AD89" s="61"/>
      <c r="AE89" s="1127"/>
      <c r="AF89" s="1046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</row>
    <row r="90" spans="1:146">
      <c r="A90" s="1170" t="s">
        <v>40</v>
      </c>
      <c r="B90" s="3530"/>
      <c r="C90" s="1171"/>
      <c r="D90" s="1163" t="s">
        <v>45</v>
      </c>
      <c r="E90" s="1122">
        <v>0</v>
      </c>
      <c r="F90" s="1122">
        <v>1.67</v>
      </c>
      <c r="G90" s="1122">
        <v>4.38</v>
      </c>
      <c r="H90" s="1123">
        <v>1.86</v>
      </c>
      <c r="I90" s="2431">
        <v>0</v>
      </c>
      <c r="J90" s="1003">
        <v>3.43</v>
      </c>
      <c r="K90" s="1004">
        <v>0.16700000000000001</v>
      </c>
      <c r="L90" s="1005">
        <v>4</v>
      </c>
      <c r="M90" s="1125">
        <v>0</v>
      </c>
      <c r="N90" s="1177">
        <v>0.2</v>
      </c>
      <c r="O90" s="1125">
        <v>0</v>
      </c>
      <c r="P90" s="2027"/>
      <c r="Q90" s="1183">
        <v>0</v>
      </c>
      <c r="R90" s="1126">
        <v>0</v>
      </c>
      <c r="S90" s="1127">
        <v>0</v>
      </c>
      <c r="T90" s="1127">
        <v>0</v>
      </c>
      <c r="U90" s="1127">
        <v>0</v>
      </c>
      <c r="V90" s="1127">
        <v>2.87</v>
      </c>
      <c r="W90" s="1127">
        <v>0</v>
      </c>
      <c r="X90" s="1127">
        <v>0</v>
      </c>
      <c r="Y90" s="1046">
        <v>0</v>
      </c>
      <c r="Z90" s="61">
        <v>0</v>
      </c>
      <c r="AA90" s="1127">
        <v>0</v>
      </c>
      <c r="AB90" s="1046">
        <v>0</v>
      </c>
      <c r="AC90" s="1046">
        <v>0</v>
      </c>
      <c r="AD90" s="61"/>
      <c r="AE90" s="1127"/>
      <c r="AF90" s="1046"/>
    </row>
    <row r="91" spans="1:146">
      <c r="A91" s="1170" t="s">
        <v>40</v>
      </c>
      <c r="B91" s="3530"/>
      <c r="C91" s="1171"/>
      <c r="D91" s="1121" t="s">
        <v>55</v>
      </c>
      <c r="E91" s="1122">
        <v>0</v>
      </c>
      <c r="F91" s="1122">
        <v>0</v>
      </c>
      <c r="G91" s="1122">
        <v>0.8</v>
      </c>
      <c r="H91" s="1123">
        <v>0</v>
      </c>
      <c r="I91" s="2431">
        <v>0.45</v>
      </c>
      <c r="J91" s="1003">
        <v>1.5</v>
      </c>
      <c r="K91" s="1004">
        <v>0</v>
      </c>
      <c r="L91" s="1005">
        <v>1</v>
      </c>
      <c r="M91" s="1125">
        <v>0</v>
      </c>
      <c r="N91" s="1177">
        <v>0.6</v>
      </c>
      <c r="O91" s="1125">
        <v>0</v>
      </c>
      <c r="P91" s="2027"/>
      <c r="Q91" s="1183">
        <v>0</v>
      </c>
      <c r="R91" s="1126">
        <v>0</v>
      </c>
      <c r="S91" s="1127">
        <v>0</v>
      </c>
      <c r="T91" s="1127">
        <v>0</v>
      </c>
      <c r="U91" s="1127">
        <v>0</v>
      </c>
      <c r="V91" s="1127">
        <v>0.09</v>
      </c>
      <c r="W91" s="1127">
        <v>0</v>
      </c>
      <c r="X91" s="1127">
        <v>0</v>
      </c>
      <c r="Y91" s="1046">
        <v>0</v>
      </c>
      <c r="Z91" s="61">
        <v>0</v>
      </c>
      <c r="AA91" s="1127">
        <v>0</v>
      </c>
      <c r="AB91" s="1046">
        <v>0</v>
      </c>
      <c r="AC91" s="1046">
        <v>0</v>
      </c>
      <c r="AD91" s="61"/>
      <c r="AE91" s="1127"/>
      <c r="AF91" s="1046"/>
    </row>
    <row r="92" spans="1:146">
      <c r="A92" s="1170" t="s">
        <v>40</v>
      </c>
      <c r="B92" s="3530"/>
      <c r="C92" s="1171"/>
      <c r="D92" s="1163" t="s">
        <v>44</v>
      </c>
      <c r="E92" s="1122">
        <v>0.97</v>
      </c>
      <c r="F92" s="1003">
        <v>0.8</v>
      </c>
      <c r="G92" s="1003">
        <v>0</v>
      </c>
      <c r="H92" s="1164">
        <v>5.4</v>
      </c>
      <c r="I92" s="324">
        <v>6.49</v>
      </c>
      <c r="J92" s="1003">
        <v>1.34</v>
      </c>
      <c r="K92" s="1172">
        <v>0.63</v>
      </c>
      <c r="L92" s="1005">
        <v>1.53</v>
      </c>
      <c r="M92" s="1125">
        <v>0</v>
      </c>
      <c r="N92" s="1126">
        <v>0.06</v>
      </c>
      <c r="O92" s="1125">
        <v>0</v>
      </c>
      <c r="P92" s="1208"/>
      <c r="Q92" s="1183">
        <v>0</v>
      </c>
      <c r="R92" s="1126">
        <v>0</v>
      </c>
      <c r="S92" s="1127">
        <v>0</v>
      </c>
      <c r="T92" s="1127">
        <v>0</v>
      </c>
      <c r="U92" s="1127">
        <v>0</v>
      </c>
      <c r="V92" s="1127">
        <v>1.2</v>
      </c>
      <c r="W92" s="1127">
        <v>0</v>
      </c>
      <c r="X92" s="1127">
        <v>0</v>
      </c>
      <c r="Y92" s="1046">
        <v>0</v>
      </c>
      <c r="Z92" s="61">
        <v>0</v>
      </c>
      <c r="AA92" s="1127">
        <v>0</v>
      </c>
      <c r="AB92" s="1046">
        <v>0</v>
      </c>
      <c r="AC92" s="1046">
        <v>0</v>
      </c>
      <c r="AD92" s="61"/>
      <c r="AE92" s="1127"/>
      <c r="AF92" s="1046"/>
    </row>
    <row r="93" spans="1:146">
      <c r="A93" s="1170" t="s">
        <v>40</v>
      </c>
      <c r="B93" s="3530"/>
      <c r="C93" s="1171"/>
      <c r="D93" s="1121" t="s">
        <v>54</v>
      </c>
      <c r="E93" s="1122">
        <v>0</v>
      </c>
      <c r="F93" s="1122">
        <v>1.3</v>
      </c>
      <c r="G93" s="1122">
        <v>0.3</v>
      </c>
      <c r="H93" s="1123">
        <v>0</v>
      </c>
      <c r="I93" s="2431">
        <v>0</v>
      </c>
      <c r="J93" s="1003">
        <v>1.67</v>
      </c>
      <c r="K93" s="1004">
        <v>0</v>
      </c>
      <c r="L93" s="1005">
        <v>0</v>
      </c>
      <c r="M93" s="1125">
        <v>0</v>
      </c>
      <c r="N93" s="1177">
        <v>0.2</v>
      </c>
      <c r="O93" s="1125">
        <v>0</v>
      </c>
      <c r="P93" s="2027"/>
      <c r="Q93" s="1183">
        <v>0</v>
      </c>
      <c r="R93" s="1126">
        <v>0</v>
      </c>
      <c r="S93" s="1127">
        <v>0</v>
      </c>
      <c r="T93" s="1127">
        <v>0</v>
      </c>
      <c r="U93" s="1127">
        <v>0</v>
      </c>
      <c r="V93" s="1127">
        <v>1.02</v>
      </c>
      <c r="W93" s="1127">
        <v>0</v>
      </c>
      <c r="X93" s="1127">
        <v>0</v>
      </c>
      <c r="Y93" s="1046">
        <v>0</v>
      </c>
      <c r="Z93" s="61">
        <v>0</v>
      </c>
      <c r="AA93" s="1127">
        <v>0</v>
      </c>
      <c r="AB93" s="1046">
        <v>0</v>
      </c>
      <c r="AC93" s="1046">
        <v>0</v>
      </c>
      <c r="AD93" s="61"/>
      <c r="AE93" s="1127"/>
      <c r="AF93" s="1046"/>
    </row>
    <row r="94" spans="1:146">
      <c r="A94" s="1170" t="s">
        <v>40</v>
      </c>
      <c r="B94" s="3530"/>
      <c r="C94" s="1171"/>
      <c r="D94" s="1121" t="s">
        <v>56</v>
      </c>
      <c r="E94" s="1122">
        <v>0</v>
      </c>
      <c r="F94" s="1122">
        <v>0</v>
      </c>
      <c r="G94" s="1122">
        <v>0</v>
      </c>
      <c r="H94" s="1123">
        <v>0</v>
      </c>
      <c r="I94" s="2431">
        <v>0</v>
      </c>
      <c r="J94" s="1003">
        <v>1.42</v>
      </c>
      <c r="K94" s="1004">
        <v>0.5</v>
      </c>
      <c r="L94" s="1005">
        <v>0</v>
      </c>
      <c r="M94" s="1125">
        <v>0</v>
      </c>
      <c r="N94" s="1178">
        <v>0.3</v>
      </c>
      <c r="O94" s="1125">
        <v>0</v>
      </c>
      <c r="P94" s="2028"/>
      <c r="Q94" s="1183">
        <v>0</v>
      </c>
      <c r="R94" s="1126">
        <v>0</v>
      </c>
      <c r="S94" s="1127">
        <v>0</v>
      </c>
      <c r="T94" s="1127">
        <v>0</v>
      </c>
      <c r="U94" s="1127">
        <v>0</v>
      </c>
      <c r="V94" s="1127">
        <v>0.28000000000000003</v>
      </c>
      <c r="W94" s="1127">
        <v>0</v>
      </c>
      <c r="X94" s="1127">
        <v>0</v>
      </c>
      <c r="Y94" s="1046">
        <v>0</v>
      </c>
      <c r="Z94" s="61">
        <v>0</v>
      </c>
      <c r="AA94" s="1127">
        <v>0</v>
      </c>
      <c r="AB94" s="1046">
        <v>0</v>
      </c>
      <c r="AC94" s="1046">
        <v>0</v>
      </c>
      <c r="AD94" s="61"/>
      <c r="AE94" s="1127"/>
      <c r="AF94" s="1046"/>
    </row>
    <row r="95" spans="1:146">
      <c r="A95" s="1170" t="s">
        <v>40</v>
      </c>
      <c r="B95" s="3530"/>
      <c r="C95" s="1171"/>
      <c r="D95" s="1121" t="s">
        <v>51</v>
      </c>
      <c r="E95" s="1122">
        <v>0</v>
      </c>
      <c r="F95" s="1122">
        <v>1.5</v>
      </c>
      <c r="G95" s="1122">
        <v>0.3</v>
      </c>
      <c r="H95" s="1123">
        <v>0.2</v>
      </c>
      <c r="I95" s="2431">
        <v>7.75</v>
      </c>
      <c r="J95" s="1003">
        <v>1.97</v>
      </c>
      <c r="K95" s="1004">
        <v>0</v>
      </c>
      <c r="L95" s="1005">
        <v>1</v>
      </c>
      <c r="M95" s="1125">
        <v>0</v>
      </c>
      <c r="N95" s="1177">
        <v>0.2</v>
      </c>
      <c r="O95" s="1125">
        <v>0</v>
      </c>
      <c r="P95" s="2027"/>
      <c r="Q95" s="1183">
        <v>0</v>
      </c>
      <c r="R95" s="1126">
        <v>0</v>
      </c>
      <c r="S95" s="1127">
        <v>0</v>
      </c>
      <c r="T95" s="1127">
        <v>0</v>
      </c>
      <c r="U95" s="1127">
        <v>0</v>
      </c>
      <c r="V95" s="1127">
        <v>0.77</v>
      </c>
      <c r="W95" s="1127">
        <v>0</v>
      </c>
      <c r="X95" s="1127">
        <v>0</v>
      </c>
      <c r="Y95" s="1046">
        <v>0</v>
      </c>
      <c r="Z95" s="61">
        <v>0</v>
      </c>
      <c r="AA95" s="1127">
        <v>0</v>
      </c>
      <c r="AB95" s="1046">
        <v>0</v>
      </c>
      <c r="AC95" s="1046">
        <v>0</v>
      </c>
      <c r="AD95" s="61"/>
      <c r="AE95" s="1127"/>
      <c r="AF95" s="104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</row>
    <row r="96" spans="1:146" ht="15.75" thickBot="1">
      <c r="A96" s="1173" t="s">
        <v>40</v>
      </c>
      <c r="B96" s="3531"/>
      <c r="C96" s="1174"/>
      <c r="D96" s="1129" t="s">
        <v>47</v>
      </c>
      <c r="E96" s="1146">
        <v>0</v>
      </c>
      <c r="F96" s="1146">
        <v>0</v>
      </c>
      <c r="G96" s="1146">
        <v>0.8</v>
      </c>
      <c r="H96" s="1159">
        <v>0</v>
      </c>
      <c r="I96" s="2432">
        <v>0</v>
      </c>
      <c r="J96" s="1147">
        <v>2.5299999999999998</v>
      </c>
      <c r="K96" s="1148">
        <v>0</v>
      </c>
      <c r="L96" s="1134">
        <v>0</v>
      </c>
      <c r="M96" s="1135">
        <v>0</v>
      </c>
      <c r="N96" s="1179">
        <v>0.3</v>
      </c>
      <c r="O96" s="1135">
        <v>0</v>
      </c>
      <c r="P96" s="2029"/>
      <c r="Q96" s="1184">
        <v>0</v>
      </c>
      <c r="R96" s="1136">
        <v>0</v>
      </c>
      <c r="S96" s="633">
        <v>0</v>
      </c>
      <c r="T96" s="633">
        <v>0</v>
      </c>
      <c r="U96" s="633">
        <v>0</v>
      </c>
      <c r="V96" s="633">
        <v>0.74</v>
      </c>
      <c r="W96" s="633">
        <v>0</v>
      </c>
      <c r="X96" s="633">
        <v>0</v>
      </c>
      <c r="Y96" s="886">
        <v>0</v>
      </c>
      <c r="Z96" s="2865">
        <v>0</v>
      </c>
      <c r="AA96" s="387">
        <v>0</v>
      </c>
      <c r="AB96" s="886">
        <v>0</v>
      </c>
      <c r="AC96" s="886">
        <v>0</v>
      </c>
      <c r="AD96" s="2865"/>
      <c r="AE96" s="387"/>
      <c r="AF96" s="88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</row>
    <row r="97" spans="1:119" s="4" customFormat="1">
      <c r="A97" s="114"/>
      <c r="B97" s="114"/>
      <c r="C97" s="114"/>
      <c r="D97" s="775" t="s">
        <v>285</v>
      </c>
      <c r="E97" s="1025">
        <f>COUNTIF(E71:E96,"&gt;=5")</f>
        <v>1</v>
      </c>
      <c r="F97" s="1025">
        <f t="shared" ref="F97:U97" si="10">COUNTIF(F71:F96,"&gt;=5")</f>
        <v>1</v>
      </c>
      <c r="G97" s="1025">
        <f t="shared" si="10"/>
        <v>5</v>
      </c>
      <c r="H97" s="1025">
        <f t="shared" si="10"/>
        <v>10</v>
      </c>
      <c r="I97" s="1025">
        <f t="shared" si="10"/>
        <v>12</v>
      </c>
      <c r="J97" s="1025">
        <f t="shared" si="10"/>
        <v>2</v>
      </c>
      <c r="K97" s="1025">
        <f t="shared" si="10"/>
        <v>0</v>
      </c>
      <c r="L97" s="1025">
        <f t="shared" si="10"/>
        <v>0</v>
      </c>
      <c r="M97" s="1025">
        <f t="shared" si="10"/>
        <v>0</v>
      </c>
      <c r="N97" s="1025">
        <f t="shared" si="10"/>
        <v>0</v>
      </c>
      <c r="O97" s="1025">
        <f>COUNTIF(O71:O96,"&gt;=5")</f>
        <v>0</v>
      </c>
      <c r="P97" s="1025">
        <f>COUNTIF(P71:P96,"&gt;=5")</f>
        <v>0</v>
      </c>
      <c r="Q97" s="1025">
        <f t="shared" si="10"/>
        <v>0</v>
      </c>
      <c r="R97" s="1025">
        <f t="shared" si="10"/>
        <v>0</v>
      </c>
      <c r="S97" s="1025">
        <f t="shared" si="10"/>
        <v>0</v>
      </c>
      <c r="T97" s="1025">
        <f t="shared" si="10"/>
        <v>0</v>
      </c>
      <c r="U97" s="1025">
        <f t="shared" si="10"/>
        <v>0</v>
      </c>
      <c r="V97" s="1025">
        <f t="shared" ref="V97:AB97" si="11">COUNTIF(V71:V96,"&gt;=5")</f>
        <v>0</v>
      </c>
      <c r="W97" s="1025">
        <f t="shared" si="11"/>
        <v>0</v>
      </c>
      <c r="X97" s="1025">
        <f t="shared" si="11"/>
        <v>0</v>
      </c>
      <c r="Y97" s="1025">
        <f t="shared" si="11"/>
        <v>0</v>
      </c>
      <c r="Z97" s="1025">
        <f t="shared" si="11"/>
        <v>0</v>
      </c>
      <c r="AA97" s="1025">
        <f t="shared" si="11"/>
        <v>0</v>
      </c>
      <c r="AB97" s="1025">
        <f t="shared" si="11"/>
        <v>1</v>
      </c>
      <c r="AC97" s="1025">
        <f t="shared" ref="AC97:AF97" si="12">COUNTIF(AC71:AC96,"&gt;=5")</f>
        <v>0</v>
      </c>
      <c r="AD97" s="1025">
        <f t="shared" si="12"/>
        <v>0</v>
      </c>
      <c r="AE97" s="1025">
        <f t="shared" si="12"/>
        <v>0</v>
      </c>
      <c r="AF97" s="1025">
        <f t="shared" si="12"/>
        <v>0</v>
      </c>
      <c r="BE97" s="83"/>
      <c r="BF97" s="83"/>
      <c r="BG97" s="83"/>
      <c r="BH97" s="83"/>
      <c r="BI97" s="83"/>
      <c r="BJ97" s="83"/>
      <c r="BK97" s="83"/>
      <c r="BL97" s="83"/>
      <c r="BM97" s="83"/>
      <c r="BN97" s="83"/>
      <c r="BO97" s="83"/>
      <c r="BP97" s="83"/>
      <c r="BQ97" s="83"/>
      <c r="BR97" s="83"/>
      <c r="BS97" s="83"/>
      <c r="BT97" s="83"/>
      <c r="BU97" s="83"/>
      <c r="BV97" s="83"/>
      <c r="BW97" s="83"/>
      <c r="BX97" s="83"/>
      <c r="BY97" s="83"/>
      <c r="CH97" s="83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83"/>
      <c r="CU97" s="83"/>
      <c r="CV97" s="83"/>
      <c r="CW97" s="83"/>
      <c r="CX97" s="83"/>
      <c r="CY97" s="83"/>
      <c r="CZ97" s="83"/>
      <c r="DA97" s="83"/>
      <c r="DB97" s="83"/>
      <c r="DC97" s="83"/>
      <c r="DD97" s="83"/>
    </row>
    <row r="98" spans="1:119" s="4" customFormat="1">
      <c r="A98" s="114"/>
      <c r="B98" s="114"/>
      <c r="C98" s="114"/>
      <c r="D98" s="775" t="s">
        <v>287</v>
      </c>
      <c r="E98" s="1027">
        <f>COUNT(E71:E96)</f>
        <v>25</v>
      </c>
      <c r="F98" s="1027">
        <f t="shared" ref="F98:U98" si="13">COUNT(F71:F96)</f>
        <v>26</v>
      </c>
      <c r="G98" s="1027">
        <f t="shared" si="13"/>
        <v>26</v>
      </c>
      <c r="H98" s="1027">
        <f t="shared" si="13"/>
        <v>26</v>
      </c>
      <c r="I98" s="1027">
        <f t="shared" si="13"/>
        <v>26</v>
      </c>
      <c r="J98" s="1027">
        <f t="shared" si="13"/>
        <v>26</v>
      </c>
      <c r="K98" s="1027">
        <f t="shared" si="13"/>
        <v>26</v>
      </c>
      <c r="L98" s="1027">
        <f t="shared" si="13"/>
        <v>26</v>
      </c>
      <c r="M98" s="1027">
        <f t="shared" si="13"/>
        <v>25</v>
      </c>
      <c r="N98" s="1027">
        <f t="shared" si="13"/>
        <v>26</v>
      </c>
      <c r="O98" s="1027">
        <f>COUNT(O71:O96)</f>
        <v>26</v>
      </c>
      <c r="P98" s="1027">
        <f>COUNT(P71:P96)</f>
        <v>0</v>
      </c>
      <c r="Q98" s="1027">
        <f t="shared" si="13"/>
        <v>26</v>
      </c>
      <c r="R98" s="1027">
        <f t="shared" si="13"/>
        <v>26</v>
      </c>
      <c r="S98" s="1027">
        <f t="shared" si="13"/>
        <v>26</v>
      </c>
      <c r="T98" s="1027">
        <f t="shared" si="13"/>
        <v>26</v>
      </c>
      <c r="U98" s="1027">
        <f t="shared" si="13"/>
        <v>26</v>
      </c>
      <c r="V98" s="1027">
        <f t="shared" ref="V98:AB98" si="14">COUNT(V71:V96)</f>
        <v>26</v>
      </c>
      <c r="W98" s="1027">
        <f t="shared" si="14"/>
        <v>26</v>
      </c>
      <c r="X98" s="1027">
        <f t="shared" si="14"/>
        <v>26</v>
      </c>
      <c r="Y98" s="1027">
        <f t="shared" si="14"/>
        <v>26</v>
      </c>
      <c r="Z98" s="1027">
        <f t="shared" si="14"/>
        <v>26</v>
      </c>
      <c r="AA98" s="1027">
        <f t="shared" si="14"/>
        <v>26</v>
      </c>
      <c r="AB98" s="1027">
        <f t="shared" si="14"/>
        <v>26</v>
      </c>
      <c r="AC98" s="1027">
        <f t="shared" ref="AC98:AF98" si="15">COUNT(AC71:AC96)</f>
        <v>26</v>
      </c>
      <c r="AD98" s="1027">
        <f t="shared" si="15"/>
        <v>0</v>
      </c>
      <c r="AE98" s="1027">
        <f t="shared" si="15"/>
        <v>0</v>
      </c>
      <c r="AF98" s="1027">
        <f t="shared" si="15"/>
        <v>0</v>
      </c>
      <c r="BE98" s="83"/>
      <c r="BF98" s="83"/>
      <c r="BG98" s="83"/>
      <c r="BH98" s="83"/>
      <c r="BI98" s="83"/>
      <c r="BJ98" s="83"/>
      <c r="BK98" s="83"/>
      <c r="BL98" s="83"/>
      <c r="BM98" s="83"/>
      <c r="BN98" s="83"/>
      <c r="BO98" s="83"/>
      <c r="BP98" s="83"/>
      <c r="BQ98" s="83"/>
      <c r="BR98" s="83"/>
      <c r="BS98" s="83"/>
      <c r="BT98" s="83"/>
      <c r="BU98" s="83"/>
      <c r="BV98" s="83"/>
      <c r="BW98" s="83"/>
      <c r="BX98" s="83"/>
      <c r="BY98" s="83"/>
      <c r="CH98" s="83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83"/>
      <c r="CV98" s="83"/>
      <c r="CW98" s="83"/>
      <c r="CX98" s="83"/>
      <c r="CY98" s="83"/>
      <c r="CZ98" s="83"/>
      <c r="DA98" s="83"/>
      <c r="DB98" s="83"/>
      <c r="DC98" s="83"/>
      <c r="DD98" s="83"/>
    </row>
    <row r="99" spans="1:119" s="4" customFormat="1">
      <c r="A99" s="114"/>
      <c r="B99" s="114"/>
      <c r="C99" s="114"/>
      <c r="D99" s="775" t="s">
        <v>286</v>
      </c>
      <c r="E99" s="1026">
        <f t="shared" ref="E99:U99" si="16">E97/E98</f>
        <v>0.04</v>
      </c>
      <c r="F99" s="1026">
        <f t="shared" si="16"/>
        <v>3.8461538461538464E-2</v>
      </c>
      <c r="G99" s="1026">
        <f t="shared" si="16"/>
        <v>0.19230769230769232</v>
      </c>
      <c r="H99" s="1026">
        <f t="shared" si="16"/>
        <v>0.38461538461538464</v>
      </c>
      <c r="I99" s="1026">
        <f t="shared" si="16"/>
        <v>0.46153846153846156</v>
      </c>
      <c r="J99" s="1026">
        <f t="shared" si="16"/>
        <v>7.6923076923076927E-2</v>
      </c>
      <c r="K99" s="1026">
        <f t="shared" si="16"/>
        <v>0</v>
      </c>
      <c r="L99" s="1026">
        <f t="shared" si="16"/>
        <v>0</v>
      </c>
      <c r="M99" s="1026">
        <f t="shared" si="16"/>
        <v>0</v>
      </c>
      <c r="N99" s="1026">
        <f t="shared" si="16"/>
        <v>0</v>
      </c>
      <c r="O99" s="1026">
        <f t="shared" si="16"/>
        <v>0</v>
      </c>
      <c r="P99" s="1026" t="e">
        <f t="shared" si="16"/>
        <v>#DIV/0!</v>
      </c>
      <c r="Q99" s="1026">
        <f t="shared" si="16"/>
        <v>0</v>
      </c>
      <c r="R99" s="1026">
        <f t="shared" si="16"/>
        <v>0</v>
      </c>
      <c r="S99" s="1026">
        <f t="shared" si="16"/>
        <v>0</v>
      </c>
      <c r="T99" s="1026">
        <f t="shared" si="16"/>
        <v>0</v>
      </c>
      <c r="U99" s="1026">
        <f t="shared" si="16"/>
        <v>0</v>
      </c>
      <c r="V99" s="1026">
        <f t="shared" ref="V99:AB99" si="17">V97/V98</f>
        <v>0</v>
      </c>
      <c r="W99" s="1026">
        <f t="shared" si="17"/>
        <v>0</v>
      </c>
      <c r="X99" s="1026">
        <f t="shared" si="17"/>
        <v>0</v>
      </c>
      <c r="Y99" s="1026">
        <f t="shared" si="17"/>
        <v>0</v>
      </c>
      <c r="Z99" s="1026">
        <f t="shared" si="17"/>
        <v>0</v>
      </c>
      <c r="AA99" s="1026">
        <f t="shared" si="17"/>
        <v>0</v>
      </c>
      <c r="AB99" s="1026">
        <f t="shared" si="17"/>
        <v>3.8461538461538464E-2</v>
      </c>
      <c r="AC99" s="1026">
        <f t="shared" ref="AC99:AF99" si="18">AC97/AC98</f>
        <v>0</v>
      </c>
      <c r="AD99" s="1026" t="e">
        <f t="shared" si="18"/>
        <v>#DIV/0!</v>
      </c>
      <c r="AE99" s="1026" t="e">
        <f t="shared" si="18"/>
        <v>#DIV/0!</v>
      </c>
      <c r="AF99" s="1026" t="e">
        <f t="shared" si="18"/>
        <v>#DIV/0!</v>
      </c>
      <c r="BE99" s="83"/>
      <c r="BF99" s="83"/>
      <c r="BG99" s="83"/>
      <c r="BH99" s="83"/>
      <c r="BI99" s="83"/>
      <c r="BJ99" s="83"/>
      <c r="BK99" s="83"/>
      <c r="BL99" s="83"/>
      <c r="BM99" s="83"/>
      <c r="BN99" s="83"/>
      <c r="BO99" s="83"/>
      <c r="BP99" s="83"/>
      <c r="BQ99" s="83"/>
      <c r="BR99" s="83"/>
      <c r="BS99" s="83"/>
      <c r="BT99" s="83"/>
      <c r="BU99" s="83"/>
      <c r="BV99" s="83"/>
      <c r="BW99" s="83"/>
      <c r="BX99" s="83"/>
      <c r="BY99" s="83"/>
      <c r="CH99" s="83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83"/>
      <c r="CW99" s="83"/>
      <c r="CX99" s="83"/>
      <c r="CY99" s="83"/>
      <c r="CZ99" s="83"/>
      <c r="DA99" s="83"/>
      <c r="DB99" s="83"/>
      <c r="DC99" s="83"/>
      <c r="DD99" s="83"/>
    </row>
    <row r="100" spans="1:119" s="4" customFormat="1">
      <c r="A100" s="114"/>
      <c r="B100" s="114"/>
      <c r="C100" s="114"/>
      <c r="D100" s="775" t="s">
        <v>297</v>
      </c>
      <c r="E100" s="1027">
        <f>COUNTA(D71:D96)</f>
        <v>26</v>
      </c>
      <c r="F100" s="1027"/>
      <c r="G100" s="1027"/>
      <c r="H100" s="1027"/>
      <c r="I100" s="1027"/>
      <c r="J100" s="1027"/>
      <c r="K100" s="1027"/>
      <c r="L100" s="1027"/>
      <c r="M100" s="1027"/>
      <c r="N100" s="1027"/>
      <c r="O100" s="1027"/>
      <c r="P100" s="1027"/>
      <c r="Q100" s="1027"/>
      <c r="R100" s="1027"/>
      <c r="S100" s="1027"/>
      <c r="T100" s="1027"/>
      <c r="U100" s="1027"/>
      <c r="V100" s="1027"/>
      <c r="W100" s="1027"/>
      <c r="X100" s="1027"/>
      <c r="Y100" s="1027"/>
      <c r="Z100" s="1027"/>
      <c r="AA100" s="770"/>
      <c r="BE100" s="83"/>
      <c r="BF100" s="83"/>
      <c r="BG100" s="83"/>
      <c r="BH100" s="83"/>
      <c r="BI100" s="83"/>
      <c r="BJ100" s="83"/>
      <c r="BK100" s="83"/>
      <c r="BL100" s="83"/>
      <c r="BM100" s="83"/>
      <c r="BN100" s="83"/>
      <c r="BO100" s="83"/>
      <c r="BP100" s="83"/>
      <c r="BQ100" s="83"/>
      <c r="BR100" s="83"/>
      <c r="BS100" s="83"/>
      <c r="BT100" s="83"/>
      <c r="BU100" s="83"/>
      <c r="BV100" s="83"/>
      <c r="BW100" s="83"/>
      <c r="BX100" s="83"/>
      <c r="BY100" s="83"/>
      <c r="CH100" s="83"/>
      <c r="CI100" s="83"/>
      <c r="CJ100" s="83"/>
      <c r="CK100" s="83"/>
      <c r="CL100" s="83"/>
      <c r="CM100" s="83"/>
      <c r="CN100" s="83"/>
      <c r="CO100" s="83"/>
      <c r="CP100" s="83"/>
      <c r="CQ100" s="83"/>
      <c r="CR100" s="83"/>
      <c r="CS100" s="83"/>
      <c r="CT100" s="83"/>
      <c r="CU100" s="83"/>
      <c r="CV100" s="83"/>
      <c r="CW100" s="83"/>
      <c r="CX100" s="83"/>
      <c r="CY100" s="83"/>
      <c r="CZ100" s="83"/>
      <c r="DA100" s="83"/>
      <c r="DB100" s="83"/>
      <c r="DC100" s="83"/>
      <c r="DD100" s="83"/>
    </row>
    <row r="101" spans="1:119" s="4" customFormat="1">
      <c r="A101" s="114"/>
      <c r="B101" s="114"/>
      <c r="C101" s="114"/>
      <c r="D101" s="775"/>
      <c r="E101" s="1026"/>
      <c r="F101" s="1026"/>
      <c r="G101" s="1026"/>
      <c r="H101" s="1026"/>
      <c r="I101" s="1026"/>
      <c r="J101" s="1026"/>
      <c r="K101" s="1026"/>
      <c r="L101" s="1026"/>
      <c r="M101" s="1026"/>
      <c r="N101" s="1026"/>
      <c r="O101" s="1026"/>
      <c r="P101" s="1026"/>
      <c r="Q101" s="1026"/>
      <c r="R101" s="1026"/>
      <c r="S101" s="1026"/>
      <c r="T101" s="1026"/>
      <c r="U101" s="1026"/>
      <c r="V101" s="1026"/>
      <c r="W101" s="1026"/>
      <c r="X101" s="1026"/>
      <c r="Y101" s="1026"/>
      <c r="Z101" s="1026"/>
      <c r="AA101" s="770"/>
      <c r="BE101" s="83"/>
      <c r="BF101" s="83"/>
      <c r="BG101" s="83"/>
      <c r="BH101" s="83"/>
      <c r="BI101" s="83"/>
      <c r="BJ101" s="83"/>
      <c r="BK101" s="83"/>
      <c r="BL101" s="83"/>
      <c r="BM101" s="83"/>
      <c r="BN101" s="83"/>
      <c r="BO101" s="83"/>
      <c r="BP101" s="83"/>
      <c r="BQ101" s="83"/>
      <c r="BR101" s="83"/>
      <c r="BS101" s="83"/>
      <c r="BT101" s="83"/>
      <c r="BU101" s="83"/>
      <c r="BV101" s="83"/>
      <c r="BW101" s="83"/>
      <c r="BX101" s="83"/>
      <c r="BY101" s="83"/>
      <c r="CH101" s="83"/>
      <c r="CI101" s="83"/>
      <c r="CJ101" s="83"/>
      <c r="CK101" s="83"/>
      <c r="CL101" s="83"/>
      <c r="CM101" s="83"/>
      <c r="CN101" s="83"/>
      <c r="CO101" s="83"/>
      <c r="CP101" s="83"/>
      <c r="CQ101" s="83"/>
      <c r="CR101" s="83"/>
      <c r="CS101" s="83"/>
      <c r="CT101" s="83"/>
      <c r="CU101" s="83"/>
      <c r="CV101" s="83"/>
      <c r="CW101" s="83"/>
      <c r="CX101" s="83"/>
      <c r="CY101" s="83"/>
      <c r="CZ101" s="83"/>
      <c r="DA101" s="83"/>
      <c r="DB101" s="83"/>
      <c r="DC101" s="83"/>
      <c r="DD101" s="83"/>
    </row>
    <row r="102" spans="1:119" ht="15.75" thickBot="1">
      <c r="A102" s="123"/>
      <c r="B102" s="123"/>
      <c r="C102" s="122"/>
      <c r="D102" s="117"/>
      <c r="E102" s="110"/>
      <c r="F102" s="110"/>
      <c r="G102" s="3546" t="s">
        <v>127</v>
      </c>
      <c r="H102" s="3546"/>
      <c r="I102" s="3546"/>
      <c r="J102" s="3546"/>
      <c r="K102" s="107"/>
      <c r="L102" s="763"/>
      <c r="M102" s="107"/>
      <c r="N102" s="107"/>
      <c r="O102" s="3546" t="s">
        <v>127</v>
      </c>
      <c r="P102" s="3546"/>
      <c r="Q102" s="3546"/>
      <c r="R102" s="3546"/>
      <c r="S102" s="107"/>
      <c r="T102" s="107"/>
      <c r="U102" s="107"/>
      <c r="V102" s="107"/>
      <c r="W102" s="107"/>
      <c r="X102" s="107"/>
      <c r="Y102" s="107"/>
      <c r="Z102" s="107"/>
      <c r="AA102" s="767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26"/>
      <c r="BA102" s="26"/>
      <c r="BB102" s="26"/>
      <c r="BC102" s="26"/>
      <c r="BD102" s="26"/>
      <c r="BE102" s="26"/>
      <c r="BF102" s="26"/>
      <c r="BG102" s="26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</row>
    <row r="103" spans="1:119" s="4" customFormat="1" ht="15.75" thickBot="1">
      <c r="A103" s="328"/>
      <c r="B103" s="328"/>
      <c r="C103" s="113"/>
      <c r="D103" s="775"/>
      <c r="E103" s="115"/>
      <c r="F103" s="115"/>
      <c r="G103" s="3546"/>
      <c r="H103" s="3546"/>
      <c r="I103" s="3546"/>
      <c r="J103" s="3546"/>
      <c r="K103" s="776"/>
      <c r="L103" s="330"/>
      <c r="M103" s="776"/>
      <c r="N103" s="776"/>
      <c r="O103" s="3546"/>
      <c r="P103" s="3546"/>
      <c r="Q103" s="3546"/>
      <c r="R103" s="3546"/>
      <c r="S103" s="776"/>
      <c r="T103" s="776"/>
      <c r="U103" s="776"/>
      <c r="V103" s="776"/>
      <c r="W103" s="776"/>
      <c r="X103" s="776"/>
      <c r="Y103" s="3516">
        <v>2016</v>
      </c>
      <c r="Z103" s="3517"/>
      <c r="AA103" s="3517"/>
      <c r="AB103" s="3518"/>
      <c r="AC103" s="3516">
        <v>2017</v>
      </c>
      <c r="AD103" s="3517"/>
      <c r="AE103" s="3517"/>
      <c r="AF103" s="3518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50"/>
      <c r="BA103" s="50"/>
      <c r="BB103" s="50"/>
      <c r="BC103" s="50"/>
      <c r="BD103" s="50"/>
      <c r="BE103" s="50"/>
      <c r="BF103" s="50"/>
      <c r="BG103" s="50"/>
      <c r="BH103" s="83"/>
      <c r="BI103" s="83"/>
      <c r="BJ103" s="83"/>
      <c r="BK103" s="83"/>
      <c r="BL103" s="83"/>
      <c r="BM103" s="83"/>
      <c r="BN103" s="83"/>
      <c r="BO103" s="83"/>
      <c r="BP103" s="83"/>
      <c r="BQ103" s="83"/>
      <c r="BR103" s="83"/>
      <c r="BS103" s="83"/>
      <c r="BT103" s="83"/>
      <c r="BU103" s="83"/>
      <c r="BV103" s="83"/>
      <c r="BW103" s="83"/>
      <c r="BX103" s="83"/>
      <c r="BY103" s="83"/>
      <c r="BZ103" s="83"/>
      <c r="CA103" s="83"/>
      <c r="CB103" s="83"/>
      <c r="CC103" s="83"/>
      <c r="CD103" s="83"/>
      <c r="CE103" s="83"/>
      <c r="CF103" s="83"/>
      <c r="CG103" s="83"/>
      <c r="CH103" s="83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3"/>
      <c r="CW103" s="83"/>
      <c r="CX103" s="83"/>
      <c r="CY103" s="83"/>
      <c r="CZ103" s="83"/>
      <c r="DA103" s="83"/>
      <c r="DB103" s="83"/>
      <c r="DC103" s="83"/>
      <c r="DD103" s="83"/>
      <c r="DE103" s="83"/>
      <c r="DF103" s="83"/>
      <c r="DG103" s="83"/>
      <c r="DH103" s="83"/>
      <c r="DI103" s="83"/>
      <c r="DJ103" s="83"/>
      <c r="DK103" s="83"/>
      <c r="DL103" s="83"/>
      <c r="DM103" s="83"/>
      <c r="DN103" s="83"/>
      <c r="DO103" s="83"/>
    </row>
    <row r="104" spans="1:119" s="4" customFormat="1" ht="15.75" thickBot="1">
      <c r="A104" s="328"/>
      <c r="B104" s="328"/>
      <c r="C104" s="113"/>
      <c r="D104" s="266" t="s">
        <v>168</v>
      </c>
      <c r="E104" s="268">
        <v>5</v>
      </c>
      <c r="F104" s="268">
        <v>5</v>
      </c>
      <c r="G104" s="268">
        <v>5</v>
      </c>
      <c r="H104" s="345">
        <v>5</v>
      </c>
      <c r="I104" s="346">
        <v>5</v>
      </c>
      <c r="J104" s="268">
        <v>5</v>
      </c>
      <c r="K104" s="268">
        <v>5</v>
      </c>
      <c r="L104" s="534">
        <v>5</v>
      </c>
      <c r="M104" s="346">
        <v>5</v>
      </c>
      <c r="N104" s="268">
        <v>5</v>
      </c>
      <c r="O104" s="268">
        <v>5</v>
      </c>
      <c r="P104" s="433">
        <v>5</v>
      </c>
      <c r="Q104" s="367">
        <v>5</v>
      </c>
      <c r="R104" s="268">
        <v>5</v>
      </c>
      <c r="S104" s="268">
        <v>5</v>
      </c>
      <c r="T104" s="433">
        <v>5</v>
      </c>
      <c r="U104" s="433">
        <v>5</v>
      </c>
      <c r="V104" s="433">
        <v>5</v>
      </c>
      <c r="W104" s="433">
        <v>5</v>
      </c>
      <c r="X104" s="433">
        <v>5</v>
      </c>
      <c r="Y104" s="3121">
        <v>5</v>
      </c>
      <c r="Z104" s="3120">
        <v>5</v>
      </c>
      <c r="AA104" s="3120">
        <v>5</v>
      </c>
      <c r="AB104" s="3120">
        <v>5</v>
      </c>
      <c r="AC104" s="3121">
        <v>5</v>
      </c>
      <c r="AD104" s="3120">
        <v>5</v>
      </c>
      <c r="AE104" s="3120">
        <v>5</v>
      </c>
      <c r="AF104" s="3120">
        <v>5</v>
      </c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50"/>
      <c r="BA104" s="50"/>
      <c r="BB104" s="50"/>
      <c r="BC104" s="50"/>
      <c r="BD104" s="50"/>
      <c r="BE104" s="50"/>
      <c r="BF104" s="50"/>
      <c r="BG104" s="50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  <c r="BW104" s="83"/>
      <c r="BX104" s="83"/>
      <c r="BY104" s="83"/>
      <c r="BZ104" s="83"/>
      <c r="CA104" s="83"/>
      <c r="CB104" s="83"/>
      <c r="CC104" s="83"/>
      <c r="CD104" s="83"/>
      <c r="CE104" s="83"/>
      <c r="CF104" s="83"/>
      <c r="CG104" s="83"/>
      <c r="CH104" s="83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3"/>
      <c r="CW104" s="83"/>
      <c r="CX104" s="83"/>
      <c r="CY104" s="83"/>
      <c r="CZ104" s="83"/>
      <c r="DA104" s="83"/>
      <c r="DB104" s="83"/>
      <c r="DC104" s="83"/>
      <c r="DD104" s="83"/>
      <c r="DE104" s="83"/>
      <c r="DF104" s="83"/>
      <c r="DG104" s="83"/>
      <c r="DH104" s="83"/>
      <c r="DI104" s="83"/>
      <c r="DJ104" s="83"/>
      <c r="DK104" s="83"/>
      <c r="DL104" s="83"/>
      <c r="DM104" s="83"/>
      <c r="DN104" s="83"/>
      <c r="DO104" s="83"/>
    </row>
    <row r="105" spans="1:119" ht="15" customHeight="1">
      <c r="A105" s="1014" t="s">
        <v>67</v>
      </c>
      <c r="B105" s="1023" t="s">
        <v>67</v>
      </c>
      <c r="C105" s="993"/>
      <c r="D105" s="1196" t="s">
        <v>191</v>
      </c>
      <c r="E105" s="1112">
        <v>9.5</v>
      </c>
      <c r="F105" s="1114">
        <v>4.9000000000000004</v>
      </c>
      <c r="G105" s="1114">
        <v>6.2</v>
      </c>
      <c r="H105" s="1162">
        <v>5.85</v>
      </c>
      <c r="I105" s="1158">
        <v>6.7</v>
      </c>
      <c r="J105" s="1112">
        <v>11.2</v>
      </c>
      <c r="K105" s="1115">
        <v>6.7</v>
      </c>
      <c r="L105" s="1116">
        <v>5.95</v>
      </c>
      <c r="M105" s="1117">
        <v>4.7</v>
      </c>
      <c r="N105" s="1118">
        <v>5.3</v>
      </c>
      <c r="O105" s="1118">
        <v>6.13</v>
      </c>
      <c r="P105" s="1207">
        <v>4.9000000000000004</v>
      </c>
      <c r="Q105" s="1241">
        <v>4.5</v>
      </c>
      <c r="R105" s="1119">
        <v>5.75</v>
      </c>
      <c r="S105" s="1119">
        <v>5.9</v>
      </c>
      <c r="T105" s="1120">
        <v>5.2</v>
      </c>
      <c r="U105" s="1120">
        <v>3.63</v>
      </c>
      <c r="V105" s="1120">
        <v>2.87</v>
      </c>
      <c r="W105" s="1120">
        <v>6.2</v>
      </c>
      <c r="X105" s="1120"/>
      <c r="Y105" s="2926"/>
      <c r="Z105" s="2926"/>
      <c r="AA105" s="2926" t="s">
        <v>336</v>
      </c>
      <c r="AB105" s="2926"/>
      <c r="AC105" s="2926">
        <v>4.0999999999999996</v>
      </c>
      <c r="AD105" s="2926"/>
      <c r="AE105" s="2926"/>
      <c r="AF105" s="2926"/>
      <c r="AG105" s="61"/>
      <c r="AH105" s="61"/>
      <c r="AI105" s="67"/>
      <c r="AJ105" s="67"/>
      <c r="AK105" s="13"/>
      <c r="AL105" s="61"/>
      <c r="AM105" s="61"/>
      <c r="AN105" s="13"/>
      <c r="AO105" s="13"/>
      <c r="AP105" s="13"/>
      <c r="AQ105" s="13"/>
      <c r="AR105" s="61"/>
      <c r="AS105" s="61"/>
      <c r="AT105" s="61"/>
      <c r="AU105" s="61"/>
      <c r="AV105" s="61"/>
      <c r="AW105" s="61"/>
      <c r="AX105" s="67"/>
      <c r="AY105" s="67"/>
      <c r="AZ105" s="64"/>
      <c r="BA105" s="13"/>
      <c r="BB105" s="26"/>
      <c r="BC105" s="26"/>
      <c r="BD105" s="26"/>
      <c r="BE105" s="26"/>
      <c r="BF105" s="26"/>
      <c r="BG105" s="65"/>
      <c r="BH105" s="86"/>
      <c r="BI105" s="86"/>
      <c r="BJ105" s="86"/>
      <c r="BK105" s="86"/>
      <c r="BL105" s="13"/>
      <c r="BM105" s="67"/>
      <c r="BN105" s="67"/>
      <c r="BO105" s="61"/>
      <c r="BP105" s="61"/>
      <c r="BQ105" s="68"/>
      <c r="BR105" s="68"/>
      <c r="BS105" s="68"/>
      <c r="BT105" s="85"/>
      <c r="BU105" s="68"/>
      <c r="BV105" s="13"/>
      <c r="BW105" s="61"/>
      <c r="BX105" s="61"/>
      <c r="BY105" s="61"/>
      <c r="BZ105" s="61"/>
      <c r="CA105" s="61"/>
      <c r="CB105" s="61"/>
      <c r="CC105" s="61"/>
      <c r="CD105" s="67"/>
      <c r="CE105" s="67"/>
      <c r="CF105" s="67"/>
      <c r="CG105" s="67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7"/>
      <c r="CT105" s="67"/>
      <c r="CU105" s="67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7"/>
      <c r="DH105" s="67"/>
      <c r="DI105" s="67"/>
      <c r="DJ105" s="61"/>
      <c r="DK105" s="61"/>
      <c r="DL105" s="61"/>
      <c r="DM105" s="61"/>
      <c r="DN105" s="61"/>
      <c r="DO105" s="61"/>
    </row>
    <row r="106" spans="1:119" ht="15" customHeight="1">
      <c r="A106" s="1170" t="s">
        <v>67</v>
      </c>
      <c r="B106" s="1199" t="s">
        <v>67</v>
      </c>
      <c r="C106" s="1171">
        <f>COUNTA(D106:D111)</f>
        <v>6</v>
      </c>
      <c r="D106" s="1163" t="s">
        <v>190</v>
      </c>
      <c r="E106" s="1122">
        <v>8.6</v>
      </c>
      <c r="F106" s="1003">
        <v>8.4</v>
      </c>
      <c r="G106" s="1003">
        <v>6.3</v>
      </c>
      <c r="H106" s="1164">
        <v>5.95</v>
      </c>
      <c r="I106" s="718">
        <v>8.8000000000000007</v>
      </c>
      <c r="J106" s="1122">
        <v>6.5</v>
      </c>
      <c r="K106" s="1004">
        <v>5.5</v>
      </c>
      <c r="L106" s="1005">
        <v>5.85</v>
      </c>
      <c r="M106" s="1125">
        <v>6.26</v>
      </c>
      <c r="N106" s="1126">
        <v>5.65</v>
      </c>
      <c r="O106" s="1126">
        <v>6.2</v>
      </c>
      <c r="P106" s="1208">
        <v>5.63</v>
      </c>
      <c r="Q106" s="1183">
        <v>5.03</v>
      </c>
      <c r="R106" s="1127">
        <v>5.35</v>
      </c>
      <c r="S106" s="1127">
        <v>5.2</v>
      </c>
      <c r="T106" s="1128">
        <v>4.2</v>
      </c>
      <c r="U106" s="1128">
        <v>5.4</v>
      </c>
      <c r="V106" s="1128">
        <v>6.03</v>
      </c>
      <c r="W106" s="1128">
        <v>6.3</v>
      </c>
      <c r="X106" s="1128"/>
      <c r="Y106" s="2927"/>
      <c r="Z106" s="2927"/>
      <c r="AA106" s="2927" t="s">
        <v>336</v>
      </c>
      <c r="AB106" s="2927"/>
      <c r="AC106" s="2927">
        <v>4.0999999999999996</v>
      </c>
      <c r="AD106" s="2927"/>
      <c r="AE106" s="2927"/>
      <c r="AF106" s="2927"/>
      <c r="AG106" s="61"/>
      <c r="AH106" s="61"/>
      <c r="AI106" s="67"/>
      <c r="AJ106" s="67"/>
      <c r="AK106" s="13"/>
      <c r="AL106" s="61"/>
      <c r="AM106" s="61"/>
      <c r="AN106" s="13"/>
      <c r="AO106" s="13"/>
      <c r="AP106" s="13"/>
      <c r="AQ106" s="13"/>
      <c r="AR106" s="61"/>
      <c r="AS106" s="61"/>
      <c r="AT106" s="61"/>
      <c r="AU106" s="61"/>
      <c r="AV106" s="61"/>
      <c r="AW106" s="61"/>
      <c r="AX106" s="67"/>
      <c r="AY106" s="67"/>
      <c r="AZ106" s="64"/>
      <c r="BA106" s="13"/>
      <c r="BB106" s="26"/>
      <c r="BC106" s="26"/>
      <c r="BD106" s="26"/>
      <c r="BE106" s="26"/>
      <c r="BF106" s="26"/>
      <c r="BG106" s="65"/>
      <c r="BH106" s="86"/>
      <c r="BI106" s="86"/>
      <c r="BJ106" s="86"/>
      <c r="BK106" s="86"/>
      <c r="BL106" s="13"/>
      <c r="BM106" s="67"/>
      <c r="BN106" s="67"/>
      <c r="BO106" s="61"/>
      <c r="BP106" s="61"/>
      <c r="BQ106" s="68"/>
      <c r="BR106" s="68"/>
      <c r="BS106" s="68"/>
      <c r="BT106" s="85"/>
      <c r="BU106" s="68"/>
      <c r="BV106" s="13"/>
      <c r="BW106" s="61"/>
      <c r="BX106" s="61"/>
      <c r="BY106" s="61"/>
      <c r="BZ106" s="61"/>
      <c r="CA106" s="61"/>
      <c r="CB106" s="61"/>
      <c r="CC106" s="61"/>
      <c r="CD106" s="67"/>
      <c r="CE106" s="67"/>
      <c r="CF106" s="67"/>
      <c r="CG106" s="67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7"/>
      <c r="CT106" s="67"/>
      <c r="CU106" s="67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7"/>
      <c r="DH106" s="67"/>
      <c r="DI106" s="67"/>
      <c r="DJ106" s="61"/>
      <c r="DK106" s="61"/>
      <c r="DL106" s="61"/>
      <c r="DM106" s="61"/>
      <c r="DN106" s="61"/>
      <c r="DO106" s="61"/>
    </row>
    <row r="107" spans="1:119" ht="15" customHeight="1">
      <c r="A107" s="1170" t="s">
        <v>67</v>
      </c>
      <c r="B107" s="1199" t="s">
        <v>67</v>
      </c>
      <c r="C107" s="1171"/>
      <c r="D107" s="1163" t="s">
        <v>77</v>
      </c>
      <c r="E107" s="1122">
        <v>5.3</v>
      </c>
      <c r="F107" s="1003">
        <v>2.2999999999999998</v>
      </c>
      <c r="G107" s="1003">
        <v>6.8</v>
      </c>
      <c r="H107" s="1164">
        <v>6.65</v>
      </c>
      <c r="I107" s="718">
        <v>9.5</v>
      </c>
      <c r="J107" s="1122">
        <v>4.9000000000000004</v>
      </c>
      <c r="K107" s="1004">
        <v>6.5</v>
      </c>
      <c r="L107" s="1005">
        <v>6.65</v>
      </c>
      <c r="M107" s="1125">
        <v>5.23</v>
      </c>
      <c r="N107" s="1126">
        <v>6</v>
      </c>
      <c r="O107" s="1126">
        <v>5.67</v>
      </c>
      <c r="P107" s="1208">
        <v>6.23</v>
      </c>
      <c r="Q107" s="1183">
        <v>5.8</v>
      </c>
      <c r="R107" s="1127">
        <v>4.3</v>
      </c>
      <c r="S107" s="1127">
        <v>7.3</v>
      </c>
      <c r="T107" s="1128">
        <v>5.9</v>
      </c>
      <c r="U107" s="1128">
        <v>5</v>
      </c>
      <c r="V107" s="1128">
        <v>2.63</v>
      </c>
      <c r="W107" s="1128">
        <v>6.7</v>
      </c>
      <c r="X107" s="1128"/>
      <c r="Y107" s="2927"/>
      <c r="Z107" s="2927"/>
      <c r="AA107" s="2927" t="s">
        <v>336</v>
      </c>
      <c r="AB107" s="2927"/>
      <c r="AC107" s="2927">
        <v>3</v>
      </c>
      <c r="AD107" s="2927"/>
      <c r="AE107" s="2927"/>
      <c r="AF107" s="2927"/>
      <c r="AG107" s="61"/>
      <c r="AH107" s="61"/>
      <c r="AI107" s="67"/>
      <c r="AJ107" s="67"/>
      <c r="AK107" s="13"/>
      <c r="AL107" s="61"/>
      <c r="AM107" s="61"/>
      <c r="AN107" s="13"/>
      <c r="AO107" s="13"/>
      <c r="AP107" s="13"/>
      <c r="AQ107" s="13"/>
      <c r="AR107" s="61"/>
      <c r="AS107" s="61"/>
      <c r="AT107" s="61"/>
      <c r="AU107" s="61"/>
      <c r="AV107" s="61"/>
      <c r="AW107" s="61"/>
      <c r="AX107" s="67"/>
      <c r="AY107" s="67"/>
      <c r="AZ107" s="64"/>
      <c r="BA107" s="13"/>
      <c r="BB107" s="26"/>
      <c r="BC107" s="26"/>
      <c r="BD107" s="26"/>
      <c r="BE107" s="26"/>
      <c r="BF107" s="26"/>
      <c r="BG107" s="65"/>
      <c r="BH107" s="86"/>
      <c r="BI107" s="86"/>
      <c r="BJ107" s="86"/>
      <c r="BK107" s="86"/>
      <c r="BL107" s="13"/>
      <c r="BM107" s="67"/>
      <c r="BN107" s="67"/>
      <c r="BO107" s="61"/>
      <c r="BP107" s="61"/>
      <c r="BQ107" s="68"/>
      <c r="BR107" s="68"/>
      <c r="BS107" s="68"/>
      <c r="BT107" s="85"/>
      <c r="BU107" s="68"/>
      <c r="BV107" s="13"/>
      <c r="BW107" s="61"/>
      <c r="BX107" s="61"/>
      <c r="BY107" s="61"/>
      <c r="BZ107" s="61"/>
      <c r="CA107" s="61"/>
      <c r="CB107" s="61"/>
      <c r="CC107" s="61"/>
      <c r="CD107" s="67"/>
      <c r="CE107" s="67"/>
      <c r="CF107" s="67"/>
      <c r="CG107" s="67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7"/>
      <c r="CT107" s="67"/>
      <c r="CU107" s="67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7"/>
      <c r="DH107" s="67"/>
      <c r="DI107" s="67"/>
      <c r="DJ107" s="61"/>
      <c r="DK107" s="61"/>
      <c r="DL107" s="61"/>
      <c r="DM107" s="61"/>
      <c r="DN107" s="61"/>
      <c r="DO107" s="61"/>
    </row>
    <row r="108" spans="1:119">
      <c r="A108" s="1170" t="s">
        <v>67</v>
      </c>
      <c r="B108" s="1199" t="s">
        <v>67</v>
      </c>
      <c r="C108" s="1171"/>
      <c r="D108" s="1163" t="s">
        <v>268</v>
      </c>
      <c r="E108" s="1122"/>
      <c r="F108" s="1003"/>
      <c r="G108" s="1003"/>
      <c r="H108" s="1164"/>
      <c r="I108" s="718"/>
      <c r="J108" s="1122"/>
      <c r="K108" s="1004"/>
      <c r="L108" s="1005"/>
      <c r="M108" s="1125">
        <v>7.33</v>
      </c>
      <c r="N108" s="1126">
        <v>7.1</v>
      </c>
      <c r="O108" s="1126">
        <v>7.07</v>
      </c>
      <c r="P108" s="1208">
        <v>7.4</v>
      </c>
      <c r="Q108" s="1183">
        <v>7.27</v>
      </c>
      <c r="R108" s="1127">
        <v>7.45</v>
      </c>
      <c r="S108" s="1127">
        <v>7.1</v>
      </c>
      <c r="T108" s="1128">
        <v>7.6</v>
      </c>
      <c r="U108" s="1128">
        <v>7.73</v>
      </c>
      <c r="V108" s="1128">
        <v>7.69</v>
      </c>
      <c r="W108" s="1128">
        <v>6.5</v>
      </c>
      <c r="X108" s="1128"/>
      <c r="Y108" s="2927"/>
      <c r="Z108" s="2927"/>
      <c r="AA108" s="2927" t="s">
        <v>336</v>
      </c>
      <c r="AB108" s="2927"/>
      <c r="AC108" s="2927">
        <v>4.8</v>
      </c>
      <c r="AD108" s="2927"/>
      <c r="AE108" s="2927"/>
      <c r="AF108" s="2927"/>
      <c r="AG108" s="61"/>
      <c r="AH108" s="61"/>
      <c r="AI108" s="61"/>
      <c r="AJ108" s="49"/>
      <c r="AK108" s="49"/>
      <c r="AL108" s="61"/>
      <c r="AM108" s="28"/>
      <c r="AN108" s="49"/>
      <c r="AO108" s="49"/>
      <c r="AP108" s="49"/>
      <c r="AQ108" s="14"/>
      <c r="AR108" s="61"/>
      <c r="AS108" s="61"/>
      <c r="AT108" s="61"/>
      <c r="AU108" s="61"/>
      <c r="AV108" s="61"/>
      <c r="AW108" s="28"/>
      <c r="AX108" s="49"/>
      <c r="AY108" s="49"/>
      <c r="AZ108" s="16"/>
      <c r="BA108" s="14"/>
      <c r="BB108" s="26"/>
      <c r="BC108" s="26"/>
      <c r="BD108" s="26"/>
      <c r="BE108" s="26"/>
      <c r="BF108" s="28"/>
      <c r="BG108" s="66"/>
      <c r="BH108" s="87"/>
      <c r="BI108" s="87"/>
      <c r="BJ108" s="87"/>
      <c r="BK108" s="87"/>
      <c r="BL108" s="14"/>
      <c r="BM108" s="61"/>
      <c r="BN108" s="61"/>
      <c r="BO108" s="61"/>
      <c r="BP108" s="28"/>
      <c r="BQ108" s="49"/>
      <c r="BR108" s="49"/>
      <c r="BS108" s="49"/>
      <c r="BT108" s="49"/>
      <c r="BU108" s="49"/>
      <c r="BV108" s="14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/>
      <c r="CL108" s="61"/>
      <c r="CM108" s="61"/>
      <c r="CN108" s="61"/>
      <c r="CO108" s="61"/>
      <c r="CP108" s="61"/>
      <c r="CQ108" s="61"/>
      <c r="CR108" s="61"/>
      <c r="CS108" s="61"/>
      <c r="CT108" s="61"/>
      <c r="CU108" s="61"/>
      <c r="CV108" s="61"/>
      <c r="CW108" s="61"/>
      <c r="CX108" s="61"/>
      <c r="CY108" s="61"/>
      <c r="CZ108" s="61"/>
      <c r="DA108" s="61"/>
      <c r="DB108" s="61"/>
      <c r="DC108" s="61"/>
      <c r="DD108" s="61"/>
      <c r="DE108" s="61"/>
      <c r="DF108" s="61"/>
      <c r="DG108" s="61"/>
      <c r="DH108" s="61"/>
      <c r="DI108" s="61"/>
      <c r="DJ108" s="61"/>
      <c r="DK108" s="61"/>
      <c r="DL108" s="61"/>
      <c r="DM108" s="61"/>
      <c r="DN108" s="61"/>
      <c r="DO108" s="61"/>
    </row>
    <row r="109" spans="1:119">
      <c r="A109" s="1170" t="s">
        <v>67</v>
      </c>
      <c r="B109" s="1199" t="s">
        <v>67</v>
      </c>
      <c r="C109" s="1171"/>
      <c r="D109" s="1163" t="s">
        <v>272</v>
      </c>
      <c r="E109" s="1122"/>
      <c r="F109" s="1003"/>
      <c r="G109" s="1003"/>
      <c r="H109" s="1164"/>
      <c r="I109" s="718"/>
      <c r="J109" s="1122"/>
      <c r="K109" s="1004"/>
      <c r="L109" s="1005"/>
      <c r="M109" s="1125">
        <v>8.33</v>
      </c>
      <c r="N109" s="1126">
        <v>8</v>
      </c>
      <c r="O109" s="1126">
        <v>8.23</v>
      </c>
      <c r="P109" s="1208">
        <v>7.33</v>
      </c>
      <c r="Q109" s="1183">
        <v>8</v>
      </c>
      <c r="R109" s="1127">
        <v>7.45</v>
      </c>
      <c r="S109" s="1127">
        <v>7.2</v>
      </c>
      <c r="T109" s="1128">
        <v>7.6</v>
      </c>
      <c r="U109" s="1128">
        <v>8.3000000000000007</v>
      </c>
      <c r="V109" s="1128">
        <v>8.09</v>
      </c>
      <c r="W109" s="1128">
        <v>7</v>
      </c>
      <c r="X109" s="1128"/>
      <c r="Y109" s="2927"/>
      <c r="Z109" s="2927"/>
      <c r="AA109" s="2927" t="s">
        <v>336</v>
      </c>
      <c r="AB109" s="2927"/>
      <c r="AC109" s="2927">
        <v>7.6</v>
      </c>
      <c r="AD109" s="2927"/>
      <c r="AE109" s="2927"/>
      <c r="AF109" s="2927"/>
      <c r="AG109" s="61"/>
      <c r="AH109" s="61"/>
      <c r="AI109" s="61"/>
      <c r="AJ109" s="49"/>
      <c r="AK109" s="49"/>
      <c r="AL109" s="61"/>
      <c r="AM109" s="28"/>
      <c r="AN109" s="49"/>
      <c r="AO109" s="49"/>
      <c r="AP109" s="49"/>
      <c r="AQ109" s="14"/>
      <c r="AR109" s="61"/>
      <c r="AS109" s="61"/>
      <c r="AT109" s="61"/>
      <c r="AU109" s="61"/>
      <c r="AV109" s="61"/>
      <c r="AW109" s="28"/>
      <c r="AX109" s="49"/>
      <c r="AY109" s="49"/>
      <c r="AZ109" s="16"/>
      <c r="BA109" s="14"/>
      <c r="BB109" s="26"/>
      <c r="BC109" s="26"/>
      <c r="BD109" s="26"/>
      <c r="BE109" s="26"/>
      <c r="BF109" s="28"/>
      <c r="BG109" s="66"/>
      <c r="BH109" s="87"/>
      <c r="BI109" s="87"/>
      <c r="BJ109" s="87"/>
      <c r="BK109" s="87"/>
      <c r="BL109" s="14"/>
      <c r="BM109" s="61"/>
      <c r="BN109" s="61"/>
      <c r="BO109" s="61"/>
      <c r="BP109" s="28"/>
      <c r="BQ109" s="49"/>
      <c r="BR109" s="49"/>
      <c r="BS109" s="49"/>
      <c r="BT109" s="49"/>
      <c r="BU109" s="49"/>
      <c r="BV109" s="14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/>
      <c r="CL109" s="61"/>
      <c r="CM109" s="61"/>
      <c r="CN109" s="61"/>
      <c r="CO109" s="61"/>
      <c r="CP109" s="61"/>
      <c r="CQ109" s="61"/>
      <c r="CR109" s="61"/>
      <c r="CS109" s="61"/>
      <c r="CT109" s="61"/>
      <c r="CU109" s="61"/>
      <c r="CV109" s="61"/>
      <c r="CW109" s="61"/>
      <c r="CX109" s="61"/>
      <c r="CY109" s="61"/>
      <c r="CZ109" s="61"/>
      <c r="DA109" s="61"/>
      <c r="DB109" s="61"/>
      <c r="DC109" s="61"/>
      <c r="DD109" s="61"/>
      <c r="DE109" s="61"/>
      <c r="DF109" s="61"/>
      <c r="DG109" s="61"/>
      <c r="DH109" s="61"/>
      <c r="DI109" s="61"/>
      <c r="DJ109" s="61"/>
      <c r="DK109" s="61"/>
      <c r="DL109" s="61"/>
      <c r="DM109" s="61"/>
      <c r="DN109" s="61"/>
      <c r="DO109" s="61"/>
    </row>
    <row r="110" spans="1:119" ht="15" customHeight="1" thickBot="1">
      <c r="A110" s="1173" t="s">
        <v>67</v>
      </c>
      <c r="B110" s="1205" t="s">
        <v>67</v>
      </c>
      <c r="C110" s="1174"/>
      <c r="D110" s="1165" t="s">
        <v>267</v>
      </c>
      <c r="E110" s="1146"/>
      <c r="F110" s="1147"/>
      <c r="G110" s="1147"/>
      <c r="H110" s="1166"/>
      <c r="I110" s="1160"/>
      <c r="J110" s="1146"/>
      <c r="K110" s="1148"/>
      <c r="L110" s="1134"/>
      <c r="M110" s="1135">
        <v>8.1</v>
      </c>
      <c r="N110" s="1136">
        <v>8</v>
      </c>
      <c r="O110" s="1136">
        <v>7.6</v>
      </c>
      <c r="P110" s="1209">
        <v>7.63</v>
      </c>
      <c r="Q110" s="1184">
        <v>7.5</v>
      </c>
      <c r="R110" s="633">
        <v>6.9</v>
      </c>
      <c r="S110" s="633">
        <v>7.6</v>
      </c>
      <c r="T110" s="634">
        <v>7.8</v>
      </c>
      <c r="U110" s="634">
        <v>7.77</v>
      </c>
      <c r="V110" s="634">
        <v>7.1</v>
      </c>
      <c r="W110" s="634">
        <v>7.3</v>
      </c>
      <c r="X110" s="634"/>
      <c r="Y110" s="2928"/>
      <c r="Z110" s="2928"/>
      <c r="AA110" s="2928" t="s">
        <v>336</v>
      </c>
      <c r="AB110" s="2928"/>
      <c r="AC110" s="2928">
        <v>7</v>
      </c>
      <c r="AD110" s="2928"/>
      <c r="AE110" s="2928"/>
      <c r="AF110" s="2928"/>
      <c r="AG110" s="13"/>
      <c r="AH110" s="85"/>
      <c r="AI110" s="13"/>
      <c r="AJ110" s="69"/>
      <c r="AK110" s="69"/>
      <c r="AL110" s="61"/>
      <c r="AM110" s="61"/>
      <c r="AN110" s="69"/>
      <c r="AO110" s="69"/>
      <c r="AP110" s="69"/>
      <c r="AQ110" s="14"/>
      <c r="AR110" s="61"/>
      <c r="AS110" s="61"/>
      <c r="AT110" s="61"/>
      <c r="AU110" s="13"/>
      <c r="AV110" s="13"/>
      <c r="AW110" s="13"/>
      <c r="AX110" s="13"/>
      <c r="AY110" s="69"/>
      <c r="AZ110" s="17"/>
      <c r="BA110" s="14"/>
      <c r="BB110" s="26"/>
      <c r="BC110" s="26"/>
      <c r="BD110" s="26"/>
      <c r="BE110" s="26"/>
      <c r="BF110" s="26"/>
      <c r="BG110" s="66"/>
      <c r="BH110" s="87"/>
      <c r="BI110" s="61"/>
      <c r="BJ110" s="13"/>
      <c r="BK110" s="13"/>
      <c r="BL110" s="13"/>
      <c r="BM110" s="13"/>
      <c r="BN110" s="61"/>
      <c r="BO110" s="61"/>
      <c r="BP110" s="61"/>
      <c r="BQ110" s="69"/>
      <c r="BR110" s="69"/>
      <c r="BS110" s="69"/>
      <c r="BT110" s="69"/>
      <c r="BU110" s="69"/>
      <c r="BV110" s="14"/>
      <c r="BW110" s="61"/>
      <c r="BX110" s="61"/>
      <c r="BY110" s="88"/>
      <c r="BZ110" s="89"/>
      <c r="CA110" s="88"/>
      <c r="CB110" s="88"/>
      <c r="CC110" s="88"/>
      <c r="CD110" s="13"/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1"/>
      <c r="CP110" s="85"/>
      <c r="CQ110" s="68"/>
      <c r="CR110" s="68"/>
      <c r="CS110" s="13"/>
      <c r="CT110" s="68"/>
      <c r="CU110" s="61"/>
      <c r="CV110" s="61"/>
      <c r="CW110" s="61"/>
      <c r="CX110" s="61"/>
      <c r="CY110" s="61"/>
      <c r="CZ110" s="61"/>
      <c r="DA110" s="61"/>
      <c r="DB110" s="61"/>
      <c r="DC110" s="61"/>
      <c r="DD110" s="61"/>
      <c r="DE110" s="68"/>
      <c r="DF110" s="68"/>
      <c r="DG110" s="13"/>
      <c r="DH110" s="61"/>
      <c r="DI110" s="61"/>
      <c r="DJ110" s="61"/>
      <c r="DK110" s="61"/>
      <c r="DL110" s="61"/>
      <c r="DM110" s="61"/>
      <c r="DN110" s="61"/>
      <c r="DO110" s="61"/>
    </row>
    <row r="111" spans="1:119">
      <c r="A111" s="1014" t="s">
        <v>186</v>
      </c>
      <c r="B111" s="1023" t="s">
        <v>186</v>
      </c>
      <c r="C111" s="993"/>
      <c r="D111" s="1161" t="s">
        <v>265</v>
      </c>
      <c r="E111" s="1616"/>
      <c r="F111" s="1616"/>
      <c r="G111" s="1616"/>
      <c r="H111" s="1617"/>
      <c r="I111" s="1180"/>
      <c r="J111" s="1616"/>
      <c r="K111" s="1181"/>
      <c r="L111" s="1182"/>
      <c r="M111" s="1618">
        <v>7.53</v>
      </c>
      <c r="N111" s="1207">
        <v>7.1</v>
      </c>
      <c r="O111" s="1207">
        <v>7.23</v>
      </c>
      <c r="P111" s="1207">
        <v>7.8</v>
      </c>
      <c r="Q111" s="1203">
        <v>8.17</v>
      </c>
      <c r="R111" s="1119">
        <v>6.3</v>
      </c>
      <c r="S111" s="1119">
        <v>7.5</v>
      </c>
      <c r="T111" s="1120">
        <v>7.8</v>
      </c>
      <c r="U111" s="1120">
        <v>8.1</v>
      </c>
      <c r="V111" s="1120">
        <v>7</v>
      </c>
      <c r="W111" s="1120">
        <v>7</v>
      </c>
      <c r="X111" s="1120"/>
      <c r="Y111" s="2926"/>
      <c r="Z111" s="2926"/>
      <c r="AA111" s="3336" t="s">
        <v>336</v>
      </c>
      <c r="AB111" s="2926"/>
      <c r="AC111" s="2926">
        <v>8.1999999999999993</v>
      </c>
      <c r="AD111" s="2926"/>
      <c r="AE111" s="3336"/>
      <c r="AF111" s="2926"/>
      <c r="AG111" s="49"/>
      <c r="AH111" s="49"/>
      <c r="AI111" s="77"/>
      <c r="AJ111" s="69"/>
      <c r="AK111" s="69"/>
      <c r="AL111" s="61"/>
      <c r="AM111" s="61"/>
      <c r="AN111" s="69"/>
      <c r="AO111" s="69"/>
      <c r="AP111" s="69"/>
      <c r="AQ111" s="14"/>
      <c r="AR111" s="61"/>
      <c r="AS111" s="61"/>
      <c r="AT111" s="28"/>
      <c r="AU111" s="49"/>
      <c r="AV111" s="49"/>
      <c r="AW111" s="49"/>
      <c r="AX111" s="77"/>
      <c r="AY111" s="69"/>
      <c r="AZ111" s="17"/>
      <c r="BA111" s="14"/>
      <c r="BB111" s="26"/>
      <c r="BC111" s="26"/>
      <c r="BD111" s="26"/>
      <c r="BE111" s="26"/>
      <c r="BF111" s="26"/>
      <c r="BG111" s="66"/>
      <c r="BH111" s="87"/>
      <c r="BI111" s="28"/>
      <c r="BJ111" s="49"/>
      <c r="BK111" s="49"/>
      <c r="BL111" s="49"/>
      <c r="BM111" s="77"/>
      <c r="BN111" s="61"/>
      <c r="BO111" s="61"/>
      <c r="BP111" s="61"/>
      <c r="BQ111" s="69"/>
      <c r="BR111" s="69"/>
      <c r="BS111" s="69"/>
      <c r="BT111" s="69"/>
      <c r="BU111" s="69"/>
      <c r="BV111" s="14"/>
      <c r="BW111" s="61"/>
      <c r="BX111" s="28"/>
      <c r="BY111" s="87"/>
      <c r="BZ111" s="87"/>
      <c r="CA111" s="87"/>
      <c r="CB111" s="87"/>
      <c r="CC111" s="87"/>
      <c r="CD111" s="77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28"/>
      <c r="CP111" s="49"/>
      <c r="CQ111" s="49"/>
      <c r="CR111" s="49"/>
      <c r="CS111" s="77"/>
      <c r="CT111" s="49"/>
      <c r="CU111" s="61"/>
      <c r="CV111" s="61"/>
      <c r="CW111" s="61"/>
      <c r="CX111" s="61"/>
      <c r="CY111" s="61"/>
      <c r="CZ111" s="61"/>
      <c r="DA111" s="61"/>
      <c r="DB111" s="61"/>
      <c r="DC111" s="61"/>
      <c r="DD111" s="28"/>
      <c r="DE111" s="49"/>
      <c r="DF111" s="49"/>
      <c r="DG111" s="77"/>
      <c r="DH111" s="61"/>
      <c r="DI111" s="61"/>
      <c r="DJ111" s="61"/>
      <c r="DK111" s="61"/>
      <c r="DL111" s="61"/>
      <c r="DM111" s="61"/>
      <c r="DN111" s="61"/>
      <c r="DO111" s="61"/>
    </row>
    <row r="112" spans="1:119">
      <c r="A112" s="1170" t="s">
        <v>186</v>
      </c>
      <c r="B112" s="1199" t="s">
        <v>186</v>
      </c>
      <c r="C112" s="1171"/>
      <c r="D112" s="1163" t="s">
        <v>79</v>
      </c>
      <c r="E112" s="1122">
        <v>1.5</v>
      </c>
      <c r="F112" s="1003">
        <v>0.3</v>
      </c>
      <c r="G112" s="1003">
        <v>4</v>
      </c>
      <c r="H112" s="1164">
        <v>4</v>
      </c>
      <c r="I112" s="718">
        <v>2.9</v>
      </c>
      <c r="J112" s="1122">
        <v>3.45</v>
      </c>
      <c r="K112" s="1004">
        <v>3.4</v>
      </c>
      <c r="L112" s="1005">
        <v>3.6</v>
      </c>
      <c r="M112" s="1183">
        <v>4.5599999999999996</v>
      </c>
      <c r="N112" s="1208">
        <v>3.65</v>
      </c>
      <c r="O112" s="1208">
        <v>5.87</v>
      </c>
      <c r="P112" s="1208">
        <v>4.53</v>
      </c>
      <c r="Q112" s="1046">
        <v>4.87</v>
      </c>
      <c r="R112" s="1127">
        <v>4.3</v>
      </c>
      <c r="S112" s="1127">
        <v>3.8</v>
      </c>
      <c r="T112" s="1128">
        <v>5.0999999999999996</v>
      </c>
      <c r="U112" s="1128">
        <v>5.23</v>
      </c>
      <c r="V112" s="1128">
        <v>3.03</v>
      </c>
      <c r="W112" s="1128">
        <v>3.4</v>
      </c>
      <c r="X112" s="1128"/>
      <c r="Y112" s="2927"/>
      <c r="Z112" s="2927"/>
      <c r="AA112" s="3268" t="s">
        <v>336</v>
      </c>
      <c r="AB112" s="2927"/>
      <c r="AC112" s="2927">
        <v>7.5</v>
      </c>
      <c r="AD112" s="2927"/>
      <c r="AE112" s="3268"/>
      <c r="AF112" s="2927"/>
      <c r="AG112" s="49"/>
      <c r="AH112" s="49"/>
      <c r="AI112" s="77"/>
      <c r="AJ112" s="69"/>
      <c r="AK112" s="69"/>
      <c r="AL112" s="61"/>
      <c r="AM112" s="61"/>
      <c r="AN112" s="69"/>
      <c r="AO112" s="69"/>
      <c r="AP112" s="69"/>
      <c r="AQ112" s="14"/>
      <c r="AR112" s="61"/>
      <c r="AS112" s="61"/>
      <c r="AT112" s="28"/>
      <c r="AU112" s="49"/>
      <c r="AV112" s="49"/>
      <c r="AW112" s="49"/>
      <c r="AX112" s="77"/>
      <c r="AY112" s="69"/>
      <c r="AZ112" s="17"/>
      <c r="BA112" s="14"/>
      <c r="BB112" s="26"/>
      <c r="BC112" s="26"/>
      <c r="BD112" s="26"/>
      <c r="BE112" s="26"/>
      <c r="BF112" s="26"/>
      <c r="BG112" s="66"/>
      <c r="BH112" s="87"/>
      <c r="BI112" s="28"/>
      <c r="BJ112" s="49"/>
      <c r="BK112" s="49"/>
      <c r="BL112" s="49"/>
      <c r="BM112" s="77"/>
      <c r="BN112" s="61"/>
      <c r="BO112" s="61"/>
      <c r="BP112" s="61"/>
      <c r="BQ112" s="69"/>
      <c r="BR112" s="69"/>
      <c r="BS112" s="69"/>
      <c r="BT112" s="69"/>
      <c r="BU112" s="69"/>
      <c r="BV112" s="14"/>
      <c r="BW112" s="61"/>
      <c r="BX112" s="28"/>
      <c r="BY112" s="87"/>
      <c r="BZ112" s="87"/>
      <c r="CA112" s="87"/>
      <c r="CB112" s="87"/>
      <c r="CC112" s="87"/>
      <c r="CD112" s="77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28"/>
      <c r="CP112" s="49"/>
      <c r="CQ112" s="49"/>
      <c r="CR112" s="49"/>
      <c r="CS112" s="77"/>
      <c r="CT112" s="49"/>
      <c r="CU112" s="61"/>
      <c r="CV112" s="61"/>
      <c r="CW112" s="61"/>
      <c r="CX112" s="61"/>
      <c r="CY112" s="61"/>
      <c r="CZ112" s="61"/>
      <c r="DA112" s="61"/>
      <c r="DB112" s="61"/>
      <c r="DC112" s="61"/>
      <c r="DD112" s="28"/>
      <c r="DE112" s="49"/>
      <c r="DF112" s="49"/>
      <c r="DG112" s="77"/>
      <c r="DH112" s="61"/>
      <c r="DI112" s="61"/>
      <c r="DJ112" s="61"/>
      <c r="DK112" s="61"/>
      <c r="DL112" s="61"/>
      <c r="DM112" s="61"/>
      <c r="DN112" s="61"/>
      <c r="DO112" s="61"/>
    </row>
    <row r="113" spans="1:119">
      <c r="A113" s="1170" t="s">
        <v>186</v>
      </c>
      <c r="B113" s="1199" t="s">
        <v>186</v>
      </c>
      <c r="C113" s="1171"/>
      <c r="D113" s="1163" t="s">
        <v>188</v>
      </c>
      <c r="E113" s="1122">
        <v>6.4</v>
      </c>
      <c r="F113" s="1003">
        <v>5.2</v>
      </c>
      <c r="G113" s="1003">
        <v>4.0999999999999996</v>
      </c>
      <c r="H113" s="1164">
        <v>5.7</v>
      </c>
      <c r="I113" s="718">
        <v>3.5</v>
      </c>
      <c r="J113" s="1122">
        <v>0.5</v>
      </c>
      <c r="K113" s="1004">
        <v>3.6</v>
      </c>
      <c r="L113" s="1005">
        <v>2.5</v>
      </c>
      <c r="M113" s="1183">
        <v>2.9</v>
      </c>
      <c r="N113" s="1208">
        <v>5.7</v>
      </c>
      <c r="O113" s="1208">
        <v>5.8</v>
      </c>
      <c r="P113" s="1208">
        <v>5.03</v>
      </c>
      <c r="Q113" s="1046">
        <v>3.63</v>
      </c>
      <c r="R113" s="1127">
        <v>4</v>
      </c>
      <c r="S113" s="1127">
        <v>4.7</v>
      </c>
      <c r="T113" s="1128">
        <v>5.13</v>
      </c>
      <c r="U113" s="1128">
        <v>2.7</v>
      </c>
      <c r="V113" s="1128">
        <v>2.73</v>
      </c>
      <c r="W113" s="1128">
        <v>4.5</v>
      </c>
      <c r="X113" s="1128"/>
      <c r="Y113" s="2927"/>
      <c r="Z113" s="2927"/>
      <c r="AA113" s="3268" t="s">
        <v>336</v>
      </c>
      <c r="AB113" s="2927"/>
      <c r="AC113" s="2927">
        <v>2.2000000000000002</v>
      </c>
      <c r="AD113" s="2927"/>
      <c r="AE113" s="3268"/>
      <c r="AF113" s="2927"/>
      <c r="AG113" s="69"/>
      <c r="AH113" s="69"/>
      <c r="AI113" s="77"/>
      <c r="AJ113" s="69"/>
      <c r="AK113" s="69"/>
      <c r="AL113" s="61"/>
      <c r="AM113" s="61"/>
      <c r="AN113" s="69"/>
      <c r="AO113" s="69"/>
      <c r="AP113" s="69"/>
      <c r="AQ113" s="14"/>
      <c r="AR113" s="61"/>
      <c r="AS113" s="61"/>
      <c r="AT113" s="78"/>
      <c r="AU113" s="69"/>
      <c r="AV113" s="69"/>
      <c r="AW113" s="69"/>
      <c r="AX113" s="77"/>
      <c r="AY113" s="69"/>
      <c r="AZ113" s="17"/>
      <c r="BA113" s="14"/>
      <c r="BB113" s="26"/>
      <c r="BC113" s="26"/>
      <c r="BD113" s="26"/>
      <c r="BE113" s="26"/>
      <c r="BF113" s="26"/>
      <c r="BG113" s="66"/>
      <c r="BH113" s="87"/>
      <c r="BI113" s="78"/>
      <c r="BJ113" s="69"/>
      <c r="BK113" s="69"/>
      <c r="BL113" s="69"/>
      <c r="BM113" s="77"/>
      <c r="BN113" s="61"/>
      <c r="BO113" s="61"/>
      <c r="BP113" s="61"/>
      <c r="BQ113" s="69"/>
      <c r="BR113" s="69"/>
      <c r="BS113" s="69"/>
      <c r="BT113" s="69"/>
      <c r="BU113" s="69"/>
      <c r="BV113" s="14"/>
      <c r="BW113" s="61"/>
      <c r="BX113" s="78"/>
      <c r="BY113" s="87"/>
      <c r="BZ113" s="87"/>
      <c r="CA113" s="87"/>
      <c r="CB113" s="87"/>
      <c r="CC113" s="87"/>
      <c r="CD113" s="77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78"/>
      <c r="CP113" s="69"/>
      <c r="CQ113" s="69"/>
      <c r="CR113" s="69"/>
      <c r="CS113" s="77"/>
      <c r="CT113" s="69"/>
      <c r="CU113" s="61"/>
      <c r="CV113" s="61"/>
      <c r="CW113" s="61"/>
      <c r="CX113" s="61"/>
      <c r="CY113" s="61"/>
      <c r="CZ113" s="61"/>
      <c r="DA113" s="61"/>
      <c r="DB113" s="61"/>
      <c r="DC113" s="61"/>
      <c r="DD113" s="78"/>
      <c r="DE113" s="69"/>
      <c r="DF113" s="69"/>
      <c r="DG113" s="77"/>
      <c r="DH113" s="61"/>
      <c r="DI113" s="61"/>
      <c r="DJ113" s="61"/>
      <c r="DK113" s="61"/>
      <c r="DL113" s="61"/>
      <c r="DM113" s="61"/>
      <c r="DN113" s="61"/>
      <c r="DO113" s="61"/>
    </row>
    <row r="114" spans="1:119">
      <c r="A114" s="1170" t="s">
        <v>186</v>
      </c>
      <c r="B114" s="1199" t="s">
        <v>186</v>
      </c>
      <c r="C114" s="1171"/>
      <c r="D114" s="1163" t="s">
        <v>72</v>
      </c>
      <c r="E114" s="1122">
        <v>3.2</v>
      </c>
      <c r="F114" s="1003">
        <v>4</v>
      </c>
      <c r="G114" s="1003">
        <v>3.3</v>
      </c>
      <c r="H114" s="1164">
        <v>12.1</v>
      </c>
      <c r="I114" s="718">
        <v>10</v>
      </c>
      <c r="J114" s="1122">
        <v>6.65</v>
      </c>
      <c r="K114" s="1004">
        <v>5.2</v>
      </c>
      <c r="L114" s="1005">
        <v>7.2</v>
      </c>
      <c r="M114" s="1183">
        <v>7.46</v>
      </c>
      <c r="N114" s="1208">
        <v>4.1500000000000004</v>
      </c>
      <c r="O114" s="1208">
        <v>5.3</v>
      </c>
      <c r="P114" s="1208">
        <v>6.9</v>
      </c>
      <c r="Q114" s="1046">
        <v>9.67</v>
      </c>
      <c r="R114" s="1127">
        <v>2.2999999999999998</v>
      </c>
      <c r="S114" s="1127">
        <v>6.1</v>
      </c>
      <c r="T114" s="1128">
        <v>4.0599999999999996</v>
      </c>
      <c r="U114" s="1128">
        <v>9.9700000000000006</v>
      </c>
      <c r="V114" s="1128">
        <v>7.43</v>
      </c>
      <c r="W114" s="1128">
        <v>4.3</v>
      </c>
      <c r="X114" s="1128"/>
      <c r="Y114" s="2927"/>
      <c r="Z114" s="2927"/>
      <c r="AA114" s="3268" t="s">
        <v>336</v>
      </c>
      <c r="AB114" s="2927"/>
      <c r="AC114" s="2927">
        <v>3.2</v>
      </c>
      <c r="AD114" s="2927"/>
      <c r="AE114" s="3268"/>
      <c r="AF114" s="2927"/>
      <c r="AG114" s="69"/>
      <c r="AH114" s="69"/>
      <c r="AI114" s="77"/>
      <c r="AJ114" s="69"/>
      <c r="AK114" s="69"/>
      <c r="AL114" s="61"/>
      <c r="AM114" s="61"/>
      <c r="AN114" s="69"/>
      <c r="AO114" s="69"/>
      <c r="AP114" s="69"/>
      <c r="AQ114" s="14"/>
      <c r="AR114" s="61"/>
      <c r="AS114" s="61"/>
      <c r="AT114" s="78"/>
      <c r="AU114" s="69"/>
      <c r="AV114" s="69"/>
      <c r="AW114" s="69"/>
      <c r="AX114" s="77"/>
      <c r="AY114" s="69"/>
      <c r="AZ114" s="17"/>
      <c r="BA114" s="14"/>
      <c r="BB114" s="26"/>
      <c r="BC114" s="26"/>
      <c r="BD114" s="26"/>
      <c r="BE114" s="26"/>
      <c r="BF114" s="26"/>
      <c r="BG114" s="66"/>
      <c r="BH114" s="87"/>
      <c r="BI114" s="78"/>
      <c r="BJ114" s="69"/>
      <c r="BK114" s="69"/>
      <c r="BL114" s="69"/>
      <c r="BM114" s="77"/>
      <c r="BN114" s="61"/>
      <c r="BO114" s="61"/>
      <c r="BP114" s="61"/>
      <c r="BQ114" s="69"/>
      <c r="BR114" s="69"/>
      <c r="BS114" s="69"/>
      <c r="BT114" s="69"/>
      <c r="BU114" s="69"/>
      <c r="BV114" s="14"/>
      <c r="BW114" s="61"/>
      <c r="BX114" s="78"/>
      <c r="BY114" s="87"/>
      <c r="BZ114" s="87"/>
      <c r="CA114" s="87"/>
      <c r="CB114" s="87"/>
      <c r="CC114" s="87"/>
      <c r="CD114" s="77"/>
      <c r="CE114" s="61"/>
      <c r="CF114" s="61"/>
      <c r="CG114" s="61"/>
      <c r="CH114" s="61"/>
      <c r="CI114" s="61"/>
      <c r="CJ114" s="61"/>
      <c r="CK114" s="61"/>
      <c r="CL114" s="61"/>
      <c r="CM114" s="61"/>
      <c r="CN114" s="61"/>
      <c r="CO114" s="78"/>
      <c r="CP114" s="69"/>
      <c r="CQ114" s="69"/>
      <c r="CR114" s="69"/>
      <c r="CS114" s="77"/>
      <c r="CT114" s="69"/>
      <c r="CU114" s="61"/>
      <c r="CV114" s="61"/>
      <c r="CW114" s="61"/>
      <c r="CX114" s="61"/>
      <c r="CY114" s="61"/>
      <c r="CZ114" s="61"/>
      <c r="DA114" s="61"/>
      <c r="DB114" s="61"/>
      <c r="DC114" s="61"/>
      <c r="DD114" s="78"/>
      <c r="DE114" s="69"/>
      <c r="DF114" s="69"/>
      <c r="DG114" s="77"/>
      <c r="DH114" s="61"/>
      <c r="DI114" s="61"/>
      <c r="DJ114" s="61"/>
      <c r="DK114" s="61"/>
      <c r="DL114" s="61"/>
      <c r="DM114" s="61"/>
      <c r="DN114" s="61"/>
      <c r="DO114" s="61"/>
    </row>
    <row r="115" spans="1:119">
      <c r="A115" s="1170" t="s">
        <v>186</v>
      </c>
      <c r="B115" s="1199" t="s">
        <v>186</v>
      </c>
      <c r="C115" s="1171"/>
      <c r="D115" s="1163" t="s">
        <v>76</v>
      </c>
      <c r="E115" s="1122">
        <v>5.9</v>
      </c>
      <c r="F115" s="1003">
        <v>5.0999999999999996</v>
      </c>
      <c r="G115" s="1003">
        <v>6.5</v>
      </c>
      <c r="H115" s="1164">
        <v>6.4</v>
      </c>
      <c r="I115" s="718">
        <v>5</v>
      </c>
      <c r="J115" s="1122">
        <v>5.25</v>
      </c>
      <c r="K115" s="1004">
        <v>5.75</v>
      </c>
      <c r="L115" s="1005">
        <v>5.0999999999999996</v>
      </c>
      <c r="M115" s="1183">
        <v>6.53</v>
      </c>
      <c r="N115" s="1208">
        <v>6</v>
      </c>
      <c r="O115" s="1208">
        <v>6.2</v>
      </c>
      <c r="P115" s="1208">
        <v>5.73</v>
      </c>
      <c r="Q115" s="1046">
        <v>5.67</v>
      </c>
      <c r="R115" s="1127">
        <v>5.95</v>
      </c>
      <c r="S115" s="1127">
        <v>4.7</v>
      </c>
      <c r="T115" s="1128">
        <v>5.36</v>
      </c>
      <c r="U115" s="1128">
        <v>5.0999999999999996</v>
      </c>
      <c r="V115" s="1128">
        <v>3.43</v>
      </c>
      <c r="W115" s="1128">
        <v>6.7</v>
      </c>
      <c r="X115" s="1128"/>
      <c r="Y115" s="2927"/>
      <c r="Z115" s="2927"/>
      <c r="AA115" s="3268" t="s">
        <v>336</v>
      </c>
      <c r="AB115" s="2927"/>
      <c r="AC115" s="2927">
        <v>6.5</v>
      </c>
      <c r="AD115" s="2927"/>
      <c r="AE115" s="3268"/>
      <c r="AF115" s="2927"/>
      <c r="AG115" s="69"/>
      <c r="AH115" s="69"/>
      <c r="AI115" s="77"/>
      <c r="AJ115" s="84"/>
      <c r="AK115" s="84"/>
      <c r="AL115" s="61"/>
      <c r="AM115" s="61"/>
      <c r="AN115" s="84"/>
      <c r="AO115" s="84"/>
      <c r="AP115" s="84"/>
      <c r="AQ115" s="14"/>
      <c r="AR115" s="61"/>
      <c r="AS115" s="61"/>
      <c r="AT115" s="78"/>
      <c r="AU115" s="69"/>
      <c r="AV115" s="69"/>
      <c r="AW115" s="69"/>
      <c r="AX115" s="77"/>
      <c r="AY115" s="84"/>
      <c r="AZ115" s="33"/>
      <c r="BA115" s="14"/>
      <c r="BB115" s="26"/>
      <c r="BC115" s="26"/>
      <c r="BD115" s="26"/>
      <c r="BE115" s="26"/>
      <c r="BF115" s="26"/>
      <c r="BG115" s="18"/>
      <c r="BH115" s="82"/>
      <c r="BI115" s="78"/>
      <c r="BJ115" s="69"/>
      <c r="BK115" s="69"/>
      <c r="BL115" s="69"/>
      <c r="BM115" s="77"/>
      <c r="BN115" s="61"/>
      <c r="BO115" s="61"/>
      <c r="BP115" s="61"/>
      <c r="BQ115" s="84"/>
      <c r="BR115" s="84"/>
      <c r="BS115" s="84"/>
      <c r="BT115" s="84"/>
      <c r="BU115" s="84"/>
      <c r="BV115" s="14"/>
      <c r="BW115" s="61"/>
      <c r="BX115" s="78"/>
      <c r="BY115" s="87"/>
      <c r="BZ115" s="87"/>
      <c r="CA115" s="87"/>
      <c r="CB115" s="87"/>
      <c r="CC115" s="87"/>
      <c r="CD115" s="77"/>
      <c r="CE115" s="61"/>
      <c r="CF115" s="61"/>
      <c r="CG115" s="61"/>
      <c r="CH115" s="61"/>
      <c r="CI115" s="61"/>
      <c r="CJ115" s="61"/>
      <c r="CK115" s="61"/>
      <c r="CL115" s="61"/>
      <c r="CM115" s="61"/>
      <c r="CN115" s="61"/>
      <c r="CO115" s="78"/>
      <c r="CP115" s="69"/>
      <c r="CQ115" s="69"/>
      <c r="CR115" s="69"/>
      <c r="CS115" s="77"/>
      <c r="CT115" s="69"/>
      <c r="CU115" s="61"/>
      <c r="CV115" s="61"/>
      <c r="CW115" s="61"/>
      <c r="CX115" s="61"/>
      <c r="CY115" s="61"/>
      <c r="CZ115" s="61"/>
      <c r="DA115" s="61"/>
      <c r="DB115" s="61"/>
      <c r="DC115" s="61"/>
      <c r="DD115" s="78"/>
      <c r="DE115" s="69"/>
      <c r="DF115" s="69"/>
      <c r="DG115" s="77"/>
      <c r="DH115" s="61"/>
      <c r="DI115" s="61"/>
      <c r="DJ115" s="61"/>
      <c r="DK115" s="61"/>
      <c r="DL115" s="61"/>
      <c r="DM115" s="61"/>
      <c r="DN115" s="61"/>
      <c r="DO115" s="61"/>
    </row>
    <row r="116" spans="1:119">
      <c r="A116" s="1170" t="s">
        <v>186</v>
      </c>
      <c r="B116" s="1199" t="s">
        <v>186</v>
      </c>
      <c r="C116" s="1171"/>
      <c r="D116" s="1163" t="s">
        <v>189</v>
      </c>
      <c r="E116" s="1122">
        <v>4.0999999999999996</v>
      </c>
      <c r="F116" s="1003">
        <v>4.2</v>
      </c>
      <c r="G116" s="1003">
        <v>5.7</v>
      </c>
      <c r="H116" s="1164">
        <v>5.5</v>
      </c>
      <c r="I116" s="718">
        <v>5.8</v>
      </c>
      <c r="J116" s="1122">
        <v>2.75</v>
      </c>
      <c r="K116" s="1004">
        <v>5.55</v>
      </c>
      <c r="L116" s="1005">
        <v>4.0999999999999996</v>
      </c>
      <c r="M116" s="1183">
        <v>6.33</v>
      </c>
      <c r="N116" s="1208">
        <v>5.7</v>
      </c>
      <c r="O116" s="1208">
        <v>5.73</v>
      </c>
      <c r="P116" s="1208">
        <v>6.67</v>
      </c>
      <c r="Q116" s="1046">
        <v>6.67</v>
      </c>
      <c r="R116" s="1127">
        <v>5.75</v>
      </c>
      <c r="S116" s="1127">
        <v>5.0999999999999996</v>
      </c>
      <c r="T116" s="1128">
        <v>6.1</v>
      </c>
      <c r="U116" s="1128">
        <v>5.87</v>
      </c>
      <c r="V116" s="1128">
        <v>5.5</v>
      </c>
      <c r="W116" s="1128">
        <v>5.8</v>
      </c>
      <c r="X116" s="1128"/>
      <c r="Y116" s="2927"/>
      <c r="Z116" s="2927"/>
      <c r="AA116" s="3268" t="s">
        <v>336</v>
      </c>
      <c r="AB116" s="2927"/>
      <c r="AC116" s="2927">
        <v>4.9000000000000004</v>
      </c>
      <c r="AD116" s="2927"/>
      <c r="AE116" s="3268"/>
      <c r="AF116" s="2927"/>
      <c r="AG116" s="69"/>
      <c r="AH116" s="69"/>
      <c r="AI116" s="77"/>
      <c r="AJ116" s="30"/>
      <c r="AK116" s="30"/>
      <c r="AL116" s="61"/>
      <c r="AM116" s="61"/>
      <c r="AN116" s="30"/>
      <c r="AO116" s="30"/>
      <c r="AP116" s="30"/>
      <c r="AQ116" s="14"/>
      <c r="AR116" s="61"/>
      <c r="AS116" s="61"/>
      <c r="AT116" s="78"/>
      <c r="AU116" s="69"/>
      <c r="AV116" s="69"/>
      <c r="AW116" s="69"/>
      <c r="AX116" s="77"/>
      <c r="AY116" s="30"/>
      <c r="AZ116" s="30"/>
      <c r="BA116" s="14"/>
      <c r="BB116" s="26"/>
      <c r="BC116" s="26"/>
      <c r="BD116" s="26"/>
      <c r="BE116" s="26"/>
      <c r="BF116" s="26"/>
      <c r="BG116" s="30"/>
      <c r="BH116" s="30"/>
      <c r="BI116" s="78"/>
      <c r="BJ116" s="69"/>
      <c r="BK116" s="69"/>
      <c r="BL116" s="69"/>
      <c r="BM116" s="77"/>
      <c r="BN116" s="61"/>
      <c r="BO116" s="61"/>
      <c r="BP116" s="61"/>
      <c r="BQ116" s="30"/>
      <c r="BR116" s="30"/>
      <c r="BS116" s="30"/>
      <c r="BT116" s="30"/>
      <c r="BU116" s="30"/>
      <c r="BV116" s="14"/>
      <c r="BW116" s="61"/>
      <c r="BX116" s="78"/>
      <c r="BY116" s="87"/>
      <c r="BZ116" s="87"/>
      <c r="CA116" s="87"/>
      <c r="CB116" s="87"/>
      <c r="CC116" s="87"/>
      <c r="CD116" s="77"/>
      <c r="CE116" s="61"/>
      <c r="CF116" s="61"/>
      <c r="CG116" s="61"/>
      <c r="CH116" s="61"/>
      <c r="CI116" s="61"/>
      <c r="CJ116" s="61"/>
      <c r="CK116" s="61"/>
      <c r="CL116" s="61"/>
      <c r="CM116" s="61"/>
      <c r="CN116" s="61"/>
      <c r="CO116" s="78"/>
      <c r="CP116" s="69"/>
      <c r="CQ116" s="69"/>
      <c r="CR116" s="69"/>
      <c r="CS116" s="77"/>
      <c r="CT116" s="69"/>
      <c r="CU116" s="61"/>
      <c r="CV116" s="61"/>
      <c r="CW116" s="61"/>
      <c r="CX116" s="61"/>
      <c r="CY116" s="61"/>
      <c r="CZ116" s="61"/>
      <c r="DA116" s="61"/>
      <c r="DB116" s="61"/>
      <c r="DC116" s="61"/>
      <c r="DD116" s="78"/>
      <c r="DE116" s="69"/>
      <c r="DF116" s="69"/>
      <c r="DG116" s="77"/>
      <c r="DH116" s="61"/>
      <c r="DI116" s="61"/>
      <c r="DJ116" s="61"/>
      <c r="DK116" s="61"/>
      <c r="DL116" s="61"/>
      <c r="DM116" s="61"/>
      <c r="DN116" s="61"/>
      <c r="DO116" s="61"/>
    </row>
    <row r="117" spans="1:119">
      <c r="A117" s="1170" t="s">
        <v>186</v>
      </c>
      <c r="B117" s="1199" t="s">
        <v>186</v>
      </c>
      <c r="C117" s="1171"/>
      <c r="D117" s="1163" t="s">
        <v>266</v>
      </c>
      <c r="E117" s="1122"/>
      <c r="F117" s="1003"/>
      <c r="G117" s="1003"/>
      <c r="H117" s="1164"/>
      <c r="I117" s="718"/>
      <c r="J117" s="1122"/>
      <c r="K117" s="1004"/>
      <c r="L117" s="1005"/>
      <c r="M117" s="1183">
        <v>7.4</v>
      </c>
      <c r="N117" s="1208">
        <v>6.5</v>
      </c>
      <c r="O117" s="1208">
        <v>6.03</v>
      </c>
      <c r="P117" s="1208">
        <v>7.8</v>
      </c>
      <c r="Q117" s="1046">
        <v>8.23</v>
      </c>
      <c r="R117" s="1127">
        <v>7.1</v>
      </c>
      <c r="S117" s="1127">
        <v>6.4</v>
      </c>
      <c r="T117" s="1128">
        <v>7.43</v>
      </c>
      <c r="U117" s="1128">
        <v>6.77</v>
      </c>
      <c r="V117" s="1128">
        <v>4.8</v>
      </c>
      <c r="W117" s="1128">
        <v>7</v>
      </c>
      <c r="X117" s="1128"/>
      <c r="Y117" s="2927"/>
      <c r="Z117" s="2927"/>
      <c r="AA117" s="3268" t="s">
        <v>336</v>
      </c>
      <c r="AB117" s="2927"/>
      <c r="AC117" s="2927">
        <v>6.9</v>
      </c>
      <c r="AD117" s="2927"/>
      <c r="AE117" s="3268"/>
      <c r="AF117" s="2927"/>
      <c r="AG117" s="69"/>
      <c r="AH117" s="69"/>
      <c r="AI117" s="77"/>
      <c r="AJ117" s="30"/>
      <c r="AK117" s="30"/>
      <c r="AL117" s="61"/>
      <c r="AM117" s="61"/>
      <c r="AN117" s="30"/>
      <c r="AO117" s="30"/>
      <c r="AP117" s="30"/>
      <c r="AQ117" s="14"/>
      <c r="AR117" s="61"/>
      <c r="AS117" s="61"/>
      <c r="AT117" s="944"/>
      <c r="AU117" s="69"/>
      <c r="AV117" s="69"/>
      <c r="AW117" s="69"/>
      <c r="AX117" s="77"/>
      <c r="AY117" s="30"/>
      <c r="AZ117" s="30"/>
      <c r="BA117" s="14"/>
      <c r="BB117" s="26"/>
      <c r="BC117" s="26"/>
      <c r="BD117" s="26"/>
      <c r="BE117" s="26"/>
      <c r="BF117" s="26"/>
      <c r="BG117" s="30"/>
      <c r="BH117" s="30"/>
      <c r="BI117" s="944"/>
      <c r="BJ117" s="69"/>
      <c r="BK117" s="69"/>
      <c r="BL117" s="69"/>
      <c r="BM117" s="77"/>
      <c r="BN117" s="61"/>
      <c r="BO117" s="61"/>
      <c r="BP117" s="61"/>
      <c r="BQ117" s="30"/>
      <c r="BR117" s="30"/>
      <c r="BS117" s="30"/>
      <c r="BT117" s="30"/>
      <c r="BU117" s="30"/>
      <c r="BV117" s="14"/>
      <c r="BW117" s="61"/>
      <c r="BX117" s="944"/>
      <c r="BY117" s="87"/>
      <c r="BZ117" s="87"/>
      <c r="CA117" s="87"/>
      <c r="CB117" s="87"/>
      <c r="CC117" s="87"/>
      <c r="CD117" s="77"/>
      <c r="CE117" s="61"/>
      <c r="CF117" s="61"/>
      <c r="CG117" s="61"/>
      <c r="CH117" s="61"/>
      <c r="CI117" s="61"/>
      <c r="CJ117" s="61"/>
      <c r="CK117" s="61"/>
      <c r="CL117" s="61"/>
      <c r="CM117" s="61"/>
      <c r="CN117" s="61"/>
      <c r="CO117" s="944"/>
      <c r="CP117" s="69"/>
      <c r="CQ117" s="69"/>
      <c r="CR117" s="69"/>
      <c r="CS117" s="77"/>
      <c r="CT117" s="69"/>
      <c r="CU117" s="61"/>
      <c r="CV117" s="61"/>
      <c r="CW117" s="61"/>
      <c r="CX117" s="61"/>
      <c r="CY117" s="61"/>
      <c r="CZ117" s="61"/>
      <c r="DA117" s="61"/>
      <c r="DB117" s="61"/>
      <c r="DC117" s="61"/>
      <c r="DD117" s="944"/>
      <c r="DE117" s="69"/>
      <c r="DF117" s="69"/>
      <c r="DG117" s="77"/>
      <c r="DH117" s="61"/>
      <c r="DI117" s="61"/>
      <c r="DJ117" s="61"/>
      <c r="DK117" s="61"/>
      <c r="DL117" s="61"/>
      <c r="DM117" s="61"/>
      <c r="DN117" s="61"/>
      <c r="DO117" s="61"/>
    </row>
    <row r="118" spans="1:119" ht="15.75" thickBot="1">
      <c r="A118" s="1173" t="s">
        <v>186</v>
      </c>
      <c r="B118" s="1205" t="s">
        <v>186</v>
      </c>
      <c r="C118" s="1174">
        <f>COUNTA(D118:D125)</f>
        <v>8</v>
      </c>
      <c r="D118" s="1165" t="s">
        <v>80</v>
      </c>
      <c r="E118" s="1146">
        <v>4.5</v>
      </c>
      <c r="F118" s="1147">
        <v>4.3</v>
      </c>
      <c r="G118" s="1147">
        <v>5.8</v>
      </c>
      <c r="H118" s="1166">
        <v>5.4</v>
      </c>
      <c r="I118" s="1160">
        <v>3.9</v>
      </c>
      <c r="J118" s="1146">
        <v>3</v>
      </c>
      <c r="K118" s="1148">
        <v>5.5</v>
      </c>
      <c r="L118" s="1134">
        <v>3.7</v>
      </c>
      <c r="M118" s="1184">
        <v>4.7</v>
      </c>
      <c r="N118" s="1209">
        <v>5.0999999999999996</v>
      </c>
      <c r="O118" s="1209">
        <v>5.53</v>
      </c>
      <c r="P118" s="1209">
        <v>6.07</v>
      </c>
      <c r="Q118" s="886">
        <v>4.7</v>
      </c>
      <c r="R118" s="633">
        <v>4.55</v>
      </c>
      <c r="S118" s="633">
        <v>4.7</v>
      </c>
      <c r="T118" s="634">
        <v>5.03</v>
      </c>
      <c r="U118" s="634">
        <v>4.03</v>
      </c>
      <c r="V118" s="634">
        <v>4.43</v>
      </c>
      <c r="W118" s="634">
        <v>5.2</v>
      </c>
      <c r="X118" s="634"/>
      <c r="Y118" s="2928"/>
      <c r="Z118" s="2928"/>
      <c r="AA118" s="3268" t="s">
        <v>336</v>
      </c>
      <c r="AB118" s="2928"/>
      <c r="AC118" s="2928">
        <v>4.4000000000000004</v>
      </c>
      <c r="AD118" s="2928"/>
      <c r="AE118" s="3268"/>
      <c r="AF118" s="2928"/>
      <c r="AG118" s="49"/>
      <c r="AH118" s="49"/>
      <c r="AI118" s="77"/>
      <c r="AJ118" s="61"/>
      <c r="AK118" s="61"/>
      <c r="AL118" s="61"/>
      <c r="AM118" s="61"/>
      <c r="AN118" s="14"/>
      <c r="AO118" s="14"/>
      <c r="AP118" s="14"/>
      <c r="AQ118" s="14"/>
      <c r="AR118" s="61"/>
      <c r="AS118" s="61"/>
      <c r="AT118" s="78"/>
      <c r="AU118" s="49"/>
      <c r="AV118" s="49"/>
      <c r="AW118" s="49"/>
      <c r="AX118" s="77"/>
      <c r="AY118" s="14"/>
      <c r="AZ118" s="14"/>
      <c r="BA118" s="14"/>
      <c r="BB118" s="26"/>
      <c r="BC118" s="26"/>
      <c r="BD118" s="26"/>
      <c r="BE118" s="26"/>
      <c r="BF118" s="26"/>
      <c r="BG118" s="14"/>
      <c r="BH118" s="14"/>
      <c r="BI118" s="78"/>
      <c r="BJ118" s="49"/>
      <c r="BK118" s="49"/>
      <c r="BL118" s="49"/>
      <c r="BM118" s="77"/>
      <c r="BN118" s="61"/>
      <c r="BO118" s="61"/>
      <c r="BP118" s="61"/>
      <c r="BQ118" s="14"/>
      <c r="BR118" s="14"/>
      <c r="BS118" s="14"/>
      <c r="BT118" s="61"/>
      <c r="BU118" s="61"/>
      <c r="BV118" s="14"/>
      <c r="BW118" s="61"/>
      <c r="BX118" s="78"/>
      <c r="BY118" s="69"/>
      <c r="BZ118" s="69"/>
      <c r="CA118" s="69"/>
      <c r="CB118" s="69"/>
      <c r="CC118" s="69"/>
      <c r="CD118" s="77"/>
      <c r="CE118" s="61"/>
      <c r="CF118" s="61"/>
      <c r="CG118" s="61"/>
      <c r="CH118" s="61"/>
      <c r="CI118" s="61"/>
      <c r="CJ118" s="61"/>
      <c r="CK118" s="61"/>
      <c r="CL118" s="61"/>
      <c r="CM118" s="61"/>
      <c r="CN118" s="61"/>
      <c r="CO118" s="78"/>
      <c r="CP118" s="49"/>
      <c r="CQ118" s="49"/>
      <c r="CR118" s="49"/>
      <c r="CS118" s="77"/>
      <c r="CT118" s="49"/>
      <c r="CU118" s="61"/>
      <c r="CV118" s="61"/>
      <c r="CW118" s="61"/>
      <c r="CX118" s="61"/>
      <c r="CY118" s="61"/>
      <c r="CZ118" s="61"/>
      <c r="DA118" s="61"/>
      <c r="DB118" s="61"/>
      <c r="DC118" s="61"/>
      <c r="DD118" s="78"/>
      <c r="DE118" s="49"/>
      <c r="DF118" s="49"/>
      <c r="DG118" s="77"/>
      <c r="DH118" s="61"/>
      <c r="DI118" s="61"/>
      <c r="DJ118" s="61"/>
      <c r="DK118" s="61"/>
      <c r="DL118" s="61"/>
      <c r="DM118" s="61"/>
      <c r="DN118" s="61"/>
      <c r="DO118" s="61"/>
    </row>
    <row r="119" spans="1:119">
      <c r="A119" s="1014" t="s">
        <v>133</v>
      </c>
      <c r="B119" s="1023" t="s">
        <v>68</v>
      </c>
      <c r="C119" s="993"/>
      <c r="D119" s="1619" t="s">
        <v>351</v>
      </c>
      <c r="E119" s="1185"/>
      <c r="F119" s="1185"/>
      <c r="G119" s="1185"/>
      <c r="H119" s="1186"/>
      <c r="I119" s="1187"/>
      <c r="J119" s="1114">
        <v>6.2</v>
      </c>
      <c r="K119" s="1115">
        <v>6.5</v>
      </c>
      <c r="L119" s="1116">
        <v>6.63</v>
      </c>
      <c r="M119" s="1117">
        <v>6.05</v>
      </c>
      <c r="N119" s="1118">
        <v>6.05</v>
      </c>
      <c r="O119" s="1118">
        <v>6.13</v>
      </c>
      <c r="P119" s="1207">
        <v>6.8</v>
      </c>
      <c r="Q119" s="1241">
        <v>4.17</v>
      </c>
      <c r="R119" s="1119">
        <v>1.85</v>
      </c>
      <c r="S119" s="1119">
        <v>6</v>
      </c>
      <c r="T119" s="1120">
        <v>5.73</v>
      </c>
      <c r="U119" s="1120">
        <v>2.83</v>
      </c>
      <c r="V119" s="1120">
        <v>2.87</v>
      </c>
      <c r="W119" s="1120">
        <v>4.3</v>
      </c>
      <c r="X119" s="1120"/>
      <c r="Y119" s="2926"/>
      <c r="Z119" s="2926"/>
      <c r="AA119" s="2926" t="s">
        <v>336</v>
      </c>
      <c r="AB119" s="2926"/>
      <c r="AC119" s="2926">
        <v>0</v>
      </c>
      <c r="AD119" s="2926"/>
      <c r="AE119" s="2926"/>
      <c r="AF119" s="2926"/>
      <c r="AG119" s="49"/>
      <c r="AH119" s="49"/>
      <c r="AI119" s="77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78"/>
      <c r="AU119" s="49"/>
      <c r="AV119" s="49"/>
      <c r="AW119" s="49"/>
      <c r="AX119" s="77"/>
      <c r="AY119" s="61"/>
      <c r="AZ119" s="26"/>
      <c r="BA119" s="26"/>
      <c r="BB119" s="26"/>
      <c r="BC119" s="26"/>
      <c r="BD119" s="26"/>
      <c r="BE119" s="26"/>
      <c r="BF119" s="26"/>
      <c r="BG119" s="26"/>
      <c r="BH119" s="61"/>
      <c r="BI119" s="78"/>
      <c r="BJ119" s="49"/>
      <c r="BK119" s="49"/>
      <c r="BL119" s="49"/>
      <c r="BM119" s="77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78"/>
      <c r="BY119" s="49"/>
      <c r="BZ119" s="49"/>
      <c r="CA119" s="49"/>
      <c r="CB119" s="49"/>
      <c r="CC119" s="49"/>
      <c r="CD119" s="77"/>
      <c r="CE119" s="61"/>
      <c r="CF119" s="61"/>
      <c r="CG119" s="61"/>
      <c r="CH119" s="61"/>
      <c r="CI119" s="61"/>
      <c r="CJ119" s="61"/>
      <c r="CK119" s="61"/>
      <c r="CL119" s="61"/>
      <c r="CM119" s="61"/>
      <c r="CN119" s="61"/>
      <c r="CO119" s="78"/>
      <c r="CP119" s="49"/>
      <c r="CQ119" s="49"/>
      <c r="CR119" s="49"/>
      <c r="CS119" s="77"/>
      <c r="CT119" s="49"/>
      <c r="CU119" s="61"/>
      <c r="CV119" s="61"/>
      <c r="CW119" s="61"/>
      <c r="CX119" s="61"/>
      <c r="CY119" s="61"/>
      <c r="CZ119" s="61"/>
      <c r="DA119" s="61"/>
      <c r="DB119" s="61"/>
      <c r="DC119" s="61"/>
      <c r="DD119" s="78"/>
      <c r="DE119" s="49"/>
      <c r="DF119" s="49"/>
      <c r="DG119" s="77"/>
      <c r="DH119" s="61"/>
      <c r="DI119" s="61"/>
      <c r="DJ119" s="61"/>
      <c r="DK119" s="61"/>
      <c r="DL119" s="61"/>
      <c r="DM119" s="61"/>
      <c r="DN119" s="61"/>
      <c r="DO119" s="61"/>
    </row>
    <row r="120" spans="1:119">
      <c r="A120" s="1170" t="s">
        <v>133</v>
      </c>
      <c r="B120" s="1199" t="s">
        <v>68</v>
      </c>
      <c r="C120" s="1171"/>
      <c r="D120" s="1620" t="s">
        <v>78</v>
      </c>
      <c r="E120" s="1188"/>
      <c r="F120" s="1188"/>
      <c r="G120" s="1188"/>
      <c r="H120" s="1189"/>
      <c r="I120" s="1190"/>
      <c r="J120" s="1003">
        <v>4.1500000000000004</v>
      </c>
      <c r="K120" s="1004">
        <v>6.5</v>
      </c>
      <c r="L120" s="1005">
        <v>6.3</v>
      </c>
      <c r="M120" s="1125">
        <v>4.5</v>
      </c>
      <c r="N120" s="1126">
        <v>4.5</v>
      </c>
      <c r="O120" s="1126">
        <v>5.7</v>
      </c>
      <c r="P120" s="1208">
        <v>6.87</v>
      </c>
      <c r="Q120" s="1183">
        <v>2.2000000000000002</v>
      </c>
      <c r="R120" s="1127">
        <v>0.35</v>
      </c>
      <c r="S120" s="1127">
        <v>6.16</v>
      </c>
      <c r="T120" s="1128">
        <v>4.43</v>
      </c>
      <c r="U120" s="1128">
        <v>0.77</v>
      </c>
      <c r="V120" s="1128">
        <v>3.13</v>
      </c>
      <c r="W120" s="1128">
        <v>0.7</v>
      </c>
      <c r="X120" s="1128"/>
      <c r="Y120" s="2927"/>
      <c r="Z120" s="2927"/>
      <c r="AA120" s="2927" t="s">
        <v>336</v>
      </c>
      <c r="AB120" s="2927"/>
      <c r="AC120" s="2927">
        <v>7.1</v>
      </c>
      <c r="AD120" s="2927"/>
      <c r="AE120" s="2927"/>
      <c r="AF120" s="2927"/>
      <c r="AG120" s="14"/>
      <c r="AH120" s="14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78"/>
      <c r="AU120" s="14"/>
      <c r="AV120" s="14"/>
      <c r="AW120" s="14"/>
      <c r="AX120" s="61"/>
      <c r="AY120" s="61"/>
      <c r="AZ120" s="26"/>
      <c r="BA120" s="26"/>
      <c r="BB120" s="26"/>
      <c r="BC120" s="26"/>
      <c r="BD120" s="26"/>
      <c r="BE120" s="26"/>
      <c r="BF120" s="26"/>
      <c r="BG120" s="26"/>
      <c r="BH120" s="61"/>
      <c r="BI120" s="78"/>
      <c r="BJ120" s="14"/>
      <c r="BK120" s="14"/>
      <c r="BL120" s="14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78"/>
      <c r="BY120" s="38"/>
      <c r="BZ120" s="38"/>
      <c r="CA120" s="38"/>
      <c r="CB120" s="38"/>
      <c r="CC120" s="38"/>
      <c r="CD120" s="61"/>
      <c r="CE120" s="61"/>
      <c r="CF120" s="61"/>
      <c r="CG120" s="61"/>
      <c r="CH120" s="61"/>
      <c r="CI120" s="61"/>
      <c r="CJ120" s="61"/>
      <c r="CK120" s="61"/>
      <c r="CL120" s="61"/>
      <c r="CM120" s="61"/>
      <c r="CN120" s="61"/>
      <c r="CO120" s="78"/>
      <c r="CP120" s="38"/>
      <c r="CQ120" s="38"/>
      <c r="CR120" s="38"/>
      <c r="CS120" s="61"/>
      <c r="CT120" s="38"/>
      <c r="CU120" s="61"/>
      <c r="CV120" s="61"/>
      <c r="CW120" s="61"/>
      <c r="CX120" s="61"/>
      <c r="CY120" s="61"/>
      <c r="CZ120" s="61"/>
      <c r="DA120" s="61"/>
      <c r="DB120" s="61"/>
      <c r="DC120" s="61"/>
      <c r="DD120" s="78"/>
      <c r="DE120" s="38"/>
      <c r="DF120" s="38"/>
      <c r="DG120" s="61"/>
      <c r="DH120" s="61"/>
      <c r="DI120" s="61"/>
      <c r="DJ120" s="61"/>
      <c r="DK120" s="61"/>
      <c r="DL120" s="61"/>
      <c r="DM120" s="61"/>
      <c r="DN120" s="61"/>
      <c r="DO120" s="61"/>
    </row>
    <row r="121" spans="1:119">
      <c r="A121" s="1170" t="s">
        <v>133</v>
      </c>
      <c r="B121" s="1199" t="s">
        <v>68</v>
      </c>
      <c r="C121" s="1171">
        <f>COUNTA(D121:D125)</f>
        <v>5</v>
      </c>
      <c r="D121" s="1191" t="s">
        <v>69</v>
      </c>
      <c r="E121" s="1188"/>
      <c r="F121" s="1188"/>
      <c r="G121" s="1188"/>
      <c r="H121" s="1189"/>
      <c r="I121" s="1190"/>
      <c r="J121" s="1003">
        <v>7.6</v>
      </c>
      <c r="K121" s="1004">
        <v>7.7</v>
      </c>
      <c r="L121" s="1005">
        <v>7.83</v>
      </c>
      <c r="M121" s="1125">
        <v>8.15</v>
      </c>
      <c r="N121" s="1126">
        <v>8.15</v>
      </c>
      <c r="O121" s="1126">
        <v>7.63</v>
      </c>
      <c r="P121" s="1208">
        <v>7.7</v>
      </c>
      <c r="Q121" s="1183">
        <v>5.7</v>
      </c>
      <c r="R121" s="1127">
        <v>7</v>
      </c>
      <c r="S121" s="1127">
        <v>7.73</v>
      </c>
      <c r="T121" s="1128">
        <v>7.73</v>
      </c>
      <c r="U121" s="1128">
        <v>7.83</v>
      </c>
      <c r="V121" s="1128">
        <v>6.4</v>
      </c>
      <c r="W121" s="1128">
        <v>7.3</v>
      </c>
      <c r="X121" s="1128"/>
      <c r="Y121" s="2927"/>
      <c r="Z121" s="2927"/>
      <c r="AA121" s="2927" t="s">
        <v>336</v>
      </c>
      <c r="AB121" s="2927"/>
      <c r="AC121" s="2927">
        <v>7.6</v>
      </c>
      <c r="AD121" s="2927"/>
      <c r="AE121" s="2927"/>
      <c r="AF121" s="2927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  <c r="CL121" s="61"/>
      <c r="CM121" s="61"/>
      <c r="CN121" s="61"/>
      <c r="CO121" s="61"/>
      <c r="CP121" s="61"/>
      <c r="CQ121" s="61"/>
      <c r="CR121" s="61"/>
      <c r="CS121" s="61"/>
      <c r="CT121" s="61"/>
      <c r="CU121" s="61"/>
      <c r="CV121" s="61"/>
      <c r="CW121" s="61"/>
      <c r="CX121" s="61"/>
      <c r="CY121" s="61"/>
      <c r="CZ121" s="61"/>
      <c r="DA121" s="61"/>
      <c r="DB121" s="61"/>
      <c r="DC121" s="61"/>
      <c r="DD121" s="61"/>
      <c r="DE121" s="61"/>
      <c r="DF121" s="61"/>
      <c r="DG121" s="61"/>
      <c r="DH121" s="61"/>
      <c r="DI121" s="61"/>
      <c r="DJ121" s="61"/>
      <c r="DK121" s="61"/>
      <c r="DL121" s="61"/>
      <c r="DM121" s="61"/>
      <c r="DN121" s="61"/>
      <c r="DO121" s="61"/>
    </row>
    <row r="122" spans="1:119">
      <c r="A122" s="1170" t="s">
        <v>133</v>
      </c>
      <c r="B122" s="1199" t="s">
        <v>68</v>
      </c>
      <c r="C122" s="1171"/>
      <c r="D122" s="1191" t="s">
        <v>75</v>
      </c>
      <c r="E122" s="1188"/>
      <c r="F122" s="1188"/>
      <c r="G122" s="1188"/>
      <c r="H122" s="1189"/>
      <c r="I122" s="1190"/>
      <c r="J122" s="1003">
        <v>5.65</v>
      </c>
      <c r="K122" s="1004">
        <v>6.85</v>
      </c>
      <c r="L122" s="1005">
        <v>7.36</v>
      </c>
      <c r="M122" s="1125">
        <v>5.65</v>
      </c>
      <c r="N122" s="1126">
        <v>5.65</v>
      </c>
      <c r="O122" s="1126">
        <v>7.03</v>
      </c>
      <c r="P122" s="1208">
        <v>6.9</v>
      </c>
      <c r="Q122" s="1183">
        <v>4.7</v>
      </c>
      <c r="R122" s="1127">
        <v>4.9000000000000004</v>
      </c>
      <c r="S122" s="1127">
        <v>7.25</v>
      </c>
      <c r="T122" s="1128">
        <v>7.04</v>
      </c>
      <c r="U122" s="1128">
        <v>7.5</v>
      </c>
      <c r="V122" s="1128">
        <v>6.45</v>
      </c>
      <c r="W122" s="1128">
        <v>6.23</v>
      </c>
      <c r="X122" s="1128"/>
      <c r="Y122" s="2927"/>
      <c r="Z122" s="2927"/>
      <c r="AA122" s="2927" t="s">
        <v>336</v>
      </c>
      <c r="AB122" s="2927"/>
      <c r="AC122" s="2927"/>
      <c r="AD122" s="2927"/>
      <c r="AE122" s="2927"/>
      <c r="AF122" s="2927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/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  <c r="CP122" s="61"/>
      <c r="CQ122" s="61"/>
      <c r="CR122" s="61"/>
      <c r="CS122" s="61"/>
      <c r="CT122" s="61"/>
      <c r="CU122" s="61"/>
      <c r="CV122" s="61"/>
      <c r="CW122" s="61"/>
      <c r="CX122" s="61"/>
      <c r="CY122" s="61"/>
      <c r="CZ122" s="61"/>
      <c r="DA122" s="61"/>
      <c r="DB122" s="61"/>
      <c r="DC122" s="61"/>
      <c r="DD122" s="61"/>
      <c r="DE122" s="61"/>
      <c r="DF122" s="61"/>
      <c r="DG122" s="61"/>
      <c r="DH122" s="61"/>
      <c r="DI122" s="61"/>
      <c r="DJ122" s="61"/>
      <c r="DK122" s="61"/>
      <c r="DL122" s="61"/>
      <c r="DM122" s="61"/>
      <c r="DN122" s="61"/>
      <c r="DO122" s="61"/>
    </row>
    <row r="123" spans="1:119" ht="15.75" thickBot="1">
      <c r="A123" s="1173" t="s">
        <v>133</v>
      </c>
      <c r="B123" s="1205" t="s">
        <v>68</v>
      </c>
      <c r="C123" s="1174"/>
      <c r="D123" s="1192" t="s">
        <v>73</v>
      </c>
      <c r="E123" s="1193"/>
      <c r="F123" s="1193"/>
      <c r="G123" s="1193"/>
      <c r="H123" s="1194"/>
      <c r="I123" s="1195"/>
      <c r="J123" s="1147">
        <v>6.65</v>
      </c>
      <c r="K123" s="1148">
        <v>7.55</v>
      </c>
      <c r="L123" s="1134">
        <v>7.76</v>
      </c>
      <c r="M123" s="1135">
        <v>7.85</v>
      </c>
      <c r="N123" s="1136">
        <v>7.85</v>
      </c>
      <c r="O123" s="1136">
        <v>7.9</v>
      </c>
      <c r="P123" s="1209">
        <v>7.87</v>
      </c>
      <c r="Q123" s="1184">
        <v>8.1</v>
      </c>
      <c r="R123" s="633">
        <v>6.05</v>
      </c>
      <c r="S123" s="633">
        <v>7.1</v>
      </c>
      <c r="T123" s="634">
        <v>7.4</v>
      </c>
      <c r="U123" s="634">
        <v>8.1</v>
      </c>
      <c r="V123" s="634" t="s">
        <v>373</v>
      </c>
      <c r="W123" s="634">
        <v>6.3</v>
      </c>
      <c r="X123" s="634"/>
      <c r="Y123" s="2927"/>
      <c r="Z123" s="2928"/>
      <c r="AA123" s="2928" t="s">
        <v>336</v>
      </c>
      <c r="AB123" s="2928"/>
      <c r="AC123" s="2927" t="s">
        <v>336</v>
      </c>
      <c r="AD123" s="2928"/>
      <c r="AE123" s="2928"/>
      <c r="AF123" s="2928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  <c r="CP123" s="61"/>
      <c r="CQ123" s="61"/>
      <c r="CR123" s="61"/>
      <c r="CS123" s="61"/>
      <c r="CT123" s="61"/>
      <c r="CU123" s="61"/>
      <c r="CV123" s="61"/>
      <c r="CW123" s="61"/>
      <c r="CX123" s="61"/>
      <c r="CY123" s="61"/>
      <c r="CZ123" s="61"/>
      <c r="DA123" s="61"/>
      <c r="DB123" s="61"/>
      <c r="DC123" s="61"/>
      <c r="DD123" s="61"/>
      <c r="DE123" s="61"/>
      <c r="DF123" s="61"/>
      <c r="DG123" s="61"/>
      <c r="DH123" s="61"/>
      <c r="DI123" s="61"/>
      <c r="DJ123" s="61"/>
      <c r="DK123" s="61"/>
      <c r="DL123" s="61"/>
      <c r="DM123" s="61"/>
      <c r="DN123" s="61"/>
      <c r="DO123" s="61"/>
    </row>
    <row r="124" spans="1:119">
      <c r="A124" s="1014" t="s">
        <v>70</v>
      </c>
      <c r="B124" s="1024" t="s">
        <v>70</v>
      </c>
      <c r="C124" s="993"/>
      <c r="D124" s="1196" t="s">
        <v>192</v>
      </c>
      <c r="E124" s="1112">
        <v>7.5</v>
      </c>
      <c r="F124" s="1114">
        <v>3.7</v>
      </c>
      <c r="G124" s="1114">
        <v>6</v>
      </c>
      <c r="H124" s="1162">
        <v>6.7</v>
      </c>
      <c r="I124" s="1158">
        <v>7.8</v>
      </c>
      <c r="J124" s="1112">
        <v>5.65</v>
      </c>
      <c r="K124" s="1115">
        <v>6.65</v>
      </c>
      <c r="L124" s="1116">
        <v>6.76</v>
      </c>
      <c r="M124" s="1117">
        <v>6.7</v>
      </c>
      <c r="N124" s="1118">
        <v>6.9</v>
      </c>
      <c r="O124" s="1118">
        <v>7.07</v>
      </c>
      <c r="P124" s="1207">
        <v>6.87</v>
      </c>
      <c r="Q124" s="1241">
        <v>8.1</v>
      </c>
      <c r="R124" s="1119">
        <v>6.25</v>
      </c>
      <c r="S124" s="1119">
        <v>6.63</v>
      </c>
      <c r="T124" s="1120">
        <v>7</v>
      </c>
      <c r="U124" s="1120">
        <v>8.73</v>
      </c>
      <c r="V124" s="1120">
        <v>6.83</v>
      </c>
      <c r="W124" s="1120">
        <v>5.8</v>
      </c>
      <c r="X124" s="3125"/>
      <c r="Y124" s="2926"/>
      <c r="Z124" s="2926"/>
      <c r="AA124" s="2926" t="s">
        <v>336</v>
      </c>
      <c r="AB124" s="2926"/>
      <c r="AC124" s="2926">
        <v>6.3</v>
      </c>
      <c r="AD124" s="2926"/>
      <c r="AE124" s="2926"/>
      <c r="AF124" s="2926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  <c r="CP124" s="61"/>
      <c r="CQ124" s="61"/>
      <c r="CR124" s="61"/>
      <c r="CS124" s="61"/>
      <c r="CT124" s="61"/>
      <c r="CU124" s="61"/>
      <c r="CV124" s="61"/>
      <c r="CW124" s="61"/>
      <c r="CX124" s="61"/>
      <c r="CY124" s="61"/>
      <c r="CZ124" s="61"/>
      <c r="DA124" s="61"/>
      <c r="DB124" s="61"/>
      <c r="DC124" s="61"/>
      <c r="DD124" s="61"/>
      <c r="DE124" s="61"/>
      <c r="DF124" s="61"/>
      <c r="DG124" s="61"/>
      <c r="DH124" s="61"/>
      <c r="DI124" s="61"/>
      <c r="DJ124" s="61"/>
      <c r="DK124" s="61"/>
      <c r="DL124" s="61"/>
      <c r="DM124" s="61"/>
      <c r="DN124" s="61"/>
      <c r="DO124" s="61"/>
    </row>
    <row r="125" spans="1:119">
      <c r="A125" s="1170" t="s">
        <v>70</v>
      </c>
      <c r="B125" s="1279" t="s">
        <v>70</v>
      </c>
      <c r="C125" s="1171"/>
      <c r="D125" s="1197" t="s">
        <v>281</v>
      </c>
      <c r="E125" s="1122">
        <v>0</v>
      </c>
      <c r="F125" s="1003">
        <v>5.2</v>
      </c>
      <c r="G125" s="1003">
        <v>6.9</v>
      </c>
      <c r="H125" s="1164">
        <v>12.8</v>
      </c>
      <c r="I125" s="718">
        <v>3.8</v>
      </c>
      <c r="J125" s="1122">
        <v>5.55</v>
      </c>
      <c r="K125" s="1004">
        <v>6.45</v>
      </c>
      <c r="L125" s="1005">
        <v>6.16</v>
      </c>
      <c r="M125" s="1125">
        <v>6.2</v>
      </c>
      <c r="N125" s="1126">
        <v>5.55</v>
      </c>
      <c r="O125" s="1126">
        <v>6.87</v>
      </c>
      <c r="P125" s="1208">
        <v>6.6</v>
      </c>
      <c r="Q125" s="1183">
        <v>5.93</v>
      </c>
      <c r="R125" s="1127">
        <v>3.7</v>
      </c>
      <c r="S125" s="1127">
        <v>7</v>
      </c>
      <c r="T125" s="1128">
        <v>7</v>
      </c>
      <c r="U125" s="1128">
        <v>6.23</v>
      </c>
      <c r="V125" s="1128">
        <v>4.87</v>
      </c>
      <c r="W125" s="1128">
        <v>6.1</v>
      </c>
      <c r="X125" s="3037"/>
      <c r="Y125" s="2927"/>
      <c r="Z125" s="2927"/>
      <c r="AA125" s="2927" t="s">
        <v>336</v>
      </c>
      <c r="AB125" s="2927"/>
      <c r="AC125" s="2927">
        <v>6.3</v>
      </c>
      <c r="AD125" s="2927"/>
      <c r="AE125" s="2927"/>
      <c r="AF125" s="2927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</row>
    <row r="126" spans="1:119">
      <c r="A126" s="1170" t="s">
        <v>70</v>
      </c>
      <c r="B126" s="1279" t="s">
        <v>70</v>
      </c>
      <c r="C126" s="1171"/>
      <c r="D126" s="1197" t="s">
        <v>270</v>
      </c>
      <c r="E126" s="1122">
        <v>5.3</v>
      </c>
      <c r="F126" s="1003">
        <v>7.4</v>
      </c>
      <c r="G126" s="1003">
        <v>6.7</v>
      </c>
      <c r="H126" s="1164">
        <v>7.05</v>
      </c>
      <c r="I126" s="718">
        <v>6.3</v>
      </c>
      <c r="J126" s="1122">
        <v>6.3</v>
      </c>
      <c r="K126" s="1004">
        <v>7.45</v>
      </c>
      <c r="L126" s="1005">
        <v>5.3</v>
      </c>
      <c r="M126" s="1125">
        <v>7.2</v>
      </c>
      <c r="N126" s="1126">
        <v>6</v>
      </c>
      <c r="O126" s="1126">
        <v>7.23</v>
      </c>
      <c r="P126" s="1208">
        <v>7.93</v>
      </c>
      <c r="Q126" s="1183">
        <v>6.67</v>
      </c>
      <c r="R126" s="1127">
        <v>5.3</v>
      </c>
      <c r="S126" s="1127">
        <v>6.46</v>
      </c>
      <c r="T126" s="1128">
        <v>6.8</v>
      </c>
      <c r="U126" s="1128">
        <v>6.3</v>
      </c>
      <c r="V126" s="1128">
        <v>6.13</v>
      </c>
      <c r="W126" s="1128">
        <v>5.2</v>
      </c>
      <c r="X126" s="3037"/>
      <c r="Y126" s="2927"/>
      <c r="Z126" s="2927"/>
      <c r="AA126" s="2927" t="s">
        <v>336</v>
      </c>
      <c r="AB126" s="2927"/>
      <c r="AC126" s="2927">
        <v>0</v>
      </c>
      <c r="AD126" s="2927"/>
      <c r="AE126" s="2927"/>
      <c r="AF126" s="2927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</row>
    <row r="127" spans="1:119">
      <c r="A127" s="1170" t="s">
        <v>70</v>
      </c>
      <c r="B127" s="1279" t="s">
        <v>70</v>
      </c>
      <c r="C127" s="1171"/>
      <c r="D127" s="1197" t="s">
        <v>71</v>
      </c>
      <c r="E127" s="1122">
        <v>4.5</v>
      </c>
      <c r="F127" s="1003">
        <v>3.5</v>
      </c>
      <c r="G127" s="1003">
        <v>6.9</v>
      </c>
      <c r="H127" s="1164">
        <v>5.9</v>
      </c>
      <c r="I127" s="718">
        <v>3.8</v>
      </c>
      <c r="J127" s="1122">
        <v>7.15</v>
      </c>
      <c r="K127" s="1004">
        <v>5.55</v>
      </c>
      <c r="L127" s="1005">
        <v>4.83</v>
      </c>
      <c r="M127" s="1125">
        <v>3.45</v>
      </c>
      <c r="N127" s="1126">
        <v>4.45</v>
      </c>
      <c r="O127" s="1126">
        <v>6.03</v>
      </c>
      <c r="P127" s="1208">
        <v>5.6</v>
      </c>
      <c r="Q127" s="1183">
        <v>4.03</v>
      </c>
      <c r="R127" s="1127">
        <v>7.15</v>
      </c>
      <c r="S127" s="1127">
        <v>5.23</v>
      </c>
      <c r="T127" s="1128">
        <v>6.6</v>
      </c>
      <c r="U127" s="1128">
        <v>4.37</v>
      </c>
      <c r="V127" s="1128">
        <v>5.23</v>
      </c>
      <c r="W127" s="1128">
        <v>3.1</v>
      </c>
      <c r="X127" s="3037"/>
      <c r="Y127" s="2927"/>
      <c r="Z127" s="2927"/>
      <c r="AA127" s="2927" t="s">
        <v>336</v>
      </c>
      <c r="AB127" s="2927"/>
      <c r="AC127" s="2927">
        <v>3.9</v>
      </c>
      <c r="AD127" s="2927"/>
      <c r="AE127" s="2927"/>
      <c r="AF127" s="2927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</row>
    <row r="128" spans="1:119" ht="15.75" thickBot="1">
      <c r="A128" s="1173" t="s">
        <v>70</v>
      </c>
      <c r="B128" s="1287" t="s">
        <v>70</v>
      </c>
      <c r="C128" s="1174">
        <f>COUNTA(D128:D132)</f>
        <v>5</v>
      </c>
      <c r="D128" s="1198" t="s">
        <v>81</v>
      </c>
      <c r="E128" s="1146">
        <v>8</v>
      </c>
      <c r="F128" s="1147">
        <v>0</v>
      </c>
      <c r="G128" s="1147">
        <v>7</v>
      </c>
      <c r="H128" s="1166">
        <v>2.4500000000000002</v>
      </c>
      <c r="I128" s="1160">
        <v>5.7</v>
      </c>
      <c r="J128" s="1146">
        <v>1.85</v>
      </c>
      <c r="K128" s="1148">
        <v>4.5</v>
      </c>
      <c r="L128" s="1134">
        <v>6.16</v>
      </c>
      <c r="M128" s="1135">
        <v>8.25</v>
      </c>
      <c r="N128" s="1136">
        <v>4.5999999999999996</v>
      </c>
      <c r="O128" s="1136">
        <v>6.2</v>
      </c>
      <c r="P128" s="1209">
        <v>2.5299999999999998</v>
      </c>
      <c r="Q128" s="1184">
        <v>0</v>
      </c>
      <c r="R128" s="633">
        <v>0</v>
      </c>
      <c r="S128" s="633">
        <v>5.4</v>
      </c>
      <c r="T128" s="634">
        <v>3.5</v>
      </c>
      <c r="U128" s="634">
        <v>0</v>
      </c>
      <c r="V128" s="634">
        <v>0</v>
      </c>
      <c r="W128" s="634">
        <v>0</v>
      </c>
      <c r="X128" s="3126"/>
      <c r="Y128" s="2928"/>
      <c r="Z128" s="2928"/>
      <c r="AA128" s="2928" t="s">
        <v>336</v>
      </c>
      <c r="AB128" s="2928"/>
      <c r="AC128" s="2928">
        <v>5.7</v>
      </c>
      <c r="AD128" s="2928"/>
      <c r="AE128" s="2928"/>
      <c r="AF128" s="2928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</row>
    <row r="129" spans="1:108" s="4" customFormat="1">
      <c r="A129" s="114"/>
      <c r="B129" s="114"/>
      <c r="C129" s="114"/>
      <c r="D129" s="775" t="s">
        <v>285</v>
      </c>
      <c r="E129" s="1025">
        <f>COUNTIF(E105:E128,"&gt;=5")</f>
        <v>8</v>
      </c>
      <c r="F129" s="1025">
        <f t="shared" ref="F129:T129" si="19">COUNTIF(F105:F128,"&gt;=5")</f>
        <v>5</v>
      </c>
      <c r="G129" s="1025">
        <f t="shared" si="19"/>
        <v>11</v>
      </c>
      <c r="H129" s="1025">
        <f t="shared" si="19"/>
        <v>12</v>
      </c>
      <c r="I129" s="1025">
        <f t="shared" si="19"/>
        <v>9</v>
      </c>
      <c r="J129" s="1025">
        <f t="shared" si="19"/>
        <v>12</v>
      </c>
      <c r="K129" s="1025">
        <f t="shared" si="19"/>
        <v>16</v>
      </c>
      <c r="L129" s="1025">
        <f t="shared" si="19"/>
        <v>14</v>
      </c>
      <c r="M129" s="1025">
        <f t="shared" si="19"/>
        <v>18</v>
      </c>
      <c r="N129" s="1025">
        <f t="shared" si="19"/>
        <v>19</v>
      </c>
      <c r="O129" s="1025">
        <f>COUNTIF(O105:O128,"&gt;=5")</f>
        <v>24</v>
      </c>
      <c r="P129" s="1025">
        <f>COUNTIF(P105:P128,"&gt;=5")</f>
        <v>21</v>
      </c>
      <c r="Q129" s="1025">
        <f t="shared" si="19"/>
        <v>15</v>
      </c>
      <c r="R129" s="1025">
        <f t="shared" si="19"/>
        <v>14</v>
      </c>
      <c r="S129" s="1025">
        <f t="shared" si="19"/>
        <v>20</v>
      </c>
      <c r="T129" s="1025">
        <f t="shared" si="19"/>
        <v>20</v>
      </c>
      <c r="U129" s="1025">
        <f t="shared" ref="U129:AB129" si="20">COUNTIF(U105:U128,"&gt;=5")</f>
        <v>17</v>
      </c>
      <c r="V129" s="1025">
        <f t="shared" si="20"/>
        <v>12</v>
      </c>
      <c r="W129" s="1025">
        <f t="shared" si="20"/>
        <v>17</v>
      </c>
      <c r="X129" s="1025">
        <f t="shared" si="20"/>
        <v>0</v>
      </c>
      <c r="Y129" s="1025">
        <f t="shared" si="20"/>
        <v>0</v>
      </c>
      <c r="Z129" s="1025">
        <f t="shared" si="20"/>
        <v>0</v>
      </c>
      <c r="AA129" s="1025">
        <f t="shared" si="20"/>
        <v>0</v>
      </c>
      <c r="AB129" s="1025">
        <f t="shared" si="20"/>
        <v>0</v>
      </c>
      <c r="AC129" s="1025">
        <f t="shared" ref="AC129:AF129" si="21">COUNTIF(AC105:AC128,"&gt;=5")</f>
        <v>11</v>
      </c>
      <c r="AD129" s="1025">
        <f t="shared" si="21"/>
        <v>0</v>
      </c>
      <c r="AE129" s="1025">
        <f t="shared" si="21"/>
        <v>0</v>
      </c>
      <c r="AF129" s="1025">
        <f t="shared" si="21"/>
        <v>0</v>
      </c>
      <c r="BE129" s="83"/>
      <c r="BF129" s="83"/>
      <c r="BG129" s="83"/>
      <c r="BH129" s="83"/>
      <c r="BI129" s="83"/>
      <c r="BJ129" s="83"/>
      <c r="BK129" s="83"/>
      <c r="BL129" s="83"/>
      <c r="BM129" s="83"/>
      <c r="BN129" s="83"/>
      <c r="BO129" s="83"/>
      <c r="BP129" s="83"/>
      <c r="BQ129" s="83"/>
      <c r="BR129" s="83"/>
      <c r="BS129" s="83"/>
      <c r="BT129" s="83"/>
      <c r="BU129" s="83"/>
      <c r="BV129" s="83"/>
      <c r="BW129" s="83"/>
      <c r="BX129" s="83"/>
      <c r="BY129" s="83"/>
      <c r="CH129" s="83"/>
      <c r="CI129" s="83"/>
      <c r="CJ129" s="83"/>
      <c r="CK129" s="83"/>
      <c r="CL129" s="83"/>
      <c r="CM129" s="83"/>
      <c r="CN129" s="83"/>
      <c r="CO129" s="83"/>
      <c r="CP129" s="83"/>
      <c r="CQ129" s="83"/>
      <c r="CR129" s="83"/>
      <c r="CS129" s="83"/>
      <c r="CT129" s="83"/>
      <c r="CU129" s="83"/>
      <c r="CV129" s="83"/>
      <c r="CW129" s="83"/>
      <c r="CX129" s="83"/>
      <c r="CY129" s="83"/>
      <c r="CZ129" s="83"/>
      <c r="DA129" s="83"/>
      <c r="DB129" s="83"/>
      <c r="DC129" s="83"/>
      <c r="DD129" s="83"/>
    </row>
    <row r="130" spans="1:108" s="4" customFormat="1">
      <c r="A130" s="114"/>
      <c r="B130" s="114"/>
      <c r="C130" s="114"/>
      <c r="D130" s="775" t="s">
        <v>287</v>
      </c>
      <c r="E130" s="1027">
        <f>COUNT(E105:E128)</f>
        <v>14</v>
      </c>
      <c r="F130" s="1027">
        <f t="shared" ref="F130:T130" si="22">COUNT(F105:F128)</f>
        <v>14</v>
      </c>
      <c r="G130" s="1027">
        <f t="shared" si="22"/>
        <v>14</v>
      </c>
      <c r="H130" s="1027">
        <f t="shared" si="22"/>
        <v>14</v>
      </c>
      <c r="I130" s="1027">
        <f t="shared" si="22"/>
        <v>14</v>
      </c>
      <c r="J130" s="1027">
        <f t="shared" si="22"/>
        <v>19</v>
      </c>
      <c r="K130" s="1027">
        <f t="shared" si="22"/>
        <v>19</v>
      </c>
      <c r="L130" s="1027">
        <f t="shared" si="22"/>
        <v>19</v>
      </c>
      <c r="M130" s="1027">
        <f t="shared" si="22"/>
        <v>24</v>
      </c>
      <c r="N130" s="1027">
        <f t="shared" si="22"/>
        <v>24</v>
      </c>
      <c r="O130" s="1027">
        <f>COUNT(O105:O128)</f>
        <v>24</v>
      </c>
      <c r="P130" s="1027">
        <f>COUNT(P105:P128)</f>
        <v>24</v>
      </c>
      <c r="Q130" s="1027">
        <f t="shared" si="22"/>
        <v>24</v>
      </c>
      <c r="R130" s="1027">
        <f t="shared" si="22"/>
        <v>24</v>
      </c>
      <c r="S130" s="1027">
        <f t="shared" si="22"/>
        <v>24</v>
      </c>
      <c r="T130" s="1027">
        <f t="shared" si="22"/>
        <v>24</v>
      </c>
      <c r="U130" s="1027">
        <f t="shared" ref="U130:AB130" si="23">COUNT(U105:U128)</f>
        <v>24</v>
      </c>
      <c r="V130" s="1027">
        <f t="shared" si="23"/>
        <v>23</v>
      </c>
      <c r="W130" s="1027">
        <f t="shared" si="23"/>
        <v>24</v>
      </c>
      <c r="X130" s="1027">
        <f t="shared" si="23"/>
        <v>0</v>
      </c>
      <c r="Y130" s="1027">
        <f t="shared" si="23"/>
        <v>0</v>
      </c>
      <c r="Z130" s="1027">
        <f t="shared" si="23"/>
        <v>0</v>
      </c>
      <c r="AA130" s="1027">
        <f t="shared" si="23"/>
        <v>0</v>
      </c>
      <c r="AB130" s="1027">
        <f t="shared" si="23"/>
        <v>0</v>
      </c>
      <c r="AC130" s="1027">
        <f t="shared" ref="AC130:AF130" si="24">COUNT(AC105:AC128)</f>
        <v>22</v>
      </c>
      <c r="AD130" s="1027">
        <f t="shared" si="24"/>
        <v>0</v>
      </c>
      <c r="AE130" s="1027">
        <f t="shared" si="24"/>
        <v>0</v>
      </c>
      <c r="AF130" s="1027">
        <f t="shared" si="24"/>
        <v>0</v>
      </c>
      <c r="BE130" s="83"/>
      <c r="BF130" s="83"/>
      <c r="BG130" s="83"/>
      <c r="BH130" s="83"/>
      <c r="BI130" s="83"/>
      <c r="BJ130" s="83"/>
      <c r="BK130" s="83"/>
      <c r="BL130" s="83"/>
      <c r="BM130" s="83"/>
      <c r="BN130" s="83"/>
      <c r="BO130" s="83"/>
      <c r="BP130" s="83"/>
      <c r="BQ130" s="83"/>
      <c r="BR130" s="83"/>
      <c r="BS130" s="83"/>
      <c r="BT130" s="83"/>
      <c r="BU130" s="83"/>
      <c r="BV130" s="83"/>
      <c r="BW130" s="83"/>
      <c r="BX130" s="83"/>
      <c r="BY130" s="83"/>
      <c r="CH130" s="83"/>
      <c r="CI130" s="83"/>
      <c r="CJ130" s="83"/>
      <c r="CK130" s="83"/>
      <c r="CL130" s="83"/>
      <c r="CM130" s="83"/>
      <c r="CN130" s="83"/>
      <c r="CO130" s="83"/>
      <c r="CP130" s="83"/>
      <c r="CQ130" s="83"/>
      <c r="CR130" s="83"/>
      <c r="CS130" s="83"/>
      <c r="CT130" s="83"/>
      <c r="CU130" s="83"/>
      <c r="CV130" s="83"/>
      <c r="CW130" s="83"/>
      <c r="CX130" s="83"/>
      <c r="CY130" s="83"/>
      <c r="CZ130" s="83"/>
      <c r="DA130" s="83"/>
      <c r="DB130" s="83"/>
      <c r="DC130" s="83"/>
      <c r="DD130" s="83"/>
    </row>
    <row r="131" spans="1:108" s="4" customFormat="1">
      <c r="A131" s="114"/>
      <c r="B131" s="114"/>
      <c r="C131" s="114"/>
      <c r="D131" s="775" t="s">
        <v>286</v>
      </c>
      <c r="E131" s="1026">
        <f t="shared" ref="E131:T131" si="25">E129/E130</f>
        <v>0.5714285714285714</v>
      </c>
      <c r="F131" s="1026">
        <f t="shared" si="25"/>
        <v>0.35714285714285715</v>
      </c>
      <c r="G131" s="1026">
        <f t="shared" si="25"/>
        <v>0.7857142857142857</v>
      </c>
      <c r="H131" s="1026">
        <f t="shared" si="25"/>
        <v>0.8571428571428571</v>
      </c>
      <c r="I131" s="1026">
        <f t="shared" si="25"/>
        <v>0.6428571428571429</v>
      </c>
      <c r="J131" s="1026">
        <f t="shared" si="25"/>
        <v>0.63157894736842102</v>
      </c>
      <c r="K131" s="1026">
        <f t="shared" si="25"/>
        <v>0.84210526315789469</v>
      </c>
      <c r="L131" s="1026">
        <f t="shared" si="25"/>
        <v>0.73684210526315785</v>
      </c>
      <c r="M131" s="1026">
        <f t="shared" si="25"/>
        <v>0.75</v>
      </c>
      <c r="N131" s="1026">
        <f t="shared" si="25"/>
        <v>0.79166666666666663</v>
      </c>
      <c r="O131" s="1026">
        <f t="shared" si="25"/>
        <v>1</v>
      </c>
      <c r="P131" s="1026">
        <f t="shared" si="25"/>
        <v>0.875</v>
      </c>
      <c r="Q131" s="1026">
        <f t="shared" si="25"/>
        <v>0.625</v>
      </c>
      <c r="R131" s="1026">
        <f t="shared" si="25"/>
        <v>0.58333333333333337</v>
      </c>
      <c r="S131" s="1026">
        <f t="shared" si="25"/>
        <v>0.83333333333333337</v>
      </c>
      <c r="T131" s="1026">
        <f t="shared" si="25"/>
        <v>0.83333333333333337</v>
      </c>
      <c r="U131" s="1026">
        <f t="shared" ref="U131:V131" si="26">U129/U130</f>
        <v>0.70833333333333337</v>
      </c>
      <c r="V131" s="1026">
        <f t="shared" si="26"/>
        <v>0.52173913043478259</v>
      </c>
      <c r="W131" s="1026">
        <f>W129/W130</f>
        <v>0.70833333333333337</v>
      </c>
      <c r="X131" s="1026" t="e">
        <f t="shared" ref="X131:AB131" si="27">X129/X130</f>
        <v>#DIV/0!</v>
      </c>
      <c r="Y131" s="1026" t="e">
        <f t="shared" si="27"/>
        <v>#DIV/0!</v>
      </c>
      <c r="Z131" s="1026" t="e">
        <f t="shared" si="27"/>
        <v>#DIV/0!</v>
      </c>
      <c r="AA131" s="1026" t="e">
        <f t="shared" si="27"/>
        <v>#DIV/0!</v>
      </c>
      <c r="AB131" s="1026" t="e">
        <f t="shared" si="27"/>
        <v>#DIV/0!</v>
      </c>
      <c r="AC131" s="1026">
        <f t="shared" ref="AC131:AF131" si="28">AC129/AC130</f>
        <v>0.5</v>
      </c>
      <c r="AD131" s="1026" t="e">
        <f t="shared" si="28"/>
        <v>#DIV/0!</v>
      </c>
      <c r="AE131" s="1026" t="e">
        <f t="shared" si="28"/>
        <v>#DIV/0!</v>
      </c>
      <c r="AF131" s="1026" t="e">
        <f t="shared" si="28"/>
        <v>#DIV/0!</v>
      </c>
      <c r="BE131" s="83"/>
      <c r="BF131" s="83"/>
      <c r="BG131" s="83"/>
      <c r="BH131" s="83"/>
      <c r="BI131" s="83"/>
      <c r="BJ131" s="83"/>
      <c r="BK131" s="83"/>
      <c r="BL131" s="83"/>
      <c r="BM131" s="83"/>
      <c r="BN131" s="83"/>
      <c r="BO131" s="83"/>
      <c r="BP131" s="83"/>
      <c r="BQ131" s="83"/>
      <c r="BR131" s="83"/>
      <c r="BS131" s="83"/>
      <c r="BT131" s="83"/>
      <c r="BU131" s="83"/>
      <c r="BV131" s="83"/>
      <c r="BW131" s="83"/>
      <c r="BX131" s="83"/>
      <c r="BY131" s="83"/>
      <c r="CH131" s="83"/>
      <c r="CI131" s="83"/>
      <c r="CJ131" s="83"/>
      <c r="CK131" s="83"/>
      <c r="CL131" s="83"/>
      <c r="CM131" s="83"/>
      <c r="CN131" s="83"/>
      <c r="CO131" s="83"/>
      <c r="CP131" s="83"/>
      <c r="CQ131" s="83"/>
      <c r="CR131" s="83"/>
      <c r="CS131" s="83"/>
      <c r="CT131" s="83"/>
      <c r="CU131" s="83"/>
      <c r="CV131" s="83"/>
      <c r="CW131" s="83"/>
      <c r="CX131" s="83"/>
      <c r="CY131" s="83"/>
      <c r="CZ131" s="83"/>
      <c r="DA131" s="83"/>
      <c r="DB131" s="83"/>
      <c r="DC131" s="83"/>
      <c r="DD131" s="83"/>
    </row>
    <row r="132" spans="1:108" s="4" customFormat="1">
      <c r="A132" s="114"/>
      <c r="B132" s="114"/>
      <c r="C132" s="114"/>
      <c r="D132" s="775" t="s">
        <v>296</v>
      </c>
      <c r="E132" s="1027">
        <f>COUNTA(D105:D128)</f>
        <v>24</v>
      </c>
      <c r="F132" s="1026"/>
      <c r="G132" s="1026"/>
      <c r="H132" s="1026"/>
      <c r="I132" s="1026"/>
      <c r="J132" s="1026"/>
      <c r="K132" s="1026"/>
      <c r="L132" s="1026"/>
      <c r="M132" s="1026"/>
      <c r="N132" s="1026"/>
      <c r="O132" s="1026"/>
      <c r="P132" s="1026"/>
      <c r="Q132" s="1026"/>
      <c r="R132" s="1026"/>
      <c r="S132" s="1026"/>
      <c r="T132" s="1026"/>
      <c r="U132" s="1026"/>
      <c r="V132" s="1026"/>
      <c r="W132" s="1026"/>
      <c r="X132" s="1026"/>
      <c r="Y132" s="1026"/>
      <c r="Z132" s="1026"/>
      <c r="AA132" s="770"/>
      <c r="BE132" s="83"/>
      <c r="BF132" s="83"/>
      <c r="BG132" s="83"/>
      <c r="BH132" s="83"/>
      <c r="BI132" s="83"/>
      <c r="BJ132" s="83"/>
      <c r="BK132" s="83"/>
      <c r="BL132" s="83"/>
      <c r="BM132" s="83"/>
      <c r="BN132" s="83"/>
      <c r="BO132" s="83"/>
      <c r="BP132" s="83"/>
      <c r="BQ132" s="83"/>
      <c r="BR132" s="83"/>
      <c r="BS132" s="83"/>
      <c r="BT132" s="83"/>
      <c r="BU132" s="83"/>
      <c r="BV132" s="83"/>
      <c r="BW132" s="83"/>
      <c r="BX132" s="83"/>
      <c r="BY132" s="83"/>
      <c r="CH132" s="83"/>
      <c r="CI132" s="83"/>
      <c r="CJ132" s="83"/>
      <c r="CK132" s="83"/>
      <c r="CL132" s="83"/>
      <c r="CM132" s="83"/>
      <c r="CN132" s="83"/>
      <c r="CO132" s="83"/>
      <c r="CP132" s="83"/>
      <c r="CQ132" s="83"/>
      <c r="CR132" s="83"/>
      <c r="CS132" s="83"/>
      <c r="CT132" s="83"/>
      <c r="CU132" s="83"/>
      <c r="CV132" s="83"/>
      <c r="CW132" s="83"/>
      <c r="CX132" s="83"/>
      <c r="CY132" s="83"/>
      <c r="CZ132" s="83"/>
      <c r="DA132" s="83"/>
      <c r="DB132" s="83"/>
      <c r="DC132" s="83"/>
      <c r="DD132" s="83"/>
    </row>
    <row r="133" spans="1:108">
      <c r="A133" s="28" t="s">
        <v>282</v>
      </c>
      <c r="B133" s="28"/>
      <c r="C133" s="1041">
        <f>SUM(C15:C48,C71:C96,C105:C128)</f>
        <v>83</v>
      </c>
      <c r="D133" s="1042"/>
      <c r="E133" s="1043"/>
      <c r="F133" s="49"/>
      <c r="G133" s="49"/>
      <c r="H133" s="49"/>
      <c r="I133" s="49"/>
      <c r="J133" s="69"/>
      <c r="K133" s="49"/>
      <c r="L133" s="1044"/>
      <c r="M133" s="79"/>
      <c r="N133" s="1045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1046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</row>
    <row r="134" spans="1:108" s="1010" customFormat="1">
      <c r="A134" s="28"/>
      <c r="B134" s="28"/>
      <c r="C134" s="1041"/>
      <c r="D134" s="1073"/>
      <c r="E134" s="1074"/>
      <c r="F134" s="1075"/>
      <c r="G134" s="1075"/>
      <c r="H134" s="1075"/>
      <c r="I134" s="1075"/>
      <c r="J134" s="1076"/>
      <c r="K134" s="1075"/>
      <c r="L134" s="1077"/>
      <c r="M134" s="1068"/>
      <c r="N134" s="1078"/>
      <c r="O134" s="1068"/>
      <c r="P134" s="1068"/>
      <c r="Q134" s="1068"/>
      <c r="R134" s="1068"/>
      <c r="S134" s="1068"/>
      <c r="T134" s="1068"/>
      <c r="U134" s="1068"/>
      <c r="V134" s="1068"/>
      <c r="W134" s="1068"/>
      <c r="X134" s="1068"/>
      <c r="Y134" s="1068"/>
      <c r="Z134" s="1068"/>
      <c r="AA134" s="1067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</row>
    <row r="135" spans="1:108" s="1010" customFormat="1">
      <c r="A135" s="28"/>
      <c r="B135" s="28"/>
      <c r="C135" s="3568" t="s">
        <v>291</v>
      </c>
      <c r="D135" s="1073" t="s">
        <v>289</v>
      </c>
      <c r="E135" s="1079">
        <f t="shared" ref="E135:AB135" si="29">SUM(E65,E97,E129)</f>
        <v>23</v>
      </c>
      <c r="F135" s="1079">
        <f t="shared" si="29"/>
        <v>12</v>
      </c>
      <c r="G135" s="1079">
        <f t="shared" si="29"/>
        <v>29</v>
      </c>
      <c r="H135" s="1079">
        <f t="shared" si="29"/>
        <v>36</v>
      </c>
      <c r="I135" s="1079">
        <f t="shared" si="29"/>
        <v>35</v>
      </c>
      <c r="J135" s="1079">
        <f t="shared" si="29"/>
        <v>21</v>
      </c>
      <c r="K135" s="1079">
        <f t="shared" si="29"/>
        <v>22</v>
      </c>
      <c r="L135" s="1079">
        <f t="shared" si="29"/>
        <v>19</v>
      </c>
      <c r="M135" s="1079">
        <f t="shared" si="29"/>
        <v>24</v>
      </c>
      <c r="N135" s="1079">
        <f t="shared" si="29"/>
        <v>23</v>
      </c>
      <c r="O135" s="1079">
        <f t="shared" si="29"/>
        <v>28</v>
      </c>
      <c r="P135" s="1079">
        <f t="shared" si="29"/>
        <v>24</v>
      </c>
      <c r="Q135" s="1079">
        <f t="shared" si="29"/>
        <v>16</v>
      </c>
      <c r="R135" s="1079">
        <f t="shared" si="29"/>
        <v>15</v>
      </c>
      <c r="S135" s="1079">
        <f t="shared" si="29"/>
        <v>22</v>
      </c>
      <c r="T135" s="1079">
        <f t="shared" si="29"/>
        <v>20</v>
      </c>
      <c r="U135" s="1079">
        <f t="shared" si="29"/>
        <v>17</v>
      </c>
      <c r="V135" s="1079">
        <f t="shared" si="29"/>
        <v>12</v>
      </c>
      <c r="W135" s="1079">
        <f t="shared" si="29"/>
        <v>17</v>
      </c>
      <c r="X135" s="1079">
        <f t="shared" si="29"/>
        <v>1</v>
      </c>
      <c r="Y135" s="1079">
        <f t="shared" si="29"/>
        <v>3</v>
      </c>
      <c r="Z135" s="1079">
        <f t="shared" si="29"/>
        <v>1</v>
      </c>
      <c r="AA135" s="1079">
        <f t="shared" si="29"/>
        <v>13</v>
      </c>
      <c r="AB135" s="1079">
        <f t="shared" si="29"/>
        <v>4</v>
      </c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</row>
    <row r="136" spans="1:108" s="1010" customFormat="1">
      <c r="A136" s="28"/>
      <c r="B136" s="28"/>
      <c r="C136" s="3568"/>
      <c r="D136" s="1073" t="s">
        <v>288</v>
      </c>
      <c r="E136" s="1079">
        <f t="shared" ref="E136:AB136" si="30">SUM(E66,E98,E130)</f>
        <v>73</v>
      </c>
      <c r="F136" s="1079">
        <f t="shared" si="30"/>
        <v>74</v>
      </c>
      <c r="G136" s="1079">
        <f t="shared" si="30"/>
        <v>74</v>
      </c>
      <c r="H136" s="1079">
        <f t="shared" si="30"/>
        <v>74</v>
      </c>
      <c r="I136" s="1079">
        <f t="shared" si="30"/>
        <v>74</v>
      </c>
      <c r="J136" s="1079">
        <f t="shared" si="30"/>
        <v>79</v>
      </c>
      <c r="K136" s="1079">
        <f t="shared" si="30"/>
        <v>79</v>
      </c>
      <c r="L136" s="1079">
        <f t="shared" si="30"/>
        <v>79</v>
      </c>
      <c r="M136" s="1079">
        <f t="shared" si="30"/>
        <v>80</v>
      </c>
      <c r="N136" s="1079">
        <f t="shared" si="30"/>
        <v>84</v>
      </c>
      <c r="O136" s="1079">
        <f t="shared" si="30"/>
        <v>84</v>
      </c>
      <c r="P136" s="1079">
        <f t="shared" si="30"/>
        <v>53</v>
      </c>
      <c r="Q136" s="1079">
        <f t="shared" si="30"/>
        <v>79</v>
      </c>
      <c r="R136" s="1079">
        <f t="shared" si="30"/>
        <v>79</v>
      </c>
      <c r="S136" s="1079">
        <f t="shared" si="30"/>
        <v>79</v>
      </c>
      <c r="T136" s="1079">
        <f t="shared" si="30"/>
        <v>81</v>
      </c>
      <c r="U136" s="1079">
        <f t="shared" si="30"/>
        <v>63</v>
      </c>
      <c r="V136" s="1079">
        <f t="shared" si="30"/>
        <v>62</v>
      </c>
      <c r="W136" s="1079">
        <f t="shared" si="30"/>
        <v>62</v>
      </c>
      <c r="X136" s="1079">
        <f t="shared" si="30"/>
        <v>60</v>
      </c>
      <c r="Y136" s="1079">
        <f t="shared" si="30"/>
        <v>59</v>
      </c>
      <c r="Z136" s="1079">
        <f t="shared" si="30"/>
        <v>75</v>
      </c>
      <c r="AA136" s="1079">
        <f t="shared" si="30"/>
        <v>75</v>
      </c>
      <c r="AB136" s="1079">
        <f t="shared" si="30"/>
        <v>75</v>
      </c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</row>
    <row r="137" spans="1:108" s="1010" customFormat="1">
      <c r="A137" s="28"/>
      <c r="B137" s="28"/>
      <c r="C137" s="3568"/>
      <c r="D137" s="1073" t="s">
        <v>290</v>
      </c>
      <c r="E137" s="1080">
        <f>E135/E136</f>
        <v>0.31506849315068491</v>
      </c>
      <c r="F137" s="1080">
        <f t="shared" ref="F137:T137" si="31">F135/F136</f>
        <v>0.16216216216216217</v>
      </c>
      <c r="G137" s="1080">
        <f t="shared" si="31"/>
        <v>0.39189189189189189</v>
      </c>
      <c r="H137" s="1080">
        <f t="shared" si="31"/>
        <v>0.48648648648648651</v>
      </c>
      <c r="I137" s="1080">
        <f t="shared" si="31"/>
        <v>0.47297297297297297</v>
      </c>
      <c r="J137" s="1080">
        <f t="shared" si="31"/>
        <v>0.26582278481012656</v>
      </c>
      <c r="K137" s="1080">
        <f t="shared" si="31"/>
        <v>0.27848101265822783</v>
      </c>
      <c r="L137" s="1080">
        <f t="shared" si="31"/>
        <v>0.24050632911392406</v>
      </c>
      <c r="M137" s="1080">
        <f t="shared" si="31"/>
        <v>0.3</v>
      </c>
      <c r="N137" s="1080">
        <f t="shared" si="31"/>
        <v>0.27380952380952384</v>
      </c>
      <c r="O137" s="1080">
        <f t="shared" si="31"/>
        <v>0.33333333333333331</v>
      </c>
      <c r="P137" s="1080">
        <f t="shared" si="31"/>
        <v>0.45283018867924529</v>
      </c>
      <c r="Q137" s="1080">
        <f t="shared" si="31"/>
        <v>0.20253164556962025</v>
      </c>
      <c r="R137" s="1080">
        <f t="shared" si="31"/>
        <v>0.189873417721519</v>
      </c>
      <c r="S137" s="1080">
        <f t="shared" si="31"/>
        <v>0.27848101265822783</v>
      </c>
      <c r="T137" s="1080">
        <f t="shared" si="31"/>
        <v>0.24691358024691357</v>
      </c>
      <c r="U137" s="1080">
        <f t="shared" ref="U137:AB137" si="32">U135/U136</f>
        <v>0.26984126984126983</v>
      </c>
      <c r="V137" s="1080">
        <f t="shared" si="32"/>
        <v>0.19354838709677419</v>
      </c>
      <c r="W137" s="1080">
        <f t="shared" si="32"/>
        <v>0.27419354838709675</v>
      </c>
      <c r="X137" s="1080">
        <f t="shared" si="32"/>
        <v>1.6666666666666666E-2</v>
      </c>
      <c r="Y137" s="1080">
        <f t="shared" si="32"/>
        <v>5.0847457627118647E-2</v>
      </c>
      <c r="Z137" s="1080">
        <f t="shared" si="32"/>
        <v>1.3333333333333334E-2</v>
      </c>
      <c r="AA137" s="1080">
        <f t="shared" si="32"/>
        <v>0.17333333333333334</v>
      </c>
      <c r="AB137" s="1080">
        <f t="shared" si="32"/>
        <v>5.3333333333333337E-2</v>
      </c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</row>
    <row r="138" spans="1:108" s="4" customFormat="1">
      <c r="A138" s="28"/>
      <c r="B138" s="28"/>
      <c r="C138" s="1041"/>
      <c r="D138" s="1072" t="s">
        <v>295</v>
      </c>
      <c r="E138" s="1087">
        <f>SUM(E68,E100,E132)</f>
        <v>84</v>
      </c>
      <c r="F138" s="1081"/>
      <c r="G138" s="1081"/>
      <c r="H138" s="1081"/>
      <c r="I138" s="1081"/>
      <c r="J138" s="1082"/>
      <c r="K138" s="1081"/>
      <c r="L138" s="1083"/>
      <c r="M138" s="1072"/>
      <c r="N138" s="1078"/>
      <c r="O138" s="1072"/>
      <c r="P138" s="1072"/>
      <c r="Q138" s="1072"/>
      <c r="R138" s="1072"/>
      <c r="S138" s="1072"/>
      <c r="T138" s="1072"/>
      <c r="U138" s="1072"/>
      <c r="V138" s="1072"/>
      <c r="W138" s="1072"/>
      <c r="X138" s="1072"/>
      <c r="Y138" s="1072"/>
      <c r="Z138" s="1072"/>
      <c r="AA138" s="1071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J138" s="83"/>
      <c r="BK138" s="83"/>
      <c r="BL138" s="83"/>
      <c r="BM138" s="83"/>
      <c r="BN138" s="83"/>
      <c r="BO138" s="83"/>
      <c r="BP138" s="83"/>
      <c r="BQ138" s="83"/>
      <c r="BR138" s="83"/>
      <c r="BS138" s="83"/>
      <c r="BT138" s="83"/>
      <c r="BU138" s="83"/>
      <c r="BV138" s="83"/>
      <c r="BW138" s="83"/>
      <c r="BX138" s="83"/>
      <c r="BY138" s="83"/>
      <c r="BZ138" s="83"/>
      <c r="CA138" s="83"/>
      <c r="CB138" s="83"/>
      <c r="CC138" s="83"/>
      <c r="CD138" s="83"/>
      <c r="CE138" s="83"/>
      <c r="CF138" s="83"/>
      <c r="CG138" s="83"/>
      <c r="CH138" s="83"/>
      <c r="CI138" s="83"/>
    </row>
    <row r="139" spans="1:108" s="1010" customFormat="1">
      <c r="A139" s="28"/>
      <c r="B139" s="28"/>
      <c r="C139" s="1041"/>
      <c r="D139" s="1042"/>
      <c r="E139" s="1043"/>
      <c r="F139" s="49"/>
      <c r="G139" s="49"/>
      <c r="H139" s="49"/>
      <c r="I139" s="49"/>
      <c r="J139" s="69"/>
      <c r="K139" s="49"/>
      <c r="L139" s="1044"/>
      <c r="M139" s="79"/>
      <c r="N139" s="1045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1046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</row>
    <row r="140" spans="1:108" s="1010" customFormat="1">
      <c r="A140" s="28"/>
      <c r="B140" s="28"/>
      <c r="C140" s="1041"/>
      <c r="D140" s="1042"/>
      <c r="E140" s="1043"/>
      <c r="F140" s="49"/>
      <c r="G140" s="49"/>
      <c r="H140" s="49"/>
      <c r="I140" s="49"/>
      <c r="J140" s="69"/>
      <c r="K140" s="49"/>
      <c r="L140" s="1044"/>
      <c r="M140" s="79"/>
      <c r="N140" s="1045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1046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</row>
    <row r="141" spans="1:108" s="1010" customFormat="1">
      <c r="A141" s="28"/>
      <c r="B141" s="28"/>
      <c r="C141" s="1041"/>
      <c r="D141" s="1042"/>
      <c r="E141" s="1043"/>
      <c r="F141" s="49"/>
      <c r="G141" s="49"/>
      <c r="H141" s="49"/>
      <c r="I141" s="49"/>
      <c r="J141" s="69"/>
      <c r="K141" s="49"/>
      <c r="L141" s="1044"/>
      <c r="M141" s="79"/>
      <c r="N141" s="1045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1046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</row>
    <row r="142" spans="1:108">
      <c r="A142" s="122"/>
      <c r="B142" s="122"/>
      <c r="C142" s="122"/>
      <c r="D142" s="117"/>
      <c r="E142" s="110"/>
      <c r="F142" s="110"/>
      <c r="G142" s="3546" t="s">
        <v>227</v>
      </c>
      <c r="H142" s="3546"/>
      <c r="I142" s="3546"/>
      <c r="J142" s="3546"/>
      <c r="K142" s="107"/>
      <c r="L142" s="112"/>
      <c r="M142" s="107"/>
      <c r="N142" s="107"/>
      <c r="O142" s="3546" t="s">
        <v>227</v>
      </c>
      <c r="P142" s="3546"/>
      <c r="Q142" s="3546"/>
      <c r="R142" s="3546"/>
      <c r="S142" s="107"/>
      <c r="T142" s="107"/>
      <c r="U142" s="107"/>
      <c r="V142" s="107"/>
      <c r="W142" s="107"/>
      <c r="X142" s="107"/>
      <c r="Y142" s="107"/>
      <c r="Z142" s="107"/>
      <c r="AA142" s="767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</row>
    <row r="143" spans="1:108" ht="15.75" thickBot="1">
      <c r="A143" s="122"/>
      <c r="B143" s="122"/>
      <c r="C143" s="122"/>
      <c r="D143" s="124"/>
      <c r="E143" s="110"/>
      <c r="F143" s="111"/>
      <c r="G143" s="3546"/>
      <c r="H143" s="3546"/>
      <c r="I143" s="3546"/>
      <c r="J143" s="3546"/>
      <c r="K143" s="107"/>
      <c r="L143" s="112"/>
      <c r="M143" s="107"/>
      <c r="N143" s="107"/>
      <c r="O143" s="3546"/>
      <c r="P143" s="3546"/>
      <c r="Q143" s="3546"/>
      <c r="R143" s="3546"/>
      <c r="S143" s="107"/>
      <c r="T143" s="107"/>
      <c r="U143" s="107"/>
      <c r="V143" s="107"/>
      <c r="W143" s="107"/>
      <c r="X143" s="107"/>
      <c r="Y143" s="107"/>
      <c r="Z143" s="107"/>
      <c r="AA143" s="767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</row>
    <row r="144" spans="1:108" ht="15.75" thickBot="1">
      <c r="A144" s="123"/>
      <c r="B144" s="123"/>
      <c r="C144" s="113" t="s">
        <v>283</v>
      </c>
      <c r="D144" s="266" t="s">
        <v>168</v>
      </c>
      <c r="E144" s="268">
        <v>5</v>
      </c>
      <c r="F144" s="268">
        <v>5</v>
      </c>
      <c r="G144" s="268">
        <v>5</v>
      </c>
      <c r="H144" s="345">
        <v>5</v>
      </c>
      <c r="I144" s="346">
        <v>5</v>
      </c>
      <c r="J144" s="268">
        <v>5</v>
      </c>
      <c r="K144" s="268">
        <v>5</v>
      </c>
      <c r="L144" s="433">
        <v>5</v>
      </c>
      <c r="M144" s="360">
        <v>5</v>
      </c>
      <c r="N144" s="355">
        <v>5</v>
      </c>
      <c r="O144" s="355">
        <v>5</v>
      </c>
      <c r="P144" s="2032">
        <v>5</v>
      </c>
      <c r="Q144" s="547">
        <v>5</v>
      </c>
      <c r="R144" s="355">
        <v>5</v>
      </c>
      <c r="S144" s="355">
        <v>5</v>
      </c>
      <c r="T144" s="2032">
        <v>5</v>
      </c>
      <c r="U144" s="2032"/>
      <c r="V144" s="2032"/>
      <c r="W144" s="2032"/>
      <c r="X144" s="2032"/>
      <c r="Y144" s="2849"/>
      <c r="Z144" s="2849"/>
      <c r="AA144" s="767"/>
      <c r="AB144" s="2358"/>
      <c r="AD144" s="61"/>
      <c r="AE144" s="61"/>
      <c r="AF144" s="61"/>
      <c r="AG144" s="61"/>
      <c r="AH144" s="61"/>
      <c r="AI144" s="61"/>
      <c r="AJ144" s="67"/>
      <c r="AK144" s="67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7"/>
      <c r="BA144" s="67"/>
      <c r="BB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</row>
    <row r="145" spans="1:108">
      <c r="A145" s="328"/>
      <c r="B145" s="328"/>
      <c r="C145" s="113">
        <f>COUNTA(D145:D158)</f>
        <v>14</v>
      </c>
      <c r="D145" s="331" t="s">
        <v>116</v>
      </c>
      <c r="E145" s="493">
        <v>1.29</v>
      </c>
      <c r="F145" s="494">
        <v>3.56</v>
      </c>
      <c r="G145" s="494">
        <v>3.1349999999999998</v>
      </c>
      <c r="H145" s="495">
        <v>4.4233333333333329</v>
      </c>
      <c r="I145" s="496">
        <v>4.7866666666666662</v>
      </c>
      <c r="J145" s="494">
        <v>3.6</v>
      </c>
      <c r="K145" s="454">
        <v>4.833333333333333</v>
      </c>
      <c r="L145" s="731">
        <v>5.3666666666666671</v>
      </c>
      <c r="M145" s="2351">
        <v>4.166666666666667</v>
      </c>
      <c r="N145" s="398">
        <v>2.48</v>
      </c>
      <c r="O145" s="2352">
        <v>4.7</v>
      </c>
      <c r="P145" s="2353"/>
      <c r="Q145" s="2356">
        <v>2.48</v>
      </c>
      <c r="R145" s="358">
        <v>1.94</v>
      </c>
      <c r="S145" s="358">
        <v>6.44</v>
      </c>
      <c r="T145" s="354">
        <v>6.61</v>
      </c>
      <c r="U145" s="354">
        <v>5.58</v>
      </c>
      <c r="V145" s="354">
        <v>0.61</v>
      </c>
      <c r="W145" s="354">
        <v>4.03</v>
      </c>
      <c r="X145" s="3088">
        <v>5.04</v>
      </c>
      <c r="Y145" s="61">
        <v>5.44</v>
      </c>
      <c r="Z145" s="61"/>
      <c r="AA145" s="767"/>
      <c r="AB145" s="215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26"/>
      <c r="BD145" s="26"/>
      <c r="BE145" s="26"/>
      <c r="BF145" s="26"/>
      <c r="BG145" s="26"/>
      <c r="BH145" s="26"/>
      <c r="BI145" s="26"/>
      <c r="BJ145" s="61"/>
      <c r="BK145" s="61"/>
      <c r="BL145" s="61"/>
      <c r="BM145" s="61"/>
      <c r="BN145" s="61"/>
      <c r="BO145" s="67"/>
      <c r="BP145" s="67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7"/>
      <c r="CE145" s="67"/>
      <c r="CF145" s="61"/>
      <c r="CG145" s="61"/>
      <c r="CH145" s="61"/>
      <c r="CI145" s="61"/>
    </row>
    <row r="146" spans="1:108">
      <c r="A146" s="328"/>
      <c r="B146" s="328"/>
      <c r="C146" s="113"/>
      <c r="D146" s="101" t="s">
        <v>124</v>
      </c>
      <c r="E146" s="498">
        <v>5.32</v>
      </c>
      <c r="F146" s="484">
        <v>2.91</v>
      </c>
      <c r="G146" s="484">
        <v>2.25</v>
      </c>
      <c r="H146" s="489">
        <v>1.06</v>
      </c>
      <c r="I146" s="483">
        <v>1.2050000000000001</v>
      </c>
      <c r="J146" s="484">
        <v>0</v>
      </c>
      <c r="K146" s="459">
        <v>3.5333333333333332</v>
      </c>
      <c r="L146" s="733">
        <v>0</v>
      </c>
      <c r="M146" s="732">
        <v>0</v>
      </c>
      <c r="N146" s="394">
        <v>7.0000000000000007E-2</v>
      </c>
      <c r="O146" s="1788">
        <v>1.33</v>
      </c>
      <c r="P146" s="2350"/>
      <c r="Q146" s="393">
        <v>2</v>
      </c>
      <c r="R146" s="304">
        <v>4.7</v>
      </c>
      <c r="S146" s="304">
        <v>4.38</v>
      </c>
      <c r="T146" s="319">
        <v>3.47</v>
      </c>
      <c r="U146" s="319">
        <v>2.83</v>
      </c>
      <c r="V146" s="319">
        <v>6.28</v>
      </c>
      <c r="W146" s="319">
        <v>2.69</v>
      </c>
      <c r="X146" s="3089">
        <v>4.13</v>
      </c>
      <c r="Y146" s="61">
        <v>2.72</v>
      </c>
      <c r="Z146" s="61"/>
      <c r="AA146" s="767"/>
      <c r="AB146" s="2151"/>
      <c r="AD146" s="61"/>
      <c r="AE146" s="61"/>
      <c r="AF146" s="70"/>
      <c r="AG146" s="70"/>
      <c r="AH146" s="70"/>
      <c r="AI146" s="70"/>
      <c r="AJ146" s="13"/>
      <c r="AK146" s="70"/>
      <c r="AL146" s="70"/>
      <c r="AM146" s="13"/>
      <c r="AN146" s="61"/>
      <c r="AO146" s="70"/>
      <c r="AP146" s="70"/>
      <c r="AQ146" s="70"/>
      <c r="AR146" s="86"/>
      <c r="AS146" s="13"/>
      <c r="AT146" s="70"/>
      <c r="AU146" s="86"/>
      <c r="AV146" s="86"/>
      <c r="AW146" s="61"/>
      <c r="AX146" s="70"/>
      <c r="AY146" s="70"/>
      <c r="AZ146" s="86"/>
      <c r="BA146" s="13"/>
      <c r="BB146" s="61"/>
      <c r="BC146" s="26"/>
      <c r="BD146" s="26"/>
      <c r="BE146" s="26"/>
      <c r="BF146" s="26"/>
      <c r="BG146" s="19"/>
      <c r="BH146" s="19"/>
      <c r="BI146" s="19"/>
      <c r="BJ146" s="13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</row>
    <row r="147" spans="1:108" ht="15" customHeight="1">
      <c r="A147" s="772"/>
      <c r="B147" s="772"/>
      <c r="C147" s="774"/>
      <c r="D147" s="102" t="s">
        <v>118</v>
      </c>
      <c r="E147" s="498">
        <v>7.63</v>
      </c>
      <c r="F147" s="484">
        <v>6.0149999999999997</v>
      </c>
      <c r="G147" s="484">
        <v>3.75</v>
      </c>
      <c r="H147" s="489">
        <v>4.7566666666666668</v>
      </c>
      <c r="I147" s="483">
        <v>5.4966666666666661</v>
      </c>
      <c r="J147" s="484">
        <v>3.2666666666666702</v>
      </c>
      <c r="K147" s="459">
        <v>5.1000000000000005</v>
      </c>
      <c r="L147" s="733">
        <v>5.666666666666667</v>
      </c>
      <c r="M147" s="732">
        <v>4.5999999999999996</v>
      </c>
      <c r="N147" s="394">
        <v>3.88</v>
      </c>
      <c r="O147" s="1788">
        <v>5.63</v>
      </c>
      <c r="P147" s="2350"/>
      <c r="Q147" s="393">
        <v>6.1</v>
      </c>
      <c r="R147" s="304">
        <v>0.88</v>
      </c>
      <c r="S147" s="304">
        <v>8.5399999999999991</v>
      </c>
      <c r="T147" s="319">
        <v>8.4499999999999993</v>
      </c>
      <c r="U147" s="319">
        <v>6.84</v>
      </c>
      <c r="V147" s="319">
        <v>0.68</v>
      </c>
      <c r="W147" s="319">
        <v>4.46</v>
      </c>
      <c r="X147" s="3088">
        <v>4.3899999999999997</v>
      </c>
      <c r="Y147" s="61">
        <v>5.89</v>
      </c>
      <c r="Z147" s="61"/>
      <c r="AA147" s="767"/>
      <c r="AB147" s="2151"/>
      <c r="AD147" s="61"/>
      <c r="AE147" s="61"/>
      <c r="AF147" s="88"/>
      <c r="AG147" s="72"/>
      <c r="AH147" s="88"/>
      <c r="AI147" s="88"/>
      <c r="AJ147" s="13"/>
      <c r="AK147" s="21"/>
      <c r="AL147" s="21"/>
      <c r="AM147" s="14"/>
      <c r="AN147" s="28"/>
      <c r="AO147" s="21"/>
      <c r="AP147" s="21"/>
      <c r="AQ147" s="21"/>
      <c r="AR147" s="21"/>
      <c r="AS147" s="14"/>
      <c r="AT147" s="21"/>
      <c r="AU147" s="61"/>
      <c r="AV147" s="72"/>
      <c r="AW147" s="72"/>
      <c r="AX147" s="72"/>
      <c r="AY147" s="72"/>
      <c r="AZ147" s="13"/>
      <c r="BA147" s="14"/>
      <c r="BB147" s="61"/>
      <c r="BC147" s="26"/>
      <c r="BD147" s="26"/>
      <c r="BE147" s="26"/>
      <c r="BF147" s="28"/>
      <c r="BG147" s="21"/>
      <c r="BH147" s="21"/>
      <c r="BI147" s="21"/>
      <c r="BJ147" s="14"/>
      <c r="BK147" s="61"/>
      <c r="BL147" s="72"/>
      <c r="BM147" s="72"/>
      <c r="BN147" s="88"/>
      <c r="BO147" s="13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72"/>
      <c r="CB147" s="72"/>
      <c r="CC147" s="88"/>
      <c r="CD147" s="13"/>
      <c r="CE147" s="61"/>
      <c r="CF147" s="61"/>
      <c r="CG147" s="61"/>
      <c r="CH147" s="61"/>
      <c r="CI147" s="61"/>
    </row>
    <row r="148" spans="1:108">
      <c r="A148" s="772"/>
      <c r="B148" s="772"/>
      <c r="C148" s="774"/>
      <c r="D148" s="102" t="s">
        <v>113</v>
      </c>
      <c r="E148" s="498">
        <v>5.75</v>
      </c>
      <c r="F148" s="484">
        <v>2.5950000000000002</v>
      </c>
      <c r="G148" s="484">
        <v>3.19</v>
      </c>
      <c r="H148" s="489">
        <v>4.9400000000000004</v>
      </c>
      <c r="I148" s="483">
        <v>4.3949999999999996</v>
      </c>
      <c r="J148" s="484">
        <v>4.0666666666666664</v>
      </c>
      <c r="K148" s="459">
        <v>5.0333333333333332</v>
      </c>
      <c r="L148" s="733">
        <v>5.3999999999999995</v>
      </c>
      <c r="M148" s="734">
        <v>4.5666666666666664</v>
      </c>
      <c r="N148" s="394">
        <v>2.63</v>
      </c>
      <c r="O148" s="394">
        <v>3.63</v>
      </c>
      <c r="P148" s="2350"/>
      <c r="Q148" s="393">
        <v>3.75</v>
      </c>
      <c r="R148" s="304">
        <v>0.52</v>
      </c>
      <c r="S148" s="304">
        <v>5.58</v>
      </c>
      <c r="T148" s="319">
        <v>7.21</v>
      </c>
      <c r="U148" s="319">
        <v>4.99</v>
      </c>
      <c r="V148" s="319">
        <v>0.64</v>
      </c>
      <c r="W148" s="319">
        <v>6.96</v>
      </c>
      <c r="X148" s="3088">
        <v>4.66</v>
      </c>
      <c r="Y148" s="61">
        <v>3.7</v>
      </c>
      <c r="Z148" s="61"/>
      <c r="AA148" s="767"/>
      <c r="AD148" s="61"/>
      <c r="AE148" s="28"/>
      <c r="AF148" s="21"/>
      <c r="AG148" s="21"/>
      <c r="AH148" s="21"/>
      <c r="AI148" s="87"/>
      <c r="AJ148" s="77"/>
      <c r="AK148" s="21"/>
      <c r="AL148" s="21"/>
      <c r="AM148" s="14"/>
      <c r="AN148" s="61"/>
      <c r="AO148" s="21"/>
      <c r="AP148" s="21"/>
      <c r="AQ148" s="21"/>
      <c r="AR148" s="21"/>
      <c r="AS148" s="14"/>
      <c r="AT148" s="21"/>
      <c r="AU148" s="28"/>
      <c r="AV148" s="87"/>
      <c r="AW148" s="87"/>
      <c r="AX148" s="87"/>
      <c r="AY148" s="87"/>
      <c r="AZ148" s="77"/>
      <c r="BA148" s="14"/>
      <c r="BB148" s="61"/>
      <c r="BC148" s="26"/>
      <c r="BD148" s="26"/>
      <c r="BE148" s="26"/>
      <c r="BF148" s="26"/>
      <c r="BG148" s="20"/>
      <c r="BH148" s="20"/>
      <c r="BI148" s="20"/>
      <c r="BJ148" s="14"/>
      <c r="BK148" s="28"/>
      <c r="BL148" s="87"/>
      <c r="BM148" s="87"/>
      <c r="BN148" s="87"/>
      <c r="BO148" s="77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28"/>
      <c r="CA148" s="87"/>
      <c r="CB148" s="87"/>
      <c r="CC148" s="87"/>
      <c r="CD148" s="77"/>
      <c r="CE148" s="61"/>
      <c r="CF148" s="61"/>
      <c r="CG148" s="61"/>
      <c r="CH148" s="61"/>
      <c r="CI148" s="61"/>
    </row>
    <row r="149" spans="1:108">
      <c r="A149" s="772"/>
      <c r="B149" s="772"/>
      <c r="C149" s="774"/>
      <c r="D149" s="101" t="s">
        <v>123</v>
      </c>
      <c r="E149" s="484">
        <v>1.96</v>
      </c>
      <c r="F149" s="484">
        <v>2.2650000000000001</v>
      </c>
      <c r="G149" s="484">
        <v>1.6850000000000001</v>
      </c>
      <c r="H149" s="489">
        <v>1.6833333333333329</v>
      </c>
      <c r="I149" s="483">
        <v>0.69666666666666666</v>
      </c>
      <c r="J149" s="484">
        <v>0.26666666666666666</v>
      </c>
      <c r="K149" s="459">
        <v>2.5666666666666669</v>
      </c>
      <c r="L149" s="733">
        <v>1.0333333333333334</v>
      </c>
      <c r="M149" s="734">
        <v>6.6666666666666666E-2</v>
      </c>
      <c r="N149" s="394">
        <v>0</v>
      </c>
      <c r="O149" s="2355">
        <v>2.27</v>
      </c>
      <c r="P149" s="2350"/>
      <c r="Q149" s="393">
        <v>0.2</v>
      </c>
      <c r="R149" s="304">
        <v>0.51</v>
      </c>
      <c r="S149" s="304">
        <v>2.0499999999999998</v>
      </c>
      <c r="T149" s="319">
        <v>0.44</v>
      </c>
      <c r="U149" s="319">
        <v>0.41</v>
      </c>
      <c r="V149" s="319">
        <v>0.44</v>
      </c>
      <c r="W149" s="319">
        <v>1.48</v>
      </c>
      <c r="X149" s="3088">
        <v>1.27</v>
      </c>
      <c r="Y149" s="61">
        <v>1.1100000000000001</v>
      </c>
      <c r="Z149" s="61"/>
      <c r="AA149" s="767"/>
      <c r="AD149" s="61"/>
      <c r="AE149" s="78"/>
      <c r="AF149" s="21"/>
      <c r="AG149" s="21"/>
      <c r="AH149" s="21"/>
      <c r="AI149" s="87"/>
      <c r="AJ149" s="77"/>
      <c r="AK149" s="21"/>
      <c r="AL149" s="21"/>
      <c r="AM149" s="14"/>
      <c r="AN149" s="61"/>
      <c r="AO149" s="21"/>
      <c r="AP149" s="21"/>
      <c r="AQ149" s="21"/>
      <c r="AR149" s="21"/>
      <c r="AS149" s="14"/>
      <c r="AT149" s="21"/>
      <c r="AU149" s="78"/>
      <c r="AV149" s="87"/>
      <c r="AW149" s="87"/>
      <c r="AX149" s="87"/>
      <c r="AY149" s="87"/>
      <c r="AZ149" s="77"/>
      <c r="BA149" s="14"/>
      <c r="BB149" s="61"/>
      <c r="BC149" s="26"/>
      <c r="BD149" s="26"/>
      <c r="BE149" s="26"/>
      <c r="BF149" s="26"/>
      <c r="BG149" s="20"/>
      <c r="BH149" s="20"/>
      <c r="BI149" s="20"/>
      <c r="BJ149" s="14"/>
      <c r="BK149" s="78"/>
      <c r="BL149" s="87"/>
      <c r="BM149" s="87"/>
      <c r="BN149" s="87"/>
      <c r="BO149" s="77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78"/>
      <c r="CA149" s="87"/>
      <c r="CB149" s="87"/>
      <c r="CC149" s="87"/>
      <c r="CD149" s="77"/>
      <c r="CE149" s="61"/>
      <c r="CF149" s="61"/>
      <c r="CG149" s="61"/>
      <c r="CH149" s="61"/>
      <c r="CI149" s="61"/>
    </row>
    <row r="150" spans="1:108">
      <c r="A150" s="772"/>
      <c r="B150" s="772"/>
      <c r="C150" s="774"/>
      <c r="D150" s="101" t="s">
        <v>120</v>
      </c>
      <c r="E150" s="484">
        <v>1.89</v>
      </c>
      <c r="F150" s="484">
        <v>2.41</v>
      </c>
      <c r="G150" s="484">
        <v>1.36</v>
      </c>
      <c r="H150" s="489">
        <v>1.8499999999999999</v>
      </c>
      <c r="I150" s="483">
        <v>1.7466666666666668</v>
      </c>
      <c r="J150" s="484">
        <v>1.4000000000000001</v>
      </c>
      <c r="K150" s="459">
        <v>3.0333333333333332</v>
      </c>
      <c r="L150" s="733">
        <v>1.3</v>
      </c>
      <c r="M150" s="734">
        <v>0</v>
      </c>
      <c r="N150" s="394">
        <v>7.0000000000000007E-2</v>
      </c>
      <c r="O150" s="1788">
        <v>0.6</v>
      </c>
      <c r="P150" s="2350"/>
      <c r="Q150" s="393">
        <v>1.9</v>
      </c>
      <c r="R150" s="304">
        <v>0.56000000000000005</v>
      </c>
      <c r="S150" s="304">
        <v>2.84</v>
      </c>
      <c r="T150" s="319">
        <v>0.71</v>
      </c>
      <c r="U150" s="319">
        <v>0.45</v>
      </c>
      <c r="V150" s="319">
        <v>0.51</v>
      </c>
      <c r="W150" s="319">
        <v>2.2599999999999998</v>
      </c>
      <c r="X150" s="3088">
        <v>1.8</v>
      </c>
      <c r="Y150" s="61">
        <v>0.68</v>
      </c>
      <c r="Z150" s="61"/>
      <c r="AA150" s="767"/>
      <c r="AD150" s="61"/>
      <c r="AE150" s="78"/>
      <c r="AF150" s="21"/>
      <c r="AG150" s="21"/>
      <c r="AH150" s="21"/>
      <c r="AI150" s="87"/>
      <c r="AJ150" s="77"/>
      <c r="AK150" s="21"/>
      <c r="AL150" s="21"/>
      <c r="AM150" s="14"/>
      <c r="AN150" s="61"/>
      <c r="AO150" s="21"/>
      <c r="AP150" s="21"/>
      <c r="AQ150" s="21"/>
      <c r="AR150" s="21"/>
      <c r="AS150" s="14"/>
      <c r="AT150" s="21"/>
      <c r="AU150" s="78"/>
      <c r="AV150" s="87"/>
      <c r="AW150" s="87"/>
      <c r="AX150" s="87"/>
      <c r="AY150" s="87"/>
      <c r="AZ150" s="77"/>
      <c r="BA150" s="14"/>
      <c r="BB150" s="61"/>
      <c r="BC150" s="26"/>
      <c r="BD150" s="26"/>
      <c r="BE150" s="26"/>
      <c r="BF150" s="26"/>
      <c r="BG150" s="20"/>
      <c r="BH150" s="20"/>
      <c r="BI150" s="20"/>
      <c r="BJ150" s="14"/>
      <c r="BK150" s="78"/>
      <c r="BL150" s="87"/>
      <c r="BM150" s="87"/>
      <c r="BN150" s="87"/>
      <c r="BO150" s="77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78"/>
      <c r="CA150" s="87"/>
      <c r="CB150" s="87"/>
      <c r="CC150" s="87"/>
      <c r="CD150" s="77"/>
      <c r="CE150" s="61"/>
      <c r="CF150" s="61"/>
      <c r="CG150" s="61"/>
      <c r="CH150" s="61"/>
      <c r="CI150" s="61"/>
    </row>
    <row r="151" spans="1:108">
      <c r="A151" s="772"/>
      <c r="B151" s="772"/>
      <c r="C151" s="774"/>
      <c r="D151" s="101" t="s">
        <v>122</v>
      </c>
      <c r="E151" s="484">
        <v>2.23</v>
      </c>
      <c r="F151" s="484">
        <v>1.86</v>
      </c>
      <c r="G151" s="484">
        <v>1.27</v>
      </c>
      <c r="H151" s="489">
        <v>1.5666666666666664</v>
      </c>
      <c r="I151" s="483">
        <v>0.53333333333333333</v>
      </c>
      <c r="J151" s="484">
        <v>0.56666666666666665</v>
      </c>
      <c r="K151" s="459">
        <v>0</v>
      </c>
      <c r="L151" s="735">
        <v>0.26666666666666666</v>
      </c>
      <c r="M151" s="734">
        <v>0</v>
      </c>
      <c r="N151" s="394">
        <v>0</v>
      </c>
      <c r="O151" s="1788">
        <v>0</v>
      </c>
      <c r="P151" s="2350"/>
      <c r="Q151" s="393">
        <v>1.82</v>
      </c>
      <c r="R151" s="304">
        <v>0.72</v>
      </c>
      <c r="S151" s="304">
        <v>2.54</v>
      </c>
      <c r="T151" s="319">
        <v>0.71</v>
      </c>
      <c r="U151" s="319">
        <v>0.79</v>
      </c>
      <c r="V151" s="319">
        <v>2.68</v>
      </c>
      <c r="W151" s="319">
        <v>1.1100000000000001</v>
      </c>
      <c r="X151" s="3088">
        <v>1.34</v>
      </c>
      <c r="Y151" s="61">
        <v>0.67</v>
      </c>
      <c r="Z151" s="61"/>
      <c r="AA151" s="767"/>
      <c r="AD151" s="61"/>
      <c r="AE151" s="78"/>
      <c r="AF151" s="21"/>
      <c r="AG151" s="21"/>
      <c r="AH151" s="21"/>
      <c r="AI151" s="87"/>
      <c r="AJ151" s="77"/>
      <c r="AK151" s="97"/>
      <c r="AL151" s="97"/>
      <c r="AM151" s="14"/>
      <c r="AN151" s="61"/>
      <c r="AO151" s="97"/>
      <c r="AP151" s="97"/>
      <c r="AQ151" s="97"/>
      <c r="AR151" s="97"/>
      <c r="AS151" s="14"/>
      <c r="AT151" s="97"/>
      <c r="AU151" s="78"/>
      <c r="AV151" s="87"/>
      <c r="AW151" s="87"/>
      <c r="AX151" s="87"/>
      <c r="AY151" s="87"/>
      <c r="AZ151" s="77"/>
      <c r="BA151" s="14"/>
      <c r="BB151" s="61"/>
      <c r="BC151" s="26"/>
      <c r="BD151" s="26"/>
      <c r="BE151" s="26"/>
      <c r="BF151" s="26"/>
      <c r="BG151" s="22"/>
      <c r="BH151" s="22"/>
      <c r="BI151" s="22"/>
      <c r="BJ151" s="14"/>
      <c r="BK151" s="78"/>
      <c r="BL151" s="87"/>
      <c r="BM151" s="87"/>
      <c r="BN151" s="87"/>
      <c r="BO151" s="77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78"/>
      <c r="CA151" s="87"/>
      <c r="CB151" s="87"/>
      <c r="CC151" s="87"/>
      <c r="CD151" s="77"/>
      <c r="CE151" s="61"/>
      <c r="CF151" s="61"/>
      <c r="CG151" s="61"/>
      <c r="CH151" s="61"/>
      <c r="CI151" s="61"/>
    </row>
    <row r="152" spans="1:108">
      <c r="A152" s="772"/>
      <c r="B152" s="772"/>
      <c r="C152" s="774"/>
      <c r="D152" s="101" t="s">
        <v>114</v>
      </c>
      <c r="E152" s="484">
        <v>1.49</v>
      </c>
      <c r="F152" s="484">
        <v>3.105</v>
      </c>
      <c r="G152" s="484">
        <v>1.73</v>
      </c>
      <c r="H152" s="489">
        <v>3.6233333333333331</v>
      </c>
      <c r="I152" s="483">
        <v>2.9533333333333336</v>
      </c>
      <c r="J152" s="484">
        <v>3.6333333333333333</v>
      </c>
      <c r="K152" s="459">
        <v>3.5</v>
      </c>
      <c r="L152" s="733">
        <v>3.9333333333333336</v>
      </c>
      <c r="M152" s="734">
        <v>4.2</v>
      </c>
      <c r="N152" s="394">
        <v>4.7</v>
      </c>
      <c r="O152" s="1788">
        <v>3.42</v>
      </c>
      <c r="P152" s="2350"/>
      <c r="Q152" s="393">
        <v>3.07</v>
      </c>
      <c r="R152" s="304">
        <v>0.54</v>
      </c>
      <c r="S152" s="304">
        <v>3.21</v>
      </c>
      <c r="T152" s="319">
        <v>2.13</v>
      </c>
      <c r="U152" s="319">
        <v>2.15</v>
      </c>
      <c r="V152" s="319">
        <v>1.65</v>
      </c>
      <c r="W152" s="319">
        <v>5.16</v>
      </c>
      <c r="X152" s="3088">
        <v>3.77</v>
      </c>
      <c r="Y152" s="61">
        <v>1.87</v>
      </c>
      <c r="Z152" s="61"/>
      <c r="AA152" s="767"/>
      <c r="AD152" s="61"/>
      <c r="AE152" s="78"/>
      <c r="AF152" s="87"/>
      <c r="AG152" s="87"/>
      <c r="AH152" s="87"/>
      <c r="AI152" s="87"/>
      <c r="AJ152" s="77"/>
      <c r="AK152" s="97"/>
      <c r="AL152" s="97"/>
      <c r="AM152" s="14"/>
      <c r="AN152" s="61"/>
      <c r="AO152" s="97"/>
      <c r="AP152" s="97"/>
      <c r="AQ152" s="97"/>
      <c r="AR152" s="97"/>
      <c r="AS152" s="14"/>
      <c r="AT152" s="97"/>
      <c r="AU152" s="78"/>
      <c r="AV152" s="87"/>
      <c r="AW152" s="87"/>
      <c r="AX152" s="87"/>
      <c r="AY152" s="87"/>
      <c r="AZ152" s="77"/>
      <c r="BA152" s="14"/>
      <c r="BB152" s="61"/>
      <c r="BC152" s="26"/>
      <c r="BD152" s="26"/>
      <c r="BE152" s="26"/>
      <c r="BF152" s="26"/>
      <c r="BG152" s="22"/>
      <c r="BH152" s="22"/>
      <c r="BI152" s="22"/>
      <c r="BJ152" s="14"/>
      <c r="BK152" s="78"/>
      <c r="BL152" s="87"/>
      <c r="BM152" s="87"/>
      <c r="BN152" s="87"/>
      <c r="BO152" s="77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78"/>
      <c r="CA152" s="87"/>
      <c r="CB152" s="87"/>
      <c r="CC152" s="87"/>
      <c r="CD152" s="77"/>
      <c r="CE152" s="61"/>
      <c r="CF152" s="61"/>
      <c r="CG152" s="61"/>
      <c r="CH152" s="61"/>
      <c r="CI152" s="61"/>
    </row>
    <row r="153" spans="1:108">
      <c r="A153" s="772"/>
      <c r="B153" s="772"/>
      <c r="C153" s="774"/>
      <c r="D153" s="103" t="s">
        <v>115</v>
      </c>
      <c r="E153" s="484">
        <v>3.26</v>
      </c>
      <c r="F153" s="484">
        <v>3.14</v>
      </c>
      <c r="G153" s="484">
        <v>3.0249999999999999</v>
      </c>
      <c r="H153" s="489">
        <v>3.3800000000000003</v>
      </c>
      <c r="I153" s="483">
        <v>3.61</v>
      </c>
      <c r="J153" s="484">
        <v>3.3666666666666671</v>
      </c>
      <c r="K153" s="459">
        <v>4.1333333333333329</v>
      </c>
      <c r="L153" s="733">
        <v>4.6333333333333329</v>
      </c>
      <c r="M153" s="734">
        <v>4.3666666666666671</v>
      </c>
      <c r="N153" s="394">
        <v>3.65</v>
      </c>
      <c r="O153" s="1788">
        <v>3.15</v>
      </c>
      <c r="P153" s="2350"/>
      <c r="Q153" s="393">
        <v>2.67</v>
      </c>
      <c r="R153" s="304">
        <v>0.95</v>
      </c>
      <c r="S153" s="304">
        <v>7.37</v>
      </c>
      <c r="T153" s="319">
        <v>6.01</v>
      </c>
      <c r="U153" s="319">
        <v>5.3</v>
      </c>
      <c r="V153" s="319">
        <v>3.17</v>
      </c>
      <c r="W153" s="319">
        <v>2.92</v>
      </c>
      <c r="X153" s="3088">
        <v>4.03</v>
      </c>
      <c r="Y153" s="61">
        <v>3.17</v>
      </c>
      <c r="Z153" s="61"/>
      <c r="AA153" s="767"/>
      <c r="AD153" s="61"/>
      <c r="AE153" s="78"/>
      <c r="AF153" s="87"/>
      <c r="AG153" s="87"/>
      <c r="AH153" s="87"/>
      <c r="AI153" s="87"/>
      <c r="AJ153" s="77"/>
      <c r="AK153" s="34"/>
      <c r="AL153" s="34"/>
      <c r="AM153" s="14"/>
      <c r="AN153" s="61"/>
      <c r="AO153" s="34"/>
      <c r="AP153" s="34"/>
      <c r="AQ153" s="34"/>
      <c r="AR153" s="34"/>
      <c r="AS153" s="14"/>
      <c r="AT153" s="34"/>
      <c r="AU153" s="78"/>
      <c r="AV153" s="87"/>
      <c r="AW153" s="87"/>
      <c r="AX153" s="87"/>
      <c r="AY153" s="87"/>
      <c r="AZ153" s="77"/>
      <c r="BA153" s="14"/>
      <c r="BB153" s="61"/>
      <c r="BC153" s="26"/>
      <c r="BD153" s="26"/>
      <c r="BE153" s="26"/>
      <c r="BF153" s="26"/>
      <c r="BG153" s="23"/>
      <c r="BH153" s="23"/>
      <c r="BI153" s="23"/>
      <c r="BJ153" s="14"/>
      <c r="BK153" s="78"/>
      <c r="BL153" s="87"/>
      <c r="BM153" s="87"/>
      <c r="BN153" s="87"/>
      <c r="BO153" s="77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78"/>
      <c r="CA153" s="87"/>
      <c r="CB153" s="87"/>
      <c r="CC153" s="87"/>
      <c r="CD153" s="77"/>
      <c r="CE153" s="61"/>
      <c r="CF153" s="61"/>
      <c r="CG153" s="61"/>
      <c r="CH153" s="61"/>
      <c r="CI153" s="61"/>
    </row>
    <row r="154" spans="1:108">
      <c r="A154" s="772"/>
      <c r="B154" s="772"/>
      <c r="C154" s="774"/>
      <c r="D154" s="101" t="s">
        <v>112</v>
      </c>
      <c r="E154" s="484">
        <v>3.08</v>
      </c>
      <c r="F154" s="484">
        <v>3.6549999999999998</v>
      </c>
      <c r="G154" s="484">
        <v>2.2400000000000002</v>
      </c>
      <c r="H154" s="489">
        <v>5.3233333333333333</v>
      </c>
      <c r="I154" s="483">
        <v>3.0066666666666664</v>
      </c>
      <c r="J154" s="484">
        <v>4.0999999999999996</v>
      </c>
      <c r="K154" s="459">
        <v>4.7666666666666666</v>
      </c>
      <c r="L154" s="733">
        <v>4.6000000000000005</v>
      </c>
      <c r="M154" s="734">
        <v>5.0666666666666664</v>
      </c>
      <c r="N154" s="394">
        <v>5.15</v>
      </c>
      <c r="O154" s="1788">
        <v>3.68</v>
      </c>
      <c r="P154" s="2350"/>
      <c r="Q154" s="393">
        <v>1.73</v>
      </c>
      <c r="R154" s="304"/>
      <c r="S154" s="304">
        <v>4.83</v>
      </c>
      <c r="T154" s="319">
        <v>2.37</v>
      </c>
      <c r="U154" s="319">
        <v>2.41</v>
      </c>
      <c r="V154" s="319">
        <v>2.12</v>
      </c>
      <c r="W154" s="319">
        <v>2.7</v>
      </c>
      <c r="X154" s="3088">
        <v>3.47</v>
      </c>
      <c r="Y154" s="61">
        <v>2.83</v>
      </c>
      <c r="Z154" s="61"/>
      <c r="AA154" s="767"/>
      <c r="AD154" s="61"/>
      <c r="AE154" s="78"/>
      <c r="AF154" s="93"/>
      <c r="AG154" s="93"/>
      <c r="AH154" s="93"/>
      <c r="AI154" s="93"/>
      <c r="AJ154" s="77"/>
      <c r="AK154" s="61"/>
      <c r="AL154" s="61"/>
      <c r="AM154" s="61"/>
      <c r="AN154" s="61"/>
      <c r="AO154" s="14"/>
      <c r="AP154" s="14"/>
      <c r="AQ154" s="14"/>
      <c r="AR154" s="14"/>
      <c r="AS154" s="14"/>
      <c r="AT154" s="14"/>
      <c r="AU154" s="78"/>
      <c r="AV154" s="93"/>
      <c r="AW154" s="93"/>
      <c r="AX154" s="93"/>
      <c r="AY154" s="93"/>
      <c r="AZ154" s="77"/>
      <c r="BA154" s="14"/>
      <c r="BB154" s="14"/>
      <c r="BC154" s="26"/>
      <c r="BD154" s="26"/>
      <c r="BE154" s="26"/>
      <c r="BF154" s="26"/>
      <c r="BG154" s="14"/>
      <c r="BH154" s="14"/>
      <c r="BI154" s="14"/>
      <c r="BJ154" s="14"/>
      <c r="BK154" s="78"/>
      <c r="BL154" s="93"/>
      <c r="BM154" s="93"/>
      <c r="BN154" s="93"/>
      <c r="BO154" s="77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78"/>
      <c r="CA154" s="93"/>
      <c r="CB154" s="93"/>
      <c r="CC154" s="93"/>
      <c r="CD154" s="77"/>
      <c r="CE154" s="61"/>
      <c r="CF154" s="61"/>
      <c r="CG154" s="61"/>
      <c r="CH154" s="61"/>
      <c r="CI154" s="61"/>
    </row>
    <row r="155" spans="1:108">
      <c r="A155" s="772"/>
      <c r="B155" s="772"/>
      <c r="C155" s="774"/>
      <c r="D155" s="102" t="s">
        <v>187</v>
      </c>
      <c r="E155" s="498">
        <v>2.2999999999999998</v>
      </c>
      <c r="F155" s="484">
        <v>3.0150000000000001</v>
      </c>
      <c r="G155" s="484">
        <v>2.4849999999999999</v>
      </c>
      <c r="H155" s="489">
        <v>4.3533333333333326</v>
      </c>
      <c r="I155" s="483">
        <v>2.8800000000000003</v>
      </c>
      <c r="J155" s="484">
        <v>3.4666666666666668</v>
      </c>
      <c r="K155" s="459">
        <v>5.2666666666666666</v>
      </c>
      <c r="L155" s="733">
        <v>4.1333333333333329</v>
      </c>
      <c r="M155" s="734">
        <v>2.6333333333333333</v>
      </c>
      <c r="N155" s="394">
        <v>2.15</v>
      </c>
      <c r="O155" s="1788">
        <v>4.92</v>
      </c>
      <c r="P155" s="2350"/>
      <c r="Q155" s="393">
        <v>3.22</v>
      </c>
      <c r="R155" s="304">
        <v>0.73</v>
      </c>
      <c r="S155" s="304">
        <v>7.91</v>
      </c>
      <c r="T155" s="319">
        <v>4.08</v>
      </c>
      <c r="U155" s="319">
        <v>0.72</v>
      </c>
      <c r="V155" s="319">
        <v>1.1200000000000001</v>
      </c>
      <c r="W155" s="319">
        <v>4.57</v>
      </c>
      <c r="X155" s="3089">
        <v>4.21</v>
      </c>
      <c r="Y155" s="61">
        <v>1.54</v>
      </c>
      <c r="Z155" s="61"/>
      <c r="AA155" s="767"/>
      <c r="AD155" s="61"/>
      <c r="AE155" s="78"/>
      <c r="AF155" s="14"/>
      <c r="AG155" s="14"/>
      <c r="AH155" s="14"/>
      <c r="AI155" s="98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78"/>
      <c r="AV155" s="98"/>
      <c r="AW155" s="98"/>
      <c r="AX155" s="98"/>
      <c r="AY155" s="98"/>
      <c r="AZ155" s="61"/>
      <c r="BA155" s="61"/>
      <c r="BB155" s="61"/>
      <c r="BC155" s="26"/>
      <c r="BD155" s="26"/>
      <c r="BE155" s="26"/>
      <c r="BF155" s="26"/>
      <c r="BG155" s="26"/>
      <c r="BH155" s="26"/>
      <c r="BI155" s="26"/>
      <c r="BJ155" s="61"/>
      <c r="BK155" s="78"/>
      <c r="BL155" s="98"/>
      <c r="BM155" s="98"/>
      <c r="BN155" s="98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78"/>
      <c r="CA155" s="98"/>
      <c r="CB155" s="98"/>
      <c r="CC155" s="98"/>
      <c r="CD155" s="61"/>
      <c r="CE155" s="61"/>
      <c r="CF155" s="61"/>
      <c r="CG155" s="61"/>
      <c r="CH155" s="61"/>
      <c r="CI155" s="61"/>
    </row>
    <row r="156" spans="1:108">
      <c r="A156" s="772"/>
      <c r="B156" s="772"/>
      <c r="C156" s="774"/>
      <c r="D156" s="101" t="s">
        <v>117</v>
      </c>
      <c r="E156" s="484">
        <v>1.08</v>
      </c>
      <c r="F156" s="484">
        <v>2.34</v>
      </c>
      <c r="G156" s="484">
        <v>2.0750000000000002</v>
      </c>
      <c r="H156" s="489">
        <v>2.0833333333333335</v>
      </c>
      <c r="I156" s="483">
        <v>2.09</v>
      </c>
      <c r="J156" s="484">
        <v>3.3666666666666667</v>
      </c>
      <c r="K156" s="459">
        <v>3.4666666666666663</v>
      </c>
      <c r="L156" s="733">
        <v>3.9</v>
      </c>
      <c r="M156" s="734">
        <v>1.9000000000000001</v>
      </c>
      <c r="N156" s="394">
        <v>1.2</v>
      </c>
      <c r="O156" s="1788">
        <v>2.87</v>
      </c>
      <c r="P156" s="2350"/>
      <c r="Q156" s="393">
        <v>1.1000000000000001</v>
      </c>
      <c r="R156" s="304">
        <v>1.29</v>
      </c>
      <c r="S156" s="304">
        <v>4.88</v>
      </c>
      <c r="T156" s="319">
        <v>2.8</v>
      </c>
      <c r="U156" s="319">
        <v>3.62</v>
      </c>
      <c r="V156" s="319">
        <v>3.52</v>
      </c>
      <c r="W156" s="319">
        <v>2.0299999999999998</v>
      </c>
      <c r="X156" s="3088">
        <v>2.09</v>
      </c>
      <c r="Y156" s="61">
        <v>1.1499999999999999</v>
      </c>
      <c r="Z156" s="61"/>
      <c r="AA156" s="767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</row>
    <row r="157" spans="1:108">
      <c r="A157" s="772"/>
      <c r="B157" s="772"/>
      <c r="C157" s="774"/>
      <c r="D157" s="101" t="s">
        <v>121</v>
      </c>
      <c r="E157" s="484">
        <v>0.05</v>
      </c>
      <c r="F157" s="484">
        <v>1.32</v>
      </c>
      <c r="G157" s="484">
        <v>1.74</v>
      </c>
      <c r="H157" s="489">
        <v>0.87666666666666659</v>
      </c>
      <c r="I157" s="483">
        <v>1.0566666666666666</v>
      </c>
      <c r="J157" s="484">
        <v>1.0666666666666667</v>
      </c>
      <c r="K157" s="459">
        <v>0.23333333333333331</v>
      </c>
      <c r="L157" s="733">
        <v>0.16666666666666666</v>
      </c>
      <c r="M157" s="734">
        <v>0.56666666666666665</v>
      </c>
      <c r="N157" s="394">
        <v>0</v>
      </c>
      <c r="O157" s="1788">
        <v>0.75</v>
      </c>
      <c r="P157" s="2350"/>
      <c r="Q157" s="393">
        <v>0.92</v>
      </c>
      <c r="R157" s="304">
        <v>0.97</v>
      </c>
      <c r="S157" s="304">
        <v>1.83</v>
      </c>
      <c r="T157" s="319">
        <v>0.97</v>
      </c>
      <c r="U157" s="319">
        <v>0.73</v>
      </c>
      <c r="V157" s="319">
        <v>1.52</v>
      </c>
      <c r="W157" s="319">
        <v>0.62</v>
      </c>
      <c r="X157" s="3088">
        <v>1.05</v>
      </c>
      <c r="Y157" s="61">
        <v>0.75</v>
      </c>
      <c r="Z157" s="61"/>
      <c r="AA157" s="767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</row>
    <row r="158" spans="1:108" ht="15.75" thickBot="1">
      <c r="A158" s="123"/>
      <c r="B158" s="123"/>
      <c r="C158" s="122"/>
      <c r="D158" s="104" t="s">
        <v>119</v>
      </c>
      <c r="E158" s="502">
        <v>1.83</v>
      </c>
      <c r="F158" s="490">
        <v>2.37</v>
      </c>
      <c r="G158" s="490">
        <v>1.7</v>
      </c>
      <c r="H158" s="491">
        <v>3.41</v>
      </c>
      <c r="I158" s="492">
        <v>1.0599999999999998</v>
      </c>
      <c r="J158" s="490">
        <v>2.1</v>
      </c>
      <c r="K158" s="461">
        <v>3.6333333333333333</v>
      </c>
      <c r="L158" s="736">
        <v>1.9666666666666668</v>
      </c>
      <c r="M158" s="737">
        <v>0.6333333333333333</v>
      </c>
      <c r="N158" s="973">
        <v>0.03</v>
      </c>
      <c r="O158" s="2031">
        <v>2</v>
      </c>
      <c r="P158" s="2354"/>
      <c r="Q158" s="2357">
        <v>0.45</v>
      </c>
      <c r="R158" s="321">
        <v>0.63</v>
      </c>
      <c r="S158" s="321">
        <v>3.4</v>
      </c>
      <c r="T158" s="322">
        <v>0.91</v>
      </c>
      <c r="U158" s="322">
        <v>1.02</v>
      </c>
      <c r="V158" s="322">
        <v>0.57999999999999996</v>
      </c>
      <c r="W158" s="322">
        <v>1.52</v>
      </c>
      <c r="X158" s="3089">
        <v>1.08</v>
      </c>
      <c r="Y158" s="61">
        <v>0.92</v>
      </c>
      <c r="Z158" s="61"/>
      <c r="AA158" s="767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</row>
    <row r="159" spans="1:108" s="4" customFormat="1">
      <c r="A159" s="114"/>
      <c r="B159" s="114"/>
      <c r="C159" s="114"/>
      <c r="D159" s="775" t="s">
        <v>285</v>
      </c>
      <c r="E159" s="1025">
        <f>COUNTIF(E145:E158,"&gt;=5")</f>
        <v>3</v>
      </c>
      <c r="F159" s="1025">
        <f t="shared" ref="F159:S159" si="33">COUNTIF(F145:F158,"&gt;=5")</f>
        <v>1</v>
      </c>
      <c r="G159" s="1025">
        <f t="shared" si="33"/>
        <v>0</v>
      </c>
      <c r="H159" s="1025">
        <f t="shared" si="33"/>
        <v>1</v>
      </c>
      <c r="I159" s="1025">
        <f t="shared" si="33"/>
        <v>1</v>
      </c>
      <c r="J159" s="1025">
        <f t="shared" si="33"/>
        <v>0</v>
      </c>
      <c r="K159" s="1025">
        <f t="shared" si="33"/>
        <v>3</v>
      </c>
      <c r="L159" s="1025">
        <f t="shared" si="33"/>
        <v>3</v>
      </c>
      <c r="M159" s="1025">
        <f t="shared" si="33"/>
        <v>1</v>
      </c>
      <c r="N159" s="1025">
        <f t="shared" si="33"/>
        <v>1</v>
      </c>
      <c r="O159" s="1025">
        <f>COUNTIF(O145:O158,"&gt;=5")</f>
        <v>1</v>
      </c>
      <c r="P159" s="1025">
        <f t="shared" si="33"/>
        <v>0</v>
      </c>
      <c r="Q159" s="1025">
        <f t="shared" si="33"/>
        <v>1</v>
      </c>
      <c r="R159" s="1025">
        <f t="shared" si="33"/>
        <v>0</v>
      </c>
      <c r="S159" s="1025">
        <f t="shared" si="33"/>
        <v>5</v>
      </c>
      <c r="T159" s="1025">
        <f>COUNTIF(T145:T158,"&gt;=5")</f>
        <v>4</v>
      </c>
      <c r="U159" s="1025">
        <f t="shared" ref="U159:AB159" si="34">COUNTIF(U145:U158,"&gt;=5")</f>
        <v>3</v>
      </c>
      <c r="V159" s="1025">
        <f t="shared" si="34"/>
        <v>1</v>
      </c>
      <c r="W159" s="1025">
        <f t="shared" si="34"/>
        <v>2</v>
      </c>
      <c r="X159" s="1025">
        <f t="shared" si="34"/>
        <v>1</v>
      </c>
      <c r="Y159" s="1025">
        <f t="shared" si="34"/>
        <v>2</v>
      </c>
      <c r="Z159" s="1025">
        <f t="shared" si="34"/>
        <v>0</v>
      </c>
      <c r="AA159" s="1025">
        <f t="shared" si="34"/>
        <v>0</v>
      </c>
      <c r="AB159" s="1025">
        <f t="shared" si="34"/>
        <v>0</v>
      </c>
      <c r="BE159" s="83"/>
      <c r="BF159" s="83"/>
      <c r="BG159" s="83"/>
      <c r="BH159" s="83"/>
      <c r="BI159" s="83"/>
      <c r="BJ159" s="83"/>
      <c r="BK159" s="83"/>
      <c r="BL159" s="83"/>
      <c r="BM159" s="83"/>
      <c r="BN159" s="83"/>
      <c r="BO159" s="83"/>
      <c r="BP159" s="83"/>
      <c r="BQ159" s="83"/>
      <c r="BR159" s="83"/>
      <c r="BS159" s="83"/>
      <c r="BT159" s="83"/>
      <c r="BU159" s="83"/>
      <c r="BV159" s="83"/>
      <c r="BW159" s="83"/>
      <c r="BX159" s="83"/>
      <c r="BY159" s="83"/>
      <c r="CH159" s="83"/>
      <c r="CI159" s="83"/>
      <c r="CJ159" s="83"/>
      <c r="CK159" s="83"/>
      <c r="CL159" s="83"/>
      <c r="CM159" s="83"/>
      <c r="CN159" s="83"/>
      <c r="CO159" s="83"/>
      <c r="CP159" s="83"/>
      <c r="CQ159" s="83"/>
      <c r="CR159" s="83"/>
      <c r="CS159" s="83"/>
      <c r="CT159" s="83"/>
      <c r="CU159" s="83"/>
      <c r="CV159" s="83"/>
      <c r="CW159" s="83"/>
      <c r="CX159" s="83"/>
      <c r="CY159" s="83"/>
      <c r="CZ159" s="83"/>
      <c r="DA159" s="83"/>
      <c r="DB159" s="83"/>
      <c r="DC159" s="83"/>
      <c r="DD159" s="83"/>
    </row>
    <row r="160" spans="1:108" s="4" customFormat="1">
      <c r="A160" s="114"/>
      <c r="B160" s="114"/>
      <c r="C160" s="114"/>
      <c r="D160" s="775" t="s">
        <v>287</v>
      </c>
      <c r="E160" s="1027">
        <f>COUNT(E145:E158)</f>
        <v>14</v>
      </c>
      <c r="F160" s="1027">
        <f t="shared" ref="F160:T160" si="35">COUNT(F145:F158)</f>
        <v>14</v>
      </c>
      <c r="G160" s="1027">
        <f t="shared" si="35"/>
        <v>14</v>
      </c>
      <c r="H160" s="1027">
        <f t="shared" si="35"/>
        <v>14</v>
      </c>
      <c r="I160" s="1027">
        <f t="shared" si="35"/>
        <v>14</v>
      </c>
      <c r="J160" s="1027">
        <f t="shared" si="35"/>
        <v>14</v>
      </c>
      <c r="K160" s="1027">
        <f t="shared" si="35"/>
        <v>14</v>
      </c>
      <c r="L160" s="1027">
        <f t="shared" si="35"/>
        <v>14</v>
      </c>
      <c r="M160" s="1027">
        <f t="shared" si="35"/>
        <v>14</v>
      </c>
      <c r="N160" s="1027">
        <f t="shared" si="35"/>
        <v>14</v>
      </c>
      <c r="O160" s="1027">
        <f>COUNT(O145:O158)</f>
        <v>14</v>
      </c>
      <c r="P160" s="1027">
        <f t="shared" si="35"/>
        <v>0</v>
      </c>
      <c r="Q160" s="1027">
        <f t="shared" si="35"/>
        <v>14</v>
      </c>
      <c r="R160" s="1027">
        <f t="shared" si="35"/>
        <v>13</v>
      </c>
      <c r="S160" s="1027">
        <f t="shared" si="35"/>
        <v>14</v>
      </c>
      <c r="T160" s="1027">
        <f t="shared" si="35"/>
        <v>14</v>
      </c>
      <c r="U160" s="1027">
        <f t="shared" ref="U160:AB160" si="36">COUNT(U145:U158)</f>
        <v>14</v>
      </c>
      <c r="V160" s="1027">
        <f t="shared" si="36"/>
        <v>14</v>
      </c>
      <c r="W160" s="1027">
        <f t="shared" si="36"/>
        <v>14</v>
      </c>
      <c r="X160" s="1027">
        <f t="shared" si="36"/>
        <v>14</v>
      </c>
      <c r="Y160" s="1027">
        <f t="shared" si="36"/>
        <v>14</v>
      </c>
      <c r="Z160" s="1027">
        <f t="shared" si="36"/>
        <v>0</v>
      </c>
      <c r="AA160" s="1027">
        <f t="shared" si="36"/>
        <v>0</v>
      </c>
      <c r="AB160" s="1027">
        <f t="shared" si="36"/>
        <v>0</v>
      </c>
      <c r="BE160" s="83"/>
      <c r="BF160" s="83"/>
      <c r="BG160" s="83"/>
      <c r="BH160" s="83"/>
      <c r="BI160" s="83"/>
      <c r="BJ160" s="83"/>
      <c r="BK160" s="83"/>
      <c r="BL160" s="83"/>
      <c r="BM160" s="83"/>
      <c r="BN160" s="83"/>
      <c r="BO160" s="83"/>
      <c r="BP160" s="83"/>
      <c r="BQ160" s="83"/>
      <c r="BR160" s="83"/>
      <c r="BS160" s="83"/>
      <c r="BT160" s="83"/>
      <c r="BU160" s="83"/>
      <c r="BV160" s="83"/>
      <c r="BW160" s="83"/>
      <c r="BX160" s="83"/>
      <c r="BY160" s="83"/>
      <c r="CH160" s="83"/>
      <c r="CI160" s="83"/>
      <c r="CJ160" s="83"/>
      <c r="CK160" s="83"/>
      <c r="CL160" s="83"/>
      <c r="CM160" s="83"/>
      <c r="CN160" s="83"/>
      <c r="CO160" s="83"/>
      <c r="CP160" s="83"/>
      <c r="CQ160" s="83"/>
      <c r="CR160" s="83"/>
      <c r="CS160" s="83"/>
      <c r="CT160" s="83"/>
      <c r="CU160" s="83"/>
      <c r="CV160" s="83"/>
      <c r="CW160" s="83"/>
      <c r="CX160" s="83"/>
      <c r="CY160" s="83"/>
      <c r="CZ160" s="83"/>
      <c r="DA160" s="83"/>
      <c r="DB160" s="83"/>
      <c r="DC160" s="83"/>
      <c r="DD160" s="83"/>
    </row>
    <row r="161" spans="1:141" s="4" customFormat="1">
      <c r="A161" s="114"/>
      <c r="B161" s="114"/>
      <c r="C161" s="114"/>
      <c r="D161" s="775" t="s">
        <v>286</v>
      </c>
      <c r="E161" s="1026">
        <f t="shared" ref="E161:T161" si="37">E159/E160</f>
        <v>0.21428571428571427</v>
      </c>
      <c r="F161" s="1026">
        <f t="shared" si="37"/>
        <v>7.1428571428571425E-2</v>
      </c>
      <c r="G161" s="1026">
        <f t="shared" si="37"/>
        <v>0</v>
      </c>
      <c r="H161" s="1026">
        <f t="shared" si="37"/>
        <v>7.1428571428571425E-2</v>
      </c>
      <c r="I161" s="1026">
        <f t="shared" si="37"/>
        <v>7.1428571428571425E-2</v>
      </c>
      <c r="J161" s="1026">
        <f t="shared" si="37"/>
        <v>0</v>
      </c>
      <c r="K161" s="1026">
        <f t="shared" si="37"/>
        <v>0.21428571428571427</v>
      </c>
      <c r="L161" s="1026">
        <f t="shared" si="37"/>
        <v>0.21428571428571427</v>
      </c>
      <c r="M161" s="1026">
        <f t="shared" si="37"/>
        <v>7.1428571428571425E-2</v>
      </c>
      <c r="N161" s="1026">
        <f t="shared" si="37"/>
        <v>7.1428571428571425E-2</v>
      </c>
      <c r="O161" s="1026">
        <f t="shared" si="37"/>
        <v>7.1428571428571425E-2</v>
      </c>
      <c r="P161" s="1026" t="e">
        <f t="shared" si="37"/>
        <v>#DIV/0!</v>
      </c>
      <c r="Q161" s="1026">
        <f t="shared" si="37"/>
        <v>7.1428571428571425E-2</v>
      </c>
      <c r="R161" s="1026">
        <f t="shared" si="37"/>
        <v>0</v>
      </c>
      <c r="S161" s="1026">
        <f t="shared" si="37"/>
        <v>0.35714285714285715</v>
      </c>
      <c r="T161" s="1026">
        <f t="shared" si="37"/>
        <v>0.2857142857142857</v>
      </c>
      <c r="U161" s="1026">
        <f t="shared" ref="U161:AB161" si="38">U159/U160</f>
        <v>0.21428571428571427</v>
      </c>
      <c r="V161" s="1026">
        <f t="shared" si="38"/>
        <v>7.1428571428571425E-2</v>
      </c>
      <c r="W161" s="1026">
        <f t="shared" si="38"/>
        <v>0.14285714285714285</v>
      </c>
      <c r="X161" s="1026">
        <f t="shared" si="38"/>
        <v>7.1428571428571425E-2</v>
      </c>
      <c r="Y161" s="1026">
        <f t="shared" si="38"/>
        <v>0.14285714285714285</v>
      </c>
      <c r="Z161" s="1026" t="e">
        <f t="shared" si="38"/>
        <v>#DIV/0!</v>
      </c>
      <c r="AA161" s="1026" t="e">
        <f t="shared" si="38"/>
        <v>#DIV/0!</v>
      </c>
      <c r="AB161" s="1026" t="e">
        <f t="shared" si="38"/>
        <v>#DIV/0!</v>
      </c>
      <c r="BE161" s="83"/>
      <c r="BF161" s="83"/>
      <c r="BG161" s="83"/>
      <c r="BH161" s="83"/>
      <c r="BI161" s="83"/>
      <c r="BJ161" s="83"/>
      <c r="BK161" s="83"/>
      <c r="BL161" s="83"/>
      <c r="BM161" s="83"/>
      <c r="BN161" s="83"/>
      <c r="BO161" s="83"/>
      <c r="BP161" s="83"/>
      <c r="BQ161" s="83"/>
      <c r="BR161" s="83"/>
      <c r="BS161" s="83"/>
      <c r="BT161" s="83"/>
      <c r="BU161" s="83"/>
      <c r="BV161" s="83"/>
      <c r="BW161" s="83"/>
      <c r="BX161" s="83"/>
      <c r="BY161" s="83"/>
      <c r="CH161" s="83"/>
      <c r="CI161" s="83"/>
      <c r="CJ161" s="83"/>
      <c r="CK161" s="83"/>
      <c r="CL161" s="83"/>
      <c r="CM161" s="83"/>
      <c r="CN161" s="83"/>
      <c r="CO161" s="83"/>
      <c r="CP161" s="83"/>
      <c r="CQ161" s="83"/>
      <c r="CR161" s="83"/>
      <c r="CS161" s="83"/>
      <c r="CT161" s="83"/>
      <c r="CU161" s="83"/>
      <c r="CV161" s="83"/>
      <c r="CW161" s="83"/>
      <c r="CX161" s="83"/>
      <c r="CY161" s="83"/>
      <c r="CZ161" s="83"/>
      <c r="DA161" s="83"/>
      <c r="DB161" s="83"/>
      <c r="DC161" s="83"/>
      <c r="DD161" s="83"/>
    </row>
    <row r="162" spans="1:141">
      <c r="A162" s="121"/>
      <c r="B162" s="121"/>
      <c r="C162" s="218"/>
      <c r="D162" s="1088" t="s">
        <v>296</v>
      </c>
      <c r="E162" s="1059">
        <f>COUNTA(D145:D158)</f>
        <v>14</v>
      </c>
      <c r="F162" s="110"/>
      <c r="G162" s="110"/>
      <c r="H162" s="110"/>
      <c r="I162" s="110"/>
      <c r="J162" s="111"/>
      <c r="K162" s="110"/>
      <c r="L162" s="112"/>
      <c r="M162" s="120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767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</row>
    <row r="163" spans="1:141">
      <c r="A163" s="121"/>
      <c r="B163" s="121"/>
      <c r="C163" s="218"/>
      <c r="D163" s="117"/>
      <c r="E163" s="110"/>
      <c r="F163" s="110"/>
      <c r="G163" s="3546" t="s">
        <v>228</v>
      </c>
      <c r="H163" s="3546"/>
      <c r="I163" s="3546"/>
      <c r="J163" s="3546"/>
      <c r="K163" s="107"/>
      <c r="L163" s="112"/>
      <c r="M163" s="120"/>
      <c r="N163" s="107"/>
      <c r="O163" s="3546" t="s">
        <v>228</v>
      </c>
      <c r="P163" s="3546"/>
      <c r="Q163" s="3546"/>
      <c r="R163" s="3546"/>
      <c r="S163" s="107"/>
      <c r="T163" s="107"/>
      <c r="U163" s="107"/>
      <c r="V163" s="107"/>
      <c r="W163" s="107"/>
      <c r="X163" s="107"/>
      <c r="Y163" s="107"/>
      <c r="Z163" s="107"/>
      <c r="AA163" s="767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</row>
    <row r="164" spans="1:141" ht="15.75" thickBot="1">
      <c r="A164" s="121"/>
      <c r="B164" s="121"/>
      <c r="C164" s="218"/>
      <c r="D164" s="117"/>
      <c r="E164" s="110"/>
      <c r="F164" s="110"/>
      <c r="G164" s="3546"/>
      <c r="H164" s="3546"/>
      <c r="I164" s="3546"/>
      <c r="J164" s="3546"/>
      <c r="K164" s="107"/>
      <c r="L164" s="112"/>
      <c r="M164" s="120"/>
      <c r="N164" s="107"/>
      <c r="O164" s="3546"/>
      <c r="P164" s="3546"/>
      <c r="Q164" s="3546"/>
      <c r="R164" s="3546"/>
      <c r="S164" s="107"/>
      <c r="T164" s="107"/>
      <c r="U164" s="107"/>
      <c r="V164" s="107"/>
      <c r="W164" s="107"/>
      <c r="X164" s="107"/>
      <c r="Y164" s="107"/>
      <c r="Z164" s="107"/>
      <c r="AA164" s="767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</row>
    <row r="165" spans="1:141" ht="15.75" thickBot="1">
      <c r="A165" s="121"/>
      <c r="B165" s="121"/>
      <c r="C165" s="218"/>
      <c r="D165" s="266" t="s">
        <v>168</v>
      </c>
      <c r="E165" s="268">
        <v>5</v>
      </c>
      <c r="F165" s="268">
        <v>5</v>
      </c>
      <c r="G165" s="268">
        <v>5</v>
      </c>
      <c r="H165" s="345">
        <v>5</v>
      </c>
      <c r="I165" s="346">
        <v>5</v>
      </c>
      <c r="J165" s="268">
        <v>5</v>
      </c>
      <c r="K165" s="268">
        <v>5</v>
      </c>
      <c r="L165" s="433">
        <v>5</v>
      </c>
      <c r="M165" s="346">
        <v>5</v>
      </c>
      <c r="N165" s="268">
        <v>5</v>
      </c>
      <c r="O165" s="268">
        <v>5</v>
      </c>
      <c r="P165" s="433">
        <v>5</v>
      </c>
      <c r="Q165" s="367">
        <v>5</v>
      </c>
      <c r="R165" s="268">
        <v>5</v>
      </c>
      <c r="S165" s="268">
        <v>5</v>
      </c>
      <c r="T165" s="433">
        <v>5</v>
      </c>
      <c r="U165" s="433">
        <v>5</v>
      </c>
      <c r="V165" s="433">
        <v>5</v>
      </c>
      <c r="W165" s="433">
        <v>5</v>
      </c>
      <c r="X165" s="433">
        <v>5</v>
      </c>
      <c r="Y165" s="433">
        <v>5</v>
      </c>
      <c r="Z165" s="433">
        <v>5</v>
      </c>
      <c r="AA165" s="433">
        <v>5</v>
      </c>
      <c r="AB165" s="433">
        <v>5</v>
      </c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</row>
    <row r="166" spans="1:141">
      <c r="A166" s="330"/>
      <c r="B166" s="330"/>
      <c r="C166" s="127"/>
      <c r="D166" s="263" t="s">
        <v>105</v>
      </c>
      <c r="E166" s="451">
        <v>0.05</v>
      </c>
      <c r="F166" s="451">
        <v>0.05</v>
      </c>
      <c r="G166" s="451">
        <v>0.2</v>
      </c>
      <c r="H166" s="452">
        <v>1.75</v>
      </c>
      <c r="I166" s="453">
        <v>0.1</v>
      </c>
      <c r="J166" s="451">
        <v>0.1</v>
      </c>
      <c r="K166" s="454">
        <v>1</v>
      </c>
      <c r="L166" s="455">
        <v>0.4</v>
      </c>
      <c r="M166" s="948"/>
      <c r="N166" s="410">
        <v>0.1</v>
      </c>
      <c r="O166" s="410">
        <v>7.8</v>
      </c>
      <c r="P166" s="846"/>
      <c r="Q166" s="2030">
        <v>0.1</v>
      </c>
      <c r="R166" s="304">
        <v>0.05</v>
      </c>
      <c r="S166" s="304">
        <v>0.32</v>
      </c>
      <c r="T166" s="319">
        <v>0.1</v>
      </c>
      <c r="U166" s="361">
        <v>0.1</v>
      </c>
      <c r="V166" s="319">
        <v>0.05</v>
      </c>
      <c r="W166" s="319">
        <v>0.5</v>
      </c>
      <c r="X166" s="319">
        <v>0.17</v>
      </c>
      <c r="Y166" s="2863">
        <v>0.05</v>
      </c>
      <c r="Z166" s="319">
        <v>0.05</v>
      </c>
      <c r="AA166" s="319"/>
      <c r="AB166" s="319">
        <v>1.2333333333333332</v>
      </c>
      <c r="AC166" s="72"/>
    </row>
    <row r="167" spans="1:141">
      <c r="A167" s="330"/>
      <c r="B167" s="330"/>
      <c r="C167" s="127"/>
      <c r="D167" s="106" t="s">
        <v>94</v>
      </c>
      <c r="E167" s="456">
        <v>2.5666666666666669</v>
      </c>
      <c r="F167" s="456">
        <v>1.4</v>
      </c>
      <c r="G167" s="456">
        <v>5.8</v>
      </c>
      <c r="H167" s="457">
        <v>5.9</v>
      </c>
      <c r="I167" s="458">
        <v>3</v>
      </c>
      <c r="J167" s="456">
        <v>3.7</v>
      </c>
      <c r="K167" s="459">
        <v>6.5</v>
      </c>
      <c r="L167" s="460">
        <v>5.4</v>
      </c>
      <c r="M167" s="948">
        <v>3.1</v>
      </c>
      <c r="N167" s="410">
        <v>5.2</v>
      </c>
      <c r="O167" s="410">
        <v>4.0999999999999996</v>
      </c>
      <c r="P167" s="846"/>
      <c r="Q167" s="370">
        <v>3.73</v>
      </c>
      <c r="R167" s="304">
        <v>8.57</v>
      </c>
      <c r="S167" s="304">
        <v>6.6</v>
      </c>
      <c r="T167" s="319">
        <v>6.5</v>
      </c>
      <c r="U167" s="361">
        <v>4.7300000000000004</v>
      </c>
      <c r="V167" s="319">
        <v>8.17</v>
      </c>
      <c r="W167" s="319">
        <v>5.23</v>
      </c>
      <c r="X167" s="319">
        <v>3.6</v>
      </c>
      <c r="Y167" s="2863">
        <v>5.2</v>
      </c>
      <c r="Z167" s="319">
        <v>6.02</v>
      </c>
      <c r="AA167" s="319"/>
      <c r="AB167" s="319">
        <v>4.2333333333333334</v>
      </c>
      <c r="AC167" s="72"/>
    </row>
    <row r="168" spans="1:141">
      <c r="A168" s="773"/>
      <c r="B168" s="773"/>
      <c r="C168" s="210"/>
      <c r="D168" s="106" t="s">
        <v>166</v>
      </c>
      <c r="E168" s="456"/>
      <c r="F168" s="456"/>
      <c r="G168" s="456"/>
      <c r="H168" s="457"/>
      <c r="I168" s="458">
        <v>1.7</v>
      </c>
      <c r="J168" s="456">
        <v>0.9</v>
      </c>
      <c r="K168" s="459">
        <v>4.2</v>
      </c>
      <c r="L168" s="460">
        <v>2.2999999999999998</v>
      </c>
      <c r="M168" s="948">
        <v>1.3</v>
      </c>
      <c r="N168" s="410"/>
      <c r="O168" s="410"/>
      <c r="P168" s="846"/>
      <c r="Q168" s="370"/>
      <c r="R168" s="304"/>
      <c r="S168" s="304"/>
      <c r="T168" s="319"/>
      <c r="U168" s="361"/>
      <c r="V168" s="319"/>
      <c r="W168" s="319"/>
      <c r="X168" s="319"/>
      <c r="Y168" s="61"/>
      <c r="Z168" s="319"/>
      <c r="AA168" s="319"/>
      <c r="AB168" s="319" t="e">
        <v>#DIV/0!</v>
      </c>
      <c r="AC168" s="72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</row>
    <row r="169" spans="1:141">
      <c r="A169" s="773"/>
      <c r="B169" s="773"/>
      <c r="C169" s="210"/>
      <c r="D169" s="106" t="s">
        <v>162</v>
      </c>
      <c r="E169" s="456">
        <v>7.166666666666667</v>
      </c>
      <c r="F169" s="456">
        <v>6.3</v>
      </c>
      <c r="G169" s="456">
        <v>6.9666666666666659</v>
      </c>
      <c r="H169" s="457">
        <v>6.1</v>
      </c>
      <c r="I169" s="458">
        <v>7.1</v>
      </c>
      <c r="J169" s="456">
        <v>6.7</v>
      </c>
      <c r="K169" s="459">
        <v>6.5</v>
      </c>
      <c r="L169" s="460">
        <v>6.7</v>
      </c>
      <c r="M169" s="948">
        <v>7.4</v>
      </c>
      <c r="N169" s="410">
        <v>6.4</v>
      </c>
      <c r="O169" s="410">
        <v>6.3</v>
      </c>
      <c r="P169" s="846"/>
      <c r="Q169" s="370">
        <v>7.75</v>
      </c>
      <c r="R169" s="304">
        <v>5.87</v>
      </c>
      <c r="S169" s="304">
        <v>6.1669999999999998</v>
      </c>
      <c r="T169" s="319">
        <v>6.1</v>
      </c>
      <c r="U169" s="361">
        <v>7.77</v>
      </c>
      <c r="V169" s="319">
        <v>6.63</v>
      </c>
      <c r="W169" s="319">
        <v>6.83</v>
      </c>
      <c r="X169" s="319">
        <v>5.87</v>
      </c>
      <c r="Y169" s="2863">
        <v>5.87</v>
      </c>
      <c r="Z169" s="319">
        <v>5.87</v>
      </c>
      <c r="AA169" s="319"/>
      <c r="AB169" s="319">
        <v>6.4666666666666677</v>
      </c>
      <c r="AC169" s="72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DF169" s="61"/>
      <c r="DG169" s="61"/>
      <c r="DH169" s="61"/>
      <c r="DI169" s="61"/>
      <c r="DJ169" s="61"/>
      <c r="DK169" s="61"/>
      <c r="DL169" s="61"/>
      <c r="DM169" s="61"/>
      <c r="DN169" s="61"/>
      <c r="DO169" s="61"/>
      <c r="DP169" s="61"/>
      <c r="DQ169" s="61"/>
      <c r="DR169" s="61"/>
      <c r="DS169" s="61"/>
      <c r="DT169" s="61"/>
      <c r="DU169" s="61"/>
      <c r="DV169" s="61"/>
      <c r="DW169" s="61"/>
      <c r="DX169" s="61"/>
      <c r="DY169" s="61"/>
      <c r="DZ169" s="61"/>
      <c r="EA169" s="61"/>
      <c r="EB169" s="61"/>
      <c r="EC169" s="61"/>
      <c r="ED169" s="61"/>
      <c r="EE169" s="61"/>
      <c r="EF169" s="61"/>
      <c r="EG169" s="61"/>
      <c r="EH169" s="61"/>
      <c r="EI169" s="61"/>
      <c r="EJ169" s="61"/>
      <c r="EK169" s="61"/>
    </row>
    <row r="170" spans="1:141" ht="16.5" customHeight="1">
      <c r="A170" s="773"/>
      <c r="B170" s="773"/>
      <c r="C170" s="210"/>
      <c r="D170" s="106" t="s">
        <v>101</v>
      </c>
      <c r="E170" s="456">
        <v>0.05</v>
      </c>
      <c r="F170" s="456">
        <v>0.26666666666666666</v>
      </c>
      <c r="G170" s="456">
        <v>1</v>
      </c>
      <c r="H170" s="457">
        <v>1</v>
      </c>
      <c r="I170" s="458">
        <v>0.4</v>
      </c>
      <c r="J170" s="456">
        <v>0.3</v>
      </c>
      <c r="K170" s="459">
        <v>2.8</v>
      </c>
      <c r="L170" s="460">
        <v>0.1</v>
      </c>
      <c r="M170" s="948">
        <v>0.1</v>
      </c>
      <c r="N170" s="410">
        <v>1</v>
      </c>
      <c r="O170" s="410">
        <v>0.1</v>
      </c>
      <c r="P170" s="846"/>
      <c r="Q170" s="370">
        <v>0.23</v>
      </c>
      <c r="R170" s="304">
        <v>0.27</v>
      </c>
      <c r="S170" s="304">
        <v>2.5</v>
      </c>
      <c r="T170" s="319">
        <v>2.8</v>
      </c>
      <c r="U170" s="361">
        <v>0.53</v>
      </c>
      <c r="V170" s="319">
        <v>1.63</v>
      </c>
      <c r="W170" s="319">
        <v>2.6</v>
      </c>
      <c r="X170" s="319">
        <v>0.53300000000000003</v>
      </c>
      <c r="Y170" s="2863">
        <v>0.05</v>
      </c>
      <c r="Z170" s="319">
        <v>0.38</v>
      </c>
      <c r="AA170" s="319"/>
      <c r="AB170" s="319">
        <v>0.85</v>
      </c>
      <c r="AC170" s="72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DF170" s="61"/>
      <c r="DG170" s="61"/>
      <c r="DH170" s="61"/>
      <c r="DI170" s="61"/>
      <c r="DJ170" s="61"/>
      <c r="DK170" s="61"/>
      <c r="DL170" s="61"/>
      <c r="DM170" s="61"/>
      <c r="DN170" s="61"/>
      <c r="DO170" s="61"/>
      <c r="DP170" s="61"/>
      <c r="DQ170" s="61"/>
      <c r="DR170" s="61"/>
      <c r="DS170" s="61"/>
      <c r="DT170" s="61"/>
      <c r="DU170" s="61"/>
      <c r="DV170" s="61"/>
      <c r="DW170" s="61"/>
      <c r="DX170" s="61"/>
      <c r="DY170" s="61"/>
      <c r="DZ170" s="61"/>
      <c r="EA170" s="61"/>
      <c r="EB170" s="61"/>
      <c r="EC170" s="61"/>
      <c r="ED170" s="61"/>
      <c r="EE170" s="61"/>
      <c r="EF170" s="61"/>
      <c r="EG170" s="61"/>
      <c r="EH170" s="61"/>
      <c r="EI170" s="61"/>
      <c r="EJ170" s="61"/>
      <c r="EK170" s="61"/>
    </row>
    <row r="171" spans="1:141">
      <c r="A171" s="773"/>
      <c r="B171" s="773"/>
      <c r="C171" s="210"/>
      <c r="D171" s="106" t="s">
        <v>158</v>
      </c>
      <c r="E171" s="456">
        <v>0.05</v>
      </c>
      <c r="F171" s="456">
        <v>0.05</v>
      </c>
      <c r="G171" s="456">
        <v>0.05</v>
      </c>
      <c r="H171" s="457">
        <v>0.2</v>
      </c>
      <c r="I171" s="458">
        <v>0.1</v>
      </c>
      <c r="J171" s="456">
        <v>0.1</v>
      </c>
      <c r="K171" s="459">
        <v>0.6</v>
      </c>
      <c r="L171" s="460">
        <v>0.1</v>
      </c>
      <c r="M171" s="948">
        <v>0.1</v>
      </c>
      <c r="N171" s="410">
        <v>0.1</v>
      </c>
      <c r="O171" s="410">
        <v>0.9</v>
      </c>
      <c r="P171" s="846"/>
      <c r="Q171" s="2030">
        <v>0.1</v>
      </c>
      <c r="R171" s="304">
        <v>0.05</v>
      </c>
      <c r="S171" s="304">
        <v>2.7829999999999999</v>
      </c>
      <c r="T171" s="319">
        <v>0.3</v>
      </c>
      <c r="U171" s="361">
        <v>0.1</v>
      </c>
      <c r="V171" s="319">
        <v>0.05</v>
      </c>
      <c r="W171" s="319">
        <v>0.48</v>
      </c>
      <c r="X171" s="319">
        <v>0.05</v>
      </c>
      <c r="Y171" s="2863">
        <v>0.05</v>
      </c>
      <c r="Z171" s="319">
        <v>0.05</v>
      </c>
      <c r="AA171" s="319"/>
      <c r="AB171" s="319">
        <v>1.0333333333333332</v>
      </c>
      <c r="AC171" s="72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DF171" s="61"/>
      <c r="DG171" s="61"/>
      <c r="DH171" s="61"/>
      <c r="DI171" s="61"/>
      <c r="DJ171" s="61"/>
      <c r="DK171" s="61"/>
      <c r="DL171" s="61"/>
      <c r="DM171" s="61"/>
      <c r="DN171" s="61"/>
      <c r="DO171" s="61"/>
      <c r="DP171" s="61"/>
      <c r="DQ171" s="61"/>
      <c r="DR171" s="61"/>
      <c r="DS171" s="61"/>
      <c r="DT171" s="61"/>
      <c r="DU171" s="61"/>
      <c r="DV171" s="61"/>
      <c r="DW171" s="61"/>
      <c r="DX171" s="61"/>
      <c r="DY171" s="61"/>
      <c r="DZ171" s="61"/>
      <c r="EA171" s="61"/>
      <c r="EB171" s="61"/>
      <c r="EC171" s="61"/>
      <c r="ED171" s="61"/>
      <c r="EE171" s="61"/>
      <c r="EF171" s="61"/>
      <c r="EG171" s="61"/>
      <c r="EH171" s="61"/>
      <c r="EI171" s="61"/>
      <c r="EJ171" s="61"/>
      <c r="EK171" s="61"/>
    </row>
    <row r="172" spans="1:141" ht="16.5" customHeight="1">
      <c r="A172" s="773"/>
      <c r="B172" s="773"/>
      <c r="C172" s="210"/>
      <c r="D172" s="106" t="s">
        <v>97</v>
      </c>
      <c r="E172" s="456">
        <v>0.16666666666666666</v>
      </c>
      <c r="F172" s="456">
        <v>0.16666666666666666</v>
      </c>
      <c r="G172" s="456">
        <v>1.3666666666666665</v>
      </c>
      <c r="H172" s="457">
        <v>1.2333333333333334</v>
      </c>
      <c r="I172" s="458">
        <v>0.7</v>
      </c>
      <c r="J172" s="456">
        <v>1.1000000000000001</v>
      </c>
      <c r="K172" s="459">
        <v>1.7</v>
      </c>
      <c r="L172" s="460">
        <v>0.1</v>
      </c>
      <c r="M172" s="948">
        <v>0.1</v>
      </c>
      <c r="N172" s="410">
        <v>0.2</v>
      </c>
      <c r="O172" s="410">
        <v>1.5</v>
      </c>
      <c r="P172" s="846"/>
      <c r="Q172" s="2030">
        <v>0.6</v>
      </c>
      <c r="R172" s="304">
        <v>0.53</v>
      </c>
      <c r="S172" s="304">
        <v>1.117</v>
      </c>
      <c r="T172" s="319">
        <v>2.6</v>
      </c>
      <c r="U172" s="361">
        <v>0.6</v>
      </c>
      <c r="V172" s="319">
        <v>0.6</v>
      </c>
      <c r="W172" s="319">
        <v>1.75</v>
      </c>
      <c r="X172" s="319">
        <v>7.4999999999999997E-2</v>
      </c>
      <c r="Y172" s="2863">
        <v>0.05</v>
      </c>
      <c r="Z172" s="319">
        <v>1.53</v>
      </c>
      <c r="AA172" s="319"/>
      <c r="AB172" s="319" t="e">
        <v>#DIV/0!</v>
      </c>
      <c r="AC172" s="72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  <c r="CT172" s="61"/>
      <c r="CU172" s="61"/>
      <c r="CV172" s="61"/>
      <c r="CW172" s="61"/>
      <c r="CX172" s="61"/>
      <c r="DF172" s="61"/>
      <c r="DG172" s="61"/>
      <c r="DH172" s="61"/>
      <c r="DI172" s="61"/>
      <c r="DJ172" s="61"/>
      <c r="DK172" s="61"/>
      <c r="DL172" s="61"/>
      <c r="DM172" s="61"/>
      <c r="DN172" s="61"/>
      <c r="DO172" s="61"/>
      <c r="DP172" s="61"/>
      <c r="DQ172" s="61"/>
      <c r="DR172" s="61"/>
      <c r="DS172" s="61"/>
      <c r="DT172" s="61"/>
      <c r="DU172" s="61"/>
      <c r="DV172" s="61"/>
      <c r="DW172" s="61"/>
      <c r="DX172" s="61"/>
      <c r="DY172" s="61"/>
      <c r="DZ172" s="61"/>
      <c r="EA172" s="61"/>
      <c r="EB172" s="61"/>
      <c r="EC172" s="61"/>
      <c r="ED172" s="61"/>
      <c r="EE172" s="61"/>
      <c r="EF172" s="61"/>
      <c r="EG172" s="61"/>
      <c r="EH172" s="61"/>
      <c r="EI172" s="61"/>
      <c r="EJ172" s="61"/>
      <c r="EK172" s="61"/>
    </row>
    <row r="173" spans="1:141">
      <c r="A173" s="773"/>
      <c r="B173" s="773"/>
      <c r="C173" s="210"/>
      <c r="D173" s="106" t="s">
        <v>167</v>
      </c>
      <c r="E173" s="456">
        <v>0.05</v>
      </c>
      <c r="F173" s="456">
        <v>1</v>
      </c>
      <c r="G173" s="456">
        <v>0.83333333333333337</v>
      </c>
      <c r="H173" s="457">
        <v>1.2666666666666666</v>
      </c>
      <c r="I173" s="458">
        <v>0.7</v>
      </c>
      <c r="J173" s="456">
        <v>0.9</v>
      </c>
      <c r="K173" s="459">
        <v>2.2999999999999998</v>
      </c>
      <c r="L173" s="460">
        <v>3.2</v>
      </c>
      <c r="M173" s="948">
        <v>0.3</v>
      </c>
      <c r="N173" s="410">
        <v>0.4</v>
      </c>
      <c r="O173" s="410">
        <v>2.1</v>
      </c>
      <c r="P173" s="846"/>
      <c r="Q173" s="370">
        <v>0.43</v>
      </c>
      <c r="R173" s="304">
        <v>0.05</v>
      </c>
      <c r="S173" s="304">
        <v>2.2330000000000001</v>
      </c>
      <c r="T173" s="319">
        <v>3.1</v>
      </c>
      <c r="U173" s="361">
        <v>0.6</v>
      </c>
      <c r="V173" s="319">
        <v>0.53</v>
      </c>
      <c r="W173" s="319">
        <v>1.73</v>
      </c>
      <c r="X173" s="319">
        <v>0.52</v>
      </c>
      <c r="Y173" s="2863">
        <v>0.97</v>
      </c>
      <c r="Z173" s="319">
        <v>0.05</v>
      </c>
      <c r="AA173" s="319"/>
      <c r="AB173" s="319">
        <v>0.39999999999999997</v>
      </c>
      <c r="AC173" s="72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1"/>
      <c r="CW173" s="61"/>
      <c r="CX173" s="61"/>
      <c r="DF173" s="61"/>
      <c r="DG173" s="61"/>
      <c r="DH173" s="61"/>
      <c r="DI173" s="61"/>
      <c r="DJ173" s="61"/>
      <c r="DK173" s="61"/>
      <c r="DL173" s="61"/>
      <c r="DM173" s="61"/>
      <c r="DN173" s="61"/>
      <c r="DO173" s="61"/>
      <c r="DP173" s="61"/>
      <c r="DQ173" s="61"/>
      <c r="DR173" s="61"/>
      <c r="DS173" s="61"/>
      <c r="DT173" s="61"/>
      <c r="DU173" s="61"/>
      <c r="DV173" s="61"/>
      <c r="DW173" s="61"/>
      <c r="DX173" s="61"/>
      <c r="DY173" s="61"/>
      <c r="DZ173" s="61"/>
      <c r="EA173" s="61"/>
      <c r="EB173" s="61"/>
      <c r="EC173" s="61"/>
      <c r="ED173" s="61"/>
      <c r="EE173" s="61"/>
      <c r="EF173" s="61"/>
      <c r="EG173" s="61"/>
      <c r="EH173" s="61"/>
      <c r="EI173" s="61"/>
      <c r="EJ173" s="61"/>
      <c r="EK173" s="61"/>
    </row>
    <row r="174" spans="1:141">
      <c r="A174" s="773"/>
      <c r="B174" s="773"/>
      <c r="C174" s="210"/>
      <c r="D174" s="106" t="s">
        <v>165</v>
      </c>
      <c r="E174" s="456"/>
      <c r="F174" s="456"/>
      <c r="G174" s="456"/>
      <c r="H174" s="457"/>
      <c r="I174" s="458">
        <v>6.6</v>
      </c>
      <c r="J174" s="456"/>
      <c r="K174" s="459">
        <v>6.8</v>
      </c>
      <c r="L174" s="460">
        <v>5.0999999999999996</v>
      </c>
      <c r="M174" s="948"/>
      <c r="N174" s="410"/>
      <c r="O174" s="410">
        <v>5.3</v>
      </c>
      <c r="P174" s="846"/>
      <c r="Q174" s="370"/>
      <c r="R174" s="304"/>
      <c r="S174" s="304">
        <v>6.1</v>
      </c>
      <c r="T174" s="319">
        <v>5</v>
      </c>
      <c r="U174" s="361"/>
      <c r="V174" s="319"/>
      <c r="W174" s="319"/>
      <c r="X174" s="319">
        <v>4.5</v>
      </c>
      <c r="Y174" s="61"/>
      <c r="Z174" s="319" t="s">
        <v>336</v>
      </c>
      <c r="AA174" s="319"/>
      <c r="AB174" s="319">
        <v>5.7</v>
      </c>
      <c r="AC174" s="72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/>
      <c r="CV174" s="61"/>
      <c r="CW174" s="61"/>
      <c r="CX174" s="61"/>
      <c r="DF174" s="61"/>
      <c r="DG174" s="61"/>
      <c r="DH174" s="61"/>
      <c r="DI174" s="61"/>
      <c r="DJ174" s="61"/>
      <c r="DK174" s="61"/>
      <c r="DL174" s="61"/>
      <c r="DM174" s="61"/>
      <c r="DN174" s="61"/>
      <c r="DO174" s="61"/>
      <c r="DP174" s="61"/>
      <c r="DQ174" s="61"/>
      <c r="DR174" s="61"/>
      <c r="DS174" s="61"/>
      <c r="DT174" s="61"/>
      <c r="DU174" s="61"/>
      <c r="DV174" s="61"/>
      <c r="DW174" s="61"/>
      <c r="DX174" s="61"/>
      <c r="DY174" s="61"/>
      <c r="DZ174" s="61"/>
      <c r="EA174" s="61"/>
      <c r="EB174" s="61"/>
      <c r="EC174" s="61"/>
      <c r="ED174" s="61"/>
      <c r="EE174" s="61"/>
      <c r="EF174" s="61"/>
      <c r="EG174" s="61"/>
      <c r="EH174" s="61"/>
      <c r="EI174" s="61"/>
      <c r="EJ174" s="61"/>
      <c r="EK174" s="61"/>
    </row>
    <row r="175" spans="1:141">
      <c r="A175" s="773"/>
      <c r="B175" s="773"/>
      <c r="C175" s="210"/>
      <c r="D175" s="106" t="s">
        <v>87</v>
      </c>
      <c r="E175" s="456">
        <v>5.0999999999999996</v>
      </c>
      <c r="F175" s="456">
        <v>2</v>
      </c>
      <c r="G175" s="456">
        <v>5.3</v>
      </c>
      <c r="H175" s="457">
        <v>5.0333333333333341</v>
      </c>
      <c r="I175" s="458">
        <v>2.6</v>
      </c>
      <c r="J175" s="456">
        <v>2.6</v>
      </c>
      <c r="K175" s="459">
        <v>2.7</v>
      </c>
      <c r="L175" s="460">
        <v>5</v>
      </c>
      <c r="M175" s="948">
        <v>2</v>
      </c>
      <c r="N175" s="410">
        <v>3.1</v>
      </c>
      <c r="O175" s="410">
        <v>5.2</v>
      </c>
      <c r="P175" s="846"/>
      <c r="Q175" s="2030">
        <v>2.6</v>
      </c>
      <c r="R175" s="304">
        <v>1.87</v>
      </c>
      <c r="S175" s="304">
        <v>5.83</v>
      </c>
      <c r="T175" s="319">
        <v>3.7</v>
      </c>
      <c r="U175" s="361">
        <v>4.5</v>
      </c>
      <c r="V175" s="319">
        <v>3.07</v>
      </c>
      <c r="W175" s="319">
        <v>2.97</v>
      </c>
      <c r="X175" s="319">
        <v>1.93</v>
      </c>
      <c r="Y175" s="2863">
        <v>2.9</v>
      </c>
      <c r="Z175" s="319">
        <v>2.77</v>
      </c>
      <c r="AA175" s="319"/>
      <c r="AB175" s="319">
        <v>3.6666666666666665</v>
      </c>
      <c r="AC175" s="72"/>
      <c r="AD175" s="61"/>
      <c r="AE175" s="61"/>
      <c r="AF175" s="61"/>
      <c r="AG175" s="61"/>
      <c r="AH175" s="61"/>
      <c r="AI175" s="67"/>
      <c r="AJ175" s="67"/>
      <c r="AK175" s="67"/>
      <c r="AL175" s="67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7"/>
      <c r="AZ175" s="67"/>
      <c r="BA175" s="67"/>
      <c r="BB175" s="67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7"/>
      <c r="BP175" s="67"/>
      <c r="BQ175" s="67"/>
      <c r="BR175" s="67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7"/>
      <c r="CF175" s="67"/>
      <c r="CG175" s="67"/>
      <c r="CH175" s="67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  <c r="CT175" s="61"/>
      <c r="CU175" s="67"/>
      <c r="CV175" s="67"/>
      <c r="CW175" s="67"/>
      <c r="CX175" s="67"/>
      <c r="DF175" s="61"/>
      <c r="DG175" s="61"/>
      <c r="DH175" s="61"/>
      <c r="DI175" s="61"/>
      <c r="DJ175" s="61"/>
      <c r="DK175" s="67"/>
      <c r="DL175" s="67"/>
      <c r="DM175" s="67"/>
      <c r="DN175" s="67"/>
      <c r="DO175" s="61"/>
      <c r="DP175" s="61"/>
      <c r="DQ175" s="61"/>
      <c r="DR175" s="61"/>
      <c r="DS175" s="61"/>
      <c r="DT175" s="61"/>
      <c r="DU175" s="61"/>
      <c r="DV175" s="61"/>
      <c r="DW175" s="61"/>
      <c r="DX175" s="61"/>
      <c r="DY175" s="61"/>
      <c r="DZ175" s="67"/>
      <c r="EA175" s="67"/>
      <c r="EB175" s="67"/>
      <c r="EC175" s="67"/>
      <c r="ED175" s="61"/>
      <c r="EE175" s="61"/>
      <c r="EF175" s="61"/>
      <c r="EG175" s="61"/>
      <c r="EH175" s="61"/>
      <c r="EI175" s="61"/>
      <c r="EJ175" s="61"/>
      <c r="EK175" s="61"/>
    </row>
    <row r="176" spans="1:141">
      <c r="A176" s="773"/>
      <c r="B176" s="773"/>
      <c r="C176" s="210"/>
      <c r="D176" s="1717" t="s">
        <v>435</v>
      </c>
      <c r="E176" s="1701">
        <v>0.05</v>
      </c>
      <c r="F176" s="1701">
        <v>0.05</v>
      </c>
      <c r="G176" s="1701">
        <v>0.05</v>
      </c>
      <c r="H176" s="1702">
        <v>0.66666666666666663</v>
      </c>
      <c r="I176" s="1703">
        <v>2.2000000000000002</v>
      </c>
      <c r="J176" s="1701">
        <v>0.1</v>
      </c>
      <c r="K176" s="1704">
        <v>0.8</v>
      </c>
      <c r="L176" s="1705">
        <v>2.1</v>
      </c>
      <c r="M176" s="1706"/>
      <c r="N176" s="1707"/>
      <c r="O176" s="1707"/>
      <c r="P176" s="846"/>
      <c r="Q176" s="2030">
        <v>2.5</v>
      </c>
      <c r="R176" s="304">
        <v>0.05</v>
      </c>
      <c r="S176" s="304">
        <v>1.77</v>
      </c>
      <c r="T176" s="319">
        <v>0.9</v>
      </c>
      <c r="U176" s="361">
        <v>0.1</v>
      </c>
      <c r="V176" s="319">
        <v>0.05</v>
      </c>
      <c r="W176" s="319">
        <v>3.06</v>
      </c>
      <c r="X176" s="319">
        <v>1.98</v>
      </c>
      <c r="Y176" s="2863">
        <v>1.88</v>
      </c>
      <c r="Z176" s="319">
        <v>0.05</v>
      </c>
      <c r="AA176" s="319"/>
      <c r="AB176" s="319">
        <v>0.35000000000000003</v>
      </c>
      <c r="AC176" s="72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  <c r="CT176" s="61"/>
      <c r="CU176" s="61"/>
      <c r="CV176" s="61"/>
      <c r="CW176" s="61"/>
      <c r="CX176" s="61"/>
      <c r="DF176" s="61"/>
      <c r="DG176" s="61"/>
      <c r="DH176" s="61"/>
      <c r="DI176" s="61"/>
      <c r="DJ176" s="61"/>
      <c r="DK176" s="61"/>
      <c r="DL176" s="61"/>
      <c r="DM176" s="61"/>
      <c r="DN176" s="61"/>
      <c r="DO176" s="61"/>
      <c r="DP176" s="61"/>
      <c r="DQ176" s="61"/>
      <c r="DR176" s="61"/>
      <c r="DS176" s="61"/>
      <c r="DT176" s="61"/>
      <c r="DU176" s="61"/>
      <c r="DV176" s="61"/>
      <c r="DW176" s="61"/>
      <c r="DX176" s="61"/>
      <c r="DY176" s="61"/>
      <c r="DZ176" s="61"/>
      <c r="EA176" s="61"/>
      <c r="EB176" s="61"/>
      <c r="EC176" s="61"/>
      <c r="ED176" s="61"/>
      <c r="EE176" s="61"/>
      <c r="EF176" s="61"/>
      <c r="EG176" s="61"/>
      <c r="EH176" s="61"/>
      <c r="EI176" s="61"/>
      <c r="EJ176" s="61"/>
      <c r="EK176" s="61"/>
    </row>
    <row r="177" spans="1:141" s="3454" customFormat="1">
      <c r="A177" s="773"/>
      <c r="B177" s="773"/>
      <c r="C177" s="210"/>
      <c r="D177" s="1717" t="s">
        <v>436</v>
      </c>
      <c r="E177" s="1701"/>
      <c r="F177" s="1701"/>
      <c r="G177" s="1701"/>
      <c r="H177" s="1702"/>
      <c r="I177" s="1703"/>
      <c r="J177" s="1701"/>
      <c r="K177" s="1704"/>
      <c r="L177" s="1705"/>
      <c r="M177" s="1706"/>
      <c r="N177" s="1707"/>
      <c r="O177" s="1707"/>
      <c r="P177" s="846"/>
      <c r="Q177" s="2030"/>
      <c r="R177" s="304"/>
      <c r="S177" s="304"/>
      <c r="T177" s="319"/>
      <c r="U177" s="361"/>
      <c r="V177" s="319"/>
      <c r="W177" s="319"/>
      <c r="X177" s="319"/>
      <c r="Y177" s="2863"/>
      <c r="Z177" s="319"/>
      <c r="AA177" s="319"/>
      <c r="AB177" s="319">
        <v>5.0666666666666664</v>
      </c>
      <c r="AC177" s="72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  <c r="CT177" s="61"/>
      <c r="CU177" s="61"/>
      <c r="CV177" s="61"/>
      <c r="CW177" s="61"/>
      <c r="CX177" s="61"/>
      <c r="DF177" s="61"/>
      <c r="DG177" s="61"/>
      <c r="DH177" s="61"/>
      <c r="DI177" s="61"/>
      <c r="DJ177" s="61"/>
      <c r="DK177" s="61"/>
      <c r="DL177" s="61"/>
      <c r="DM177" s="61"/>
      <c r="DN177" s="61"/>
      <c r="DO177" s="61"/>
      <c r="DP177" s="61"/>
      <c r="DQ177" s="61"/>
      <c r="DR177" s="61"/>
      <c r="DS177" s="61"/>
      <c r="DT177" s="61"/>
      <c r="DU177" s="61"/>
      <c r="DV177" s="61"/>
      <c r="DW177" s="61"/>
      <c r="DX177" s="61"/>
      <c r="DY177" s="61"/>
      <c r="DZ177" s="61"/>
      <c r="EA177" s="61"/>
      <c r="EB177" s="61"/>
      <c r="EC177" s="61"/>
      <c r="ED177" s="61"/>
      <c r="EE177" s="61"/>
      <c r="EF177" s="61"/>
      <c r="EG177" s="61"/>
      <c r="EH177" s="61"/>
      <c r="EI177" s="61"/>
      <c r="EJ177" s="61"/>
      <c r="EK177" s="61"/>
    </row>
    <row r="178" spans="1:141" ht="15" customHeight="1">
      <c r="A178" s="773"/>
      <c r="B178" s="773"/>
      <c r="C178" s="210"/>
      <c r="D178" s="106" t="s">
        <v>95</v>
      </c>
      <c r="E178" s="456">
        <v>0.38333333333333336</v>
      </c>
      <c r="F178" s="456">
        <v>1.1833333333333333</v>
      </c>
      <c r="G178" s="456">
        <v>4</v>
      </c>
      <c r="H178" s="457">
        <v>2</v>
      </c>
      <c r="I178" s="458">
        <v>0.7</v>
      </c>
      <c r="J178" s="456">
        <v>0.3</v>
      </c>
      <c r="K178" s="459">
        <v>3.5</v>
      </c>
      <c r="L178" s="460">
        <v>3</v>
      </c>
      <c r="M178" s="948">
        <v>0.4</v>
      </c>
      <c r="N178" s="410">
        <v>0.4</v>
      </c>
      <c r="O178" s="410">
        <v>1.2</v>
      </c>
      <c r="P178" s="846"/>
      <c r="Q178" s="2030">
        <v>0.1</v>
      </c>
      <c r="R178" s="304">
        <v>0.05</v>
      </c>
      <c r="S178" s="304">
        <v>3.67</v>
      </c>
      <c r="T178" s="319">
        <v>3.4</v>
      </c>
      <c r="U178" s="361">
        <v>1.03</v>
      </c>
      <c r="V178" s="319">
        <v>0.47</v>
      </c>
      <c r="W178" s="319">
        <v>3.2</v>
      </c>
      <c r="X178" s="319">
        <v>1.7330000000000001</v>
      </c>
      <c r="Y178" s="2863">
        <v>0.67</v>
      </c>
      <c r="Z178" s="319">
        <v>0.1</v>
      </c>
      <c r="AA178" s="319"/>
      <c r="AB178" s="319">
        <v>1.6333333333333335</v>
      </c>
      <c r="AC178" s="72"/>
      <c r="AD178" s="61"/>
      <c r="AE178" s="61"/>
      <c r="AF178" s="91"/>
      <c r="AG178" s="91"/>
      <c r="AH178" s="91"/>
      <c r="AI178" s="91"/>
      <c r="AJ178" s="13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91"/>
      <c r="AW178" s="91"/>
      <c r="AX178" s="91"/>
      <c r="AY178" s="91"/>
      <c r="AZ178" s="13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91"/>
      <c r="BM178" s="91"/>
      <c r="BN178" s="91"/>
      <c r="BO178" s="91"/>
      <c r="BP178" s="13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91"/>
      <c r="CC178" s="91"/>
      <c r="CD178" s="91"/>
      <c r="CE178" s="91"/>
      <c r="CF178" s="13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91"/>
      <c r="CS178" s="91"/>
      <c r="CT178" s="91"/>
      <c r="CU178" s="91"/>
      <c r="CV178" s="13"/>
      <c r="CW178" s="61"/>
      <c r="CX178" s="61"/>
      <c r="DF178" s="61"/>
      <c r="DG178" s="61"/>
      <c r="DH178" s="91"/>
      <c r="DI178" s="91"/>
      <c r="DJ178" s="91"/>
      <c r="DK178" s="91"/>
      <c r="DL178" s="13"/>
      <c r="DM178" s="61"/>
      <c r="DN178" s="61"/>
      <c r="DO178" s="61"/>
      <c r="DP178" s="61"/>
      <c r="DQ178" s="61"/>
      <c r="DR178" s="61"/>
      <c r="DS178" s="61"/>
      <c r="DT178" s="61"/>
      <c r="DU178" s="61"/>
      <c r="DV178" s="61"/>
      <c r="DW178" s="61"/>
      <c r="DX178" s="91"/>
      <c r="DY178" s="91"/>
      <c r="DZ178" s="91"/>
      <c r="EA178" s="13"/>
      <c r="EB178" s="61"/>
      <c r="EC178" s="61"/>
      <c r="ED178" s="61"/>
      <c r="EE178" s="61"/>
      <c r="EF178" s="61"/>
      <c r="EG178" s="61"/>
      <c r="EH178" s="61"/>
      <c r="EI178" s="61"/>
      <c r="EJ178" s="61"/>
      <c r="EK178" s="61"/>
    </row>
    <row r="179" spans="1:141">
      <c r="A179" s="773"/>
      <c r="B179" s="773"/>
      <c r="C179" s="210"/>
      <c r="D179" s="1717" t="s">
        <v>437</v>
      </c>
      <c r="E179" s="1701">
        <v>5.7666666666666666</v>
      </c>
      <c r="F179" s="1701">
        <v>10.966666666666667</v>
      </c>
      <c r="G179" s="1701">
        <v>6.4</v>
      </c>
      <c r="H179" s="1702">
        <v>5.9666666666666659</v>
      </c>
      <c r="I179" s="1703">
        <v>4.2</v>
      </c>
      <c r="J179" s="1701">
        <v>4.8</v>
      </c>
      <c r="K179" s="1704">
        <v>6.3</v>
      </c>
      <c r="L179" s="1705">
        <v>4.4000000000000004</v>
      </c>
      <c r="M179" s="1706">
        <v>7.1</v>
      </c>
      <c r="N179" s="1707"/>
      <c r="O179" s="1707"/>
      <c r="P179" s="846"/>
      <c r="Q179" s="2030">
        <v>4.0999999999999996</v>
      </c>
      <c r="R179" s="304">
        <v>4.07</v>
      </c>
      <c r="S179" s="304">
        <v>5.8</v>
      </c>
      <c r="T179" s="319">
        <v>6.2</v>
      </c>
      <c r="U179" s="361">
        <v>10.23</v>
      </c>
      <c r="V179" s="319"/>
      <c r="W179" s="319">
        <v>4.17</v>
      </c>
      <c r="X179" s="319">
        <v>6.67</v>
      </c>
      <c r="Y179" s="2863">
        <v>12.62</v>
      </c>
      <c r="Z179" s="319">
        <v>5.2</v>
      </c>
      <c r="AA179" s="319"/>
      <c r="AB179" s="319">
        <v>3.5333333333333332</v>
      </c>
      <c r="AD179" s="61"/>
      <c r="AE179" s="28"/>
      <c r="AF179" s="25"/>
      <c r="AG179" s="25"/>
      <c r="AH179" s="25"/>
      <c r="AI179" s="25"/>
      <c r="AJ179" s="77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28"/>
      <c r="AV179" s="25"/>
      <c r="AW179" s="25"/>
      <c r="AX179" s="25"/>
      <c r="AY179" s="25"/>
      <c r="AZ179" s="77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28"/>
      <c r="BL179" s="25"/>
      <c r="BM179" s="25"/>
      <c r="BN179" s="25"/>
      <c r="BO179" s="25"/>
      <c r="BP179" s="77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28"/>
      <c r="CB179" s="25"/>
      <c r="CC179" s="25"/>
      <c r="CD179" s="25"/>
      <c r="CE179" s="25"/>
      <c r="CF179" s="77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28"/>
      <c r="CR179" s="25"/>
      <c r="CS179" s="25"/>
      <c r="CT179" s="25"/>
      <c r="CU179" s="25"/>
      <c r="CV179" s="77"/>
      <c r="CW179" s="61"/>
      <c r="CX179" s="61"/>
      <c r="DF179" s="61"/>
      <c r="DG179" s="28"/>
      <c r="DH179" s="25"/>
      <c r="DI179" s="25"/>
      <c r="DJ179" s="25"/>
      <c r="DK179" s="25"/>
      <c r="DL179" s="77"/>
      <c r="DM179" s="61"/>
      <c r="DN179" s="61"/>
      <c r="DO179" s="61"/>
      <c r="DP179" s="61"/>
      <c r="DQ179" s="61"/>
      <c r="DR179" s="61"/>
      <c r="DS179" s="61"/>
      <c r="DT179" s="61"/>
      <c r="DU179" s="61"/>
      <c r="DV179" s="61"/>
      <c r="DW179" s="28"/>
      <c r="DX179" s="25"/>
      <c r="DY179" s="25"/>
      <c r="DZ179" s="25"/>
      <c r="EA179" s="77"/>
      <c r="EB179" s="61"/>
      <c r="EC179" s="61"/>
      <c r="ED179" s="61"/>
      <c r="EE179" s="61"/>
      <c r="EF179" s="61"/>
      <c r="EG179" s="61"/>
      <c r="EH179" s="61"/>
      <c r="EI179" s="61"/>
      <c r="EJ179" s="61"/>
      <c r="EK179" s="61"/>
    </row>
    <row r="180" spans="1:141" s="3454" customFormat="1">
      <c r="A180" s="773"/>
      <c r="B180" s="773"/>
      <c r="C180" s="210"/>
      <c r="D180" s="1717" t="s">
        <v>438</v>
      </c>
      <c r="E180" s="1701"/>
      <c r="F180" s="1701"/>
      <c r="G180" s="1701"/>
      <c r="H180" s="1702"/>
      <c r="I180" s="1703"/>
      <c r="J180" s="1701"/>
      <c r="K180" s="1704"/>
      <c r="L180" s="1705"/>
      <c r="M180" s="1706"/>
      <c r="N180" s="1707"/>
      <c r="O180" s="1707"/>
      <c r="P180" s="846"/>
      <c r="Q180" s="2030"/>
      <c r="R180" s="304"/>
      <c r="S180" s="304"/>
      <c r="T180" s="319"/>
      <c r="U180" s="361"/>
      <c r="V180" s="319"/>
      <c r="W180" s="319"/>
      <c r="X180" s="319"/>
      <c r="Y180" s="2863"/>
      <c r="Z180" s="319"/>
      <c r="AA180" s="319"/>
      <c r="AB180" s="319">
        <v>3.1999999999999997</v>
      </c>
      <c r="AD180" s="61"/>
      <c r="AE180" s="28"/>
      <c r="AF180" s="25"/>
      <c r="AG180" s="25"/>
      <c r="AH180" s="25"/>
      <c r="AI180" s="25"/>
      <c r="AJ180" s="77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28"/>
      <c r="AV180" s="25"/>
      <c r="AW180" s="25"/>
      <c r="AX180" s="25"/>
      <c r="AY180" s="25"/>
      <c r="AZ180" s="77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28"/>
      <c r="BL180" s="25"/>
      <c r="BM180" s="25"/>
      <c r="BN180" s="25"/>
      <c r="BO180" s="25"/>
      <c r="BP180" s="77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28"/>
      <c r="CB180" s="25"/>
      <c r="CC180" s="25"/>
      <c r="CD180" s="25"/>
      <c r="CE180" s="25"/>
      <c r="CF180" s="77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28"/>
      <c r="CR180" s="25"/>
      <c r="CS180" s="25"/>
      <c r="CT180" s="25"/>
      <c r="CU180" s="25"/>
      <c r="CV180" s="77"/>
      <c r="CW180" s="61"/>
      <c r="CX180" s="61"/>
      <c r="DF180" s="61"/>
      <c r="DG180" s="28"/>
      <c r="DH180" s="25"/>
      <c r="DI180" s="25"/>
      <c r="DJ180" s="25"/>
      <c r="DK180" s="25"/>
      <c r="DL180" s="77"/>
      <c r="DM180" s="61"/>
      <c r="DN180" s="61"/>
      <c r="DO180" s="61"/>
      <c r="DP180" s="61"/>
      <c r="DQ180" s="61"/>
      <c r="DR180" s="61"/>
      <c r="DS180" s="61"/>
      <c r="DT180" s="61"/>
      <c r="DU180" s="61"/>
      <c r="DV180" s="61"/>
      <c r="DW180" s="28"/>
      <c r="DX180" s="25"/>
      <c r="DY180" s="25"/>
      <c r="DZ180" s="25"/>
      <c r="EA180" s="77"/>
      <c r="EB180" s="61"/>
      <c r="EC180" s="61"/>
      <c r="ED180" s="61"/>
      <c r="EE180" s="61"/>
      <c r="EF180" s="61"/>
      <c r="EG180" s="61"/>
      <c r="EH180" s="61"/>
      <c r="EI180" s="61"/>
      <c r="EJ180" s="61"/>
      <c r="EK180" s="61"/>
    </row>
    <row r="181" spans="1:141" ht="15" customHeight="1">
      <c r="A181" s="773"/>
      <c r="B181" s="773"/>
      <c r="C181" s="210"/>
      <c r="D181" s="106" t="s">
        <v>164</v>
      </c>
      <c r="E181" s="456">
        <v>7.7333333333333334</v>
      </c>
      <c r="F181" s="456">
        <v>7.0333333333333323</v>
      </c>
      <c r="G181" s="456">
        <v>7.166666666666667</v>
      </c>
      <c r="H181" s="457">
        <v>7.166666666666667</v>
      </c>
      <c r="I181" s="458">
        <v>7.5</v>
      </c>
      <c r="J181" s="456">
        <v>6.3</v>
      </c>
      <c r="K181" s="459">
        <v>5.3</v>
      </c>
      <c r="L181" s="460">
        <v>6.6</v>
      </c>
      <c r="M181" s="948">
        <v>7.3</v>
      </c>
      <c r="N181" s="410">
        <v>5.6</v>
      </c>
      <c r="O181" s="410">
        <v>6.3</v>
      </c>
      <c r="P181" s="846"/>
      <c r="Q181" s="2030">
        <v>6.8</v>
      </c>
      <c r="R181" s="304">
        <v>5.43</v>
      </c>
      <c r="S181" s="304">
        <v>6.83</v>
      </c>
      <c r="T181" s="319">
        <v>7.2</v>
      </c>
      <c r="U181" s="361">
        <v>7.2</v>
      </c>
      <c r="V181" s="319">
        <v>6.2</v>
      </c>
      <c r="W181" s="319">
        <v>6.4</v>
      </c>
      <c r="X181" s="319">
        <v>5.63</v>
      </c>
      <c r="Y181" s="2863">
        <v>7.5</v>
      </c>
      <c r="Z181" s="319">
        <v>6.23</v>
      </c>
      <c r="AA181" s="319"/>
      <c r="AB181" s="319">
        <v>6.666666666666667</v>
      </c>
      <c r="AD181" s="61"/>
      <c r="AE181" s="78"/>
      <c r="AF181" s="25"/>
      <c r="AG181" s="25"/>
      <c r="AH181" s="25"/>
      <c r="AI181" s="25"/>
      <c r="AJ181" s="77"/>
      <c r="AK181" s="24"/>
      <c r="AL181" s="24"/>
      <c r="AM181" s="61"/>
      <c r="AN181" s="61"/>
      <c r="AO181" s="24"/>
      <c r="AP181" s="24"/>
      <c r="AQ181" s="24"/>
      <c r="AR181" s="24"/>
      <c r="AS181" s="13"/>
      <c r="AT181" s="24"/>
      <c r="AU181" s="78"/>
      <c r="AV181" s="25"/>
      <c r="AW181" s="25"/>
      <c r="AX181" s="25"/>
      <c r="AY181" s="25"/>
      <c r="AZ181" s="77"/>
      <c r="BA181" s="24"/>
      <c r="BB181" s="13"/>
      <c r="BC181" s="61"/>
      <c r="BD181" s="24"/>
      <c r="BE181" s="24"/>
      <c r="BF181" s="61"/>
      <c r="BG181" s="24"/>
      <c r="BH181" s="24"/>
      <c r="BI181" s="24"/>
      <c r="BJ181" s="24"/>
      <c r="BK181" s="78"/>
      <c r="BL181" s="25"/>
      <c r="BM181" s="25"/>
      <c r="BN181" s="25"/>
      <c r="BO181" s="25"/>
      <c r="BP181" s="77"/>
      <c r="BQ181" s="24"/>
      <c r="BR181" s="24"/>
      <c r="BS181" s="24"/>
      <c r="BT181" s="13"/>
      <c r="BU181" s="24"/>
      <c r="BV181" s="24"/>
      <c r="BW181" s="13"/>
      <c r="BX181" s="61"/>
      <c r="BY181" s="24"/>
      <c r="BZ181" s="24"/>
      <c r="CA181" s="78"/>
      <c r="CB181" s="25"/>
      <c r="CC181" s="25"/>
      <c r="CD181" s="25"/>
      <c r="CE181" s="25"/>
      <c r="CF181" s="77"/>
      <c r="CG181" s="61"/>
      <c r="CH181" s="24"/>
      <c r="CI181" s="24"/>
      <c r="CJ181" s="24"/>
      <c r="CK181" s="24"/>
      <c r="CL181" s="13"/>
      <c r="CM181" s="61"/>
      <c r="CN181" s="61"/>
      <c r="CO181" s="61"/>
      <c r="CP181" s="61"/>
      <c r="CQ181" s="78"/>
      <c r="CR181" s="25"/>
      <c r="CS181" s="25"/>
      <c r="CT181" s="25"/>
      <c r="CU181" s="25"/>
      <c r="CV181" s="77"/>
      <c r="CW181" s="61"/>
      <c r="CX181" s="61"/>
      <c r="DF181" s="61"/>
      <c r="DG181" s="78"/>
      <c r="DH181" s="25"/>
      <c r="DI181" s="25"/>
      <c r="DJ181" s="25"/>
      <c r="DK181" s="25"/>
      <c r="DL181" s="77"/>
      <c r="DM181" s="61"/>
      <c r="DN181" s="61"/>
      <c r="DO181" s="61"/>
      <c r="DP181" s="61"/>
      <c r="DQ181" s="61"/>
      <c r="DR181" s="61"/>
      <c r="DS181" s="61"/>
      <c r="DT181" s="61"/>
      <c r="DU181" s="61"/>
      <c r="DV181" s="61"/>
      <c r="DW181" s="78"/>
      <c r="DX181" s="25"/>
      <c r="DY181" s="25"/>
      <c r="DZ181" s="25"/>
      <c r="EA181" s="77"/>
      <c r="EB181" s="61"/>
      <c r="EC181" s="61"/>
      <c r="ED181" s="61"/>
      <c r="EE181" s="61"/>
      <c r="EF181" s="61"/>
      <c r="EG181" s="61"/>
      <c r="EH181" s="61"/>
      <c r="EI181" s="61"/>
      <c r="EJ181" s="61"/>
      <c r="EK181" s="61"/>
    </row>
    <row r="182" spans="1:141">
      <c r="A182" s="773"/>
      <c r="B182" s="773"/>
      <c r="C182" s="210"/>
      <c r="D182" s="1717" t="s">
        <v>439</v>
      </c>
      <c r="E182" s="1701">
        <v>7.6</v>
      </c>
      <c r="F182" s="1701">
        <v>7.5</v>
      </c>
      <c r="G182" s="1701">
        <v>6.4</v>
      </c>
      <c r="H182" s="1702">
        <v>7.6333333333333329</v>
      </c>
      <c r="I182" s="1703">
        <v>7.7</v>
      </c>
      <c r="J182" s="1701">
        <v>7.3</v>
      </c>
      <c r="K182" s="1704">
        <v>6.5</v>
      </c>
      <c r="L182" s="1705">
        <v>7.3</v>
      </c>
      <c r="M182" s="1706">
        <v>7.8</v>
      </c>
      <c r="N182" s="1707"/>
      <c r="O182" s="1707"/>
      <c r="P182" s="846"/>
      <c r="Q182" s="370">
        <v>8.15</v>
      </c>
      <c r="R182" s="304">
        <v>6.97</v>
      </c>
      <c r="S182" s="304">
        <v>6.9669999999999996</v>
      </c>
      <c r="T182" s="319">
        <v>7.9</v>
      </c>
      <c r="U182" s="361">
        <v>8.93</v>
      </c>
      <c r="V182" s="319">
        <v>5.23</v>
      </c>
      <c r="W182" s="319">
        <v>7.6</v>
      </c>
      <c r="X182" s="319">
        <v>7.83</v>
      </c>
      <c r="Y182" s="2863">
        <v>7.95</v>
      </c>
      <c r="Z182" s="319">
        <v>7.7</v>
      </c>
      <c r="AA182" s="319"/>
      <c r="AB182" s="319">
        <v>7.8</v>
      </c>
      <c r="AD182" s="61"/>
      <c r="AE182" s="78"/>
      <c r="AF182" s="25"/>
      <c r="AG182" s="25"/>
      <c r="AH182" s="25"/>
      <c r="AI182" s="25"/>
      <c r="AJ182" s="77"/>
      <c r="AK182" s="25"/>
      <c r="AL182" s="25"/>
      <c r="AM182" s="61"/>
      <c r="AN182" s="28"/>
      <c r="AO182" s="25"/>
      <c r="AP182" s="25"/>
      <c r="AQ182" s="25"/>
      <c r="AR182" s="25"/>
      <c r="AS182" s="14"/>
      <c r="AT182" s="25"/>
      <c r="AU182" s="78"/>
      <c r="AV182" s="25"/>
      <c r="AW182" s="25"/>
      <c r="AX182" s="25"/>
      <c r="AY182" s="25"/>
      <c r="AZ182" s="77"/>
      <c r="BA182" s="25"/>
      <c r="BB182" s="14"/>
      <c r="BC182" s="28"/>
      <c r="BD182" s="25"/>
      <c r="BE182" s="25"/>
      <c r="BF182" s="28"/>
      <c r="BG182" s="25"/>
      <c r="BH182" s="25"/>
      <c r="BI182" s="25"/>
      <c r="BJ182" s="25"/>
      <c r="BK182" s="78"/>
      <c r="BL182" s="25"/>
      <c r="BM182" s="25"/>
      <c r="BN182" s="25"/>
      <c r="BO182" s="25"/>
      <c r="BP182" s="77"/>
      <c r="BQ182" s="25"/>
      <c r="BR182" s="25"/>
      <c r="BS182" s="25"/>
      <c r="BT182" s="14"/>
      <c r="BU182" s="25"/>
      <c r="BV182" s="70"/>
      <c r="BW182" s="14"/>
      <c r="BX182" s="28"/>
      <c r="BY182" s="25"/>
      <c r="BZ182" s="25"/>
      <c r="CA182" s="78"/>
      <c r="CB182" s="25"/>
      <c r="CC182" s="25"/>
      <c r="CD182" s="25"/>
      <c r="CE182" s="25"/>
      <c r="CF182" s="77"/>
      <c r="CG182" s="28"/>
      <c r="CH182" s="25"/>
      <c r="CI182" s="25"/>
      <c r="CJ182" s="25"/>
      <c r="CK182" s="70"/>
      <c r="CL182" s="14"/>
      <c r="CM182" s="61"/>
      <c r="CN182" s="61"/>
      <c r="CO182" s="61"/>
      <c r="CP182" s="61"/>
      <c r="CQ182" s="78"/>
      <c r="CR182" s="25"/>
      <c r="CS182" s="25"/>
      <c r="CT182" s="25"/>
      <c r="CU182" s="25"/>
      <c r="CV182" s="77"/>
      <c r="CW182" s="61"/>
      <c r="CX182" s="61"/>
      <c r="DF182" s="61"/>
      <c r="DG182" s="78"/>
      <c r="DH182" s="25"/>
      <c r="DI182" s="25"/>
      <c r="DJ182" s="25"/>
      <c r="DK182" s="25"/>
      <c r="DL182" s="77"/>
      <c r="DM182" s="61"/>
      <c r="DN182" s="61"/>
      <c r="DO182" s="61"/>
      <c r="DP182" s="61"/>
      <c r="DQ182" s="61"/>
      <c r="DR182" s="61"/>
      <c r="DS182" s="61"/>
      <c r="DT182" s="61"/>
      <c r="DU182" s="61"/>
      <c r="DV182" s="61"/>
      <c r="DW182" s="78"/>
      <c r="DX182" s="25"/>
      <c r="DY182" s="25"/>
      <c r="DZ182" s="25"/>
      <c r="EA182" s="77"/>
      <c r="EB182" s="61"/>
      <c r="EC182" s="61"/>
      <c r="ED182" s="61"/>
      <c r="EE182" s="61"/>
      <c r="EF182" s="61"/>
      <c r="EG182" s="61"/>
      <c r="EH182" s="61"/>
      <c r="EI182" s="61"/>
      <c r="EJ182" s="61"/>
      <c r="EK182" s="61"/>
    </row>
    <row r="183" spans="1:141" s="3454" customFormat="1">
      <c r="A183" s="773"/>
      <c r="B183" s="773"/>
      <c r="C183" s="210"/>
      <c r="D183" s="1717" t="s">
        <v>440</v>
      </c>
      <c r="E183" s="1701"/>
      <c r="F183" s="1701"/>
      <c r="G183" s="1701"/>
      <c r="H183" s="1702"/>
      <c r="I183" s="1703"/>
      <c r="J183" s="1701"/>
      <c r="K183" s="1704"/>
      <c r="L183" s="1705"/>
      <c r="M183" s="1706"/>
      <c r="N183" s="1707"/>
      <c r="O183" s="1707"/>
      <c r="P183" s="846"/>
      <c r="Q183" s="370"/>
      <c r="R183" s="304"/>
      <c r="S183" s="304"/>
      <c r="T183" s="319"/>
      <c r="U183" s="361"/>
      <c r="V183" s="319"/>
      <c r="W183" s="319"/>
      <c r="X183" s="319"/>
      <c r="Y183" s="2863"/>
      <c r="Z183" s="319"/>
      <c r="AA183" s="319"/>
      <c r="AB183" s="319">
        <v>7.9333333333333327</v>
      </c>
      <c r="AD183" s="61"/>
      <c r="AE183" s="3453"/>
      <c r="AF183" s="25"/>
      <c r="AG183" s="25"/>
      <c r="AH183" s="25"/>
      <c r="AI183" s="25"/>
      <c r="AJ183" s="77"/>
      <c r="AK183" s="25"/>
      <c r="AL183" s="25"/>
      <c r="AM183" s="61"/>
      <c r="AN183" s="28"/>
      <c r="AO183" s="25"/>
      <c r="AP183" s="25"/>
      <c r="AQ183" s="25"/>
      <c r="AR183" s="25"/>
      <c r="AS183" s="14"/>
      <c r="AT183" s="25"/>
      <c r="AU183" s="3453"/>
      <c r="AV183" s="25"/>
      <c r="AW183" s="25"/>
      <c r="AX183" s="25"/>
      <c r="AY183" s="25"/>
      <c r="AZ183" s="77"/>
      <c r="BA183" s="25"/>
      <c r="BB183" s="14"/>
      <c r="BC183" s="28"/>
      <c r="BD183" s="25"/>
      <c r="BE183" s="25"/>
      <c r="BF183" s="28"/>
      <c r="BG183" s="25"/>
      <c r="BH183" s="25"/>
      <c r="BI183" s="25"/>
      <c r="BJ183" s="25"/>
      <c r="BK183" s="3453"/>
      <c r="BL183" s="25"/>
      <c r="BM183" s="25"/>
      <c r="BN183" s="25"/>
      <c r="BO183" s="25"/>
      <c r="BP183" s="77"/>
      <c r="BQ183" s="25"/>
      <c r="BR183" s="25"/>
      <c r="BS183" s="25"/>
      <c r="BT183" s="14"/>
      <c r="BU183" s="25"/>
      <c r="BV183" s="70"/>
      <c r="BW183" s="14"/>
      <c r="BX183" s="28"/>
      <c r="BY183" s="25"/>
      <c r="BZ183" s="25"/>
      <c r="CA183" s="3453"/>
      <c r="CB183" s="25"/>
      <c r="CC183" s="25"/>
      <c r="CD183" s="25"/>
      <c r="CE183" s="25"/>
      <c r="CF183" s="77"/>
      <c r="CG183" s="28"/>
      <c r="CH183" s="25"/>
      <c r="CI183" s="25"/>
      <c r="CJ183" s="25"/>
      <c r="CK183" s="70"/>
      <c r="CL183" s="14"/>
      <c r="CM183" s="61"/>
      <c r="CN183" s="61"/>
      <c r="CO183" s="61"/>
      <c r="CP183" s="61"/>
      <c r="CQ183" s="3453"/>
      <c r="CR183" s="25"/>
      <c r="CS183" s="25"/>
      <c r="CT183" s="25"/>
      <c r="CU183" s="25"/>
      <c r="CV183" s="77"/>
      <c r="CW183" s="61"/>
      <c r="CX183" s="61"/>
      <c r="DF183" s="61"/>
      <c r="DG183" s="3453"/>
      <c r="DH183" s="25"/>
      <c r="DI183" s="25"/>
      <c r="DJ183" s="25"/>
      <c r="DK183" s="25"/>
      <c r="DL183" s="77"/>
      <c r="DM183" s="61"/>
      <c r="DN183" s="61"/>
      <c r="DO183" s="61"/>
      <c r="DP183" s="61"/>
      <c r="DQ183" s="61"/>
      <c r="DR183" s="61"/>
      <c r="DS183" s="61"/>
      <c r="DT183" s="61"/>
      <c r="DU183" s="61"/>
      <c r="DV183" s="61"/>
      <c r="DW183" s="3453"/>
      <c r="DX183" s="25"/>
      <c r="DY183" s="25"/>
      <c r="DZ183" s="25"/>
      <c r="EA183" s="77"/>
      <c r="EB183" s="61"/>
      <c r="EC183" s="61"/>
      <c r="ED183" s="61"/>
      <c r="EE183" s="61"/>
      <c r="EF183" s="61"/>
      <c r="EG183" s="61"/>
      <c r="EH183" s="61"/>
      <c r="EI183" s="61"/>
      <c r="EJ183" s="61"/>
      <c r="EK183" s="61"/>
    </row>
    <row r="184" spans="1:141">
      <c r="A184" s="773"/>
      <c r="B184" s="773"/>
      <c r="C184" s="210"/>
      <c r="D184" s="106" t="s">
        <v>90</v>
      </c>
      <c r="E184" s="456">
        <v>5.333333333333333</v>
      </c>
      <c r="F184" s="456">
        <v>5.2333333333333334</v>
      </c>
      <c r="G184" s="456">
        <v>4.2</v>
      </c>
      <c r="H184" s="457">
        <v>5.666666666666667</v>
      </c>
      <c r="I184" s="458">
        <v>5.2</v>
      </c>
      <c r="J184" s="456">
        <v>4.2</v>
      </c>
      <c r="K184" s="459">
        <v>5</v>
      </c>
      <c r="L184" s="460">
        <v>4.8</v>
      </c>
      <c r="M184" s="948">
        <v>5.7</v>
      </c>
      <c r="N184" s="410">
        <v>4.2</v>
      </c>
      <c r="O184" s="410">
        <v>4.8</v>
      </c>
      <c r="P184" s="846"/>
      <c r="Q184" s="2030">
        <v>5.0999999999999996</v>
      </c>
      <c r="R184" s="304">
        <v>2.87</v>
      </c>
      <c r="S184" s="304">
        <v>6</v>
      </c>
      <c r="T184" s="319">
        <v>4.5</v>
      </c>
      <c r="U184" s="361">
        <v>6.6</v>
      </c>
      <c r="V184" s="319">
        <v>2.97</v>
      </c>
      <c r="W184" s="319">
        <v>3.77</v>
      </c>
      <c r="X184" s="319">
        <v>3.5</v>
      </c>
      <c r="Y184" s="2863">
        <v>5.17</v>
      </c>
      <c r="Z184" s="319">
        <v>2.6</v>
      </c>
      <c r="AA184" s="319"/>
      <c r="AB184" s="319">
        <v>3.4666666666666668</v>
      </c>
      <c r="AD184" s="61"/>
      <c r="AE184" s="78"/>
      <c r="AF184" s="25"/>
      <c r="AG184" s="25"/>
      <c r="AH184" s="25"/>
      <c r="AI184" s="25"/>
      <c r="AJ184" s="77"/>
      <c r="AK184" s="25"/>
      <c r="AL184" s="25"/>
      <c r="AM184" s="61"/>
      <c r="AN184" s="61"/>
      <c r="AO184" s="25"/>
      <c r="AP184" s="25"/>
      <c r="AQ184" s="25"/>
      <c r="AR184" s="25"/>
      <c r="AS184" s="14"/>
      <c r="AT184" s="25"/>
      <c r="AU184" s="78"/>
      <c r="AV184" s="25"/>
      <c r="AW184" s="25"/>
      <c r="AX184" s="25"/>
      <c r="AY184" s="25"/>
      <c r="AZ184" s="77"/>
      <c r="BA184" s="25"/>
      <c r="BB184" s="14"/>
      <c r="BC184" s="61"/>
      <c r="BD184" s="25"/>
      <c r="BE184" s="25"/>
      <c r="BF184" s="61"/>
      <c r="BG184" s="25"/>
      <c r="BH184" s="25"/>
      <c r="BI184" s="25"/>
      <c r="BJ184" s="25"/>
      <c r="BK184" s="78"/>
      <c r="BL184" s="25"/>
      <c r="BM184" s="25"/>
      <c r="BN184" s="25"/>
      <c r="BO184" s="25"/>
      <c r="BP184" s="77"/>
      <c r="BQ184" s="25"/>
      <c r="BR184" s="25"/>
      <c r="BS184" s="25"/>
      <c r="BT184" s="14"/>
      <c r="BU184" s="25"/>
      <c r="BV184" s="70"/>
      <c r="BW184" s="14"/>
      <c r="BX184" s="61"/>
      <c r="BY184" s="25"/>
      <c r="BZ184" s="25"/>
      <c r="CA184" s="78"/>
      <c r="CB184" s="25"/>
      <c r="CC184" s="25"/>
      <c r="CD184" s="25"/>
      <c r="CE184" s="25"/>
      <c r="CF184" s="77"/>
      <c r="CG184" s="61"/>
      <c r="CH184" s="25"/>
      <c r="CI184" s="25"/>
      <c r="CJ184" s="25"/>
      <c r="CK184" s="70"/>
      <c r="CL184" s="14"/>
      <c r="CM184" s="61"/>
      <c r="CN184" s="61"/>
      <c r="CO184" s="61"/>
      <c r="CP184" s="61"/>
      <c r="CQ184" s="78"/>
      <c r="CR184" s="25"/>
      <c r="CS184" s="25"/>
      <c r="CT184" s="25"/>
      <c r="CU184" s="25"/>
      <c r="CV184" s="77"/>
      <c r="CW184" s="61"/>
      <c r="CX184" s="61"/>
      <c r="DF184" s="61"/>
      <c r="DG184" s="78"/>
      <c r="DH184" s="25"/>
      <c r="DI184" s="25"/>
      <c r="DJ184" s="25"/>
      <c r="DK184" s="25"/>
      <c r="DL184" s="77"/>
      <c r="DM184" s="61"/>
      <c r="DN184" s="61"/>
      <c r="DO184" s="61"/>
      <c r="DP184" s="61"/>
      <c r="DQ184" s="61"/>
      <c r="DR184" s="61"/>
      <c r="DS184" s="61"/>
      <c r="DT184" s="61"/>
      <c r="DU184" s="61"/>
      <c r="DV184" s="61"/>
      <c r="DW184" s="78"/>
      <c r="DX184" s="25"/>
      <c r="DY184" s="25"/>
      <c r="DZ184" s="25"/>
      <c r="EA184" s="77"/>
      <c r="EB184" s="61"/>
      <c r="EC184" s="61"/>
      <c r="ED184" s="61"/>
      <c r="EE184" s="61"/>
      <c r="EF184" s="61"/>
      <c r="EG184" s="61"/>
      <c r="EH184" s="61"/>
      <c r="EI184" s="61"/>
      <c r="EJ184" s="61"/>
      <c r="EK184" s="61"/>
    </row>
    <row r="185" spans="1:141">
      <c r="A185" s="773"/>
      <c r="B185" s="773"/>
      <c r="C185" s="210"/>
      <c r="D185" s="106" t="s">
        <v>92</v>
      </c>
      <c r="E185" s="456">
        <v>1.1000000000000001</v>
      </c>
      <c r="F185" s="456">
        <v>2.6333333333333333</v>
      </c>
      <c r="G185" s="456">
        <v>4.9666666666666659</v>
      </c>
      <c r="H185" s="457">
        <v>6.7</v>
      </c>
      <c r="I185" s="458">
        <v>3.3</v>
      </c>
      <c r="J185" s="456">
        <v>2.2000000000000002</v>
      </c>
      <c r="K185" s="459">
        <v>5.5</v>
      </c>
      <c r="L185" s="460">
        <v>3.8</v>
      </c>
      <c r="M185" s="948">
        <v>1.4</v>
      </c>
      <c r="N185" s="410">
        <v>2.2000000000000002</v>
      </c>
      <c r="O185" s="410">
        <v>4.3</v>
      </c>
      <c r="P185" s="846"/>
      <c r="Q185" s="370">
        <v>2.5499999999999998</v>
      </c>
      <c r="R185" s="304">
        <v>1.1000000000000001</v>
      </c>
      <c r="S185" s="304">
        <v>6.1</v>
      </c>
      <c r="T185" s="319">
        <v>3.7</v>
      </c>
      <c r="U185" s="361">
        <v>4.03</v>
      </c>
      <c r="V185" s="319">
        <v>2.13</v>
      </c>
      <c r="W185" s="319">
        <v>4.2699999999999996</v>
      </c>
      <c r="X185" s="319">
        <v>3.87</v>
      </c>
      <c r="Y185" s="2863">
        <v>1.73</v>
      </c>
      <c r="Z185" s="319">
        <v>1.7</v>
      </c>
      <c r="AA185" s="319"/>
      <c r="AB185" s="319">
        <v>3.8333333333333335</v>
      </c>
      <c r="AD185" s="61"/>
      <c r="AE185" s="92"/>
      <c r="AF185" s="25"/>
      <c r="AG185" s="25"/>
      <c r="AH185" s="25"/>
      <c r="AI185" s="25"/>
      <c r="AJ185" s="77"/>
      <c r="AK185" s="25"/>
      <c r="AL185" s="25"/>
      <c r="AM185" s="61"/>
      <c r="AN185" s="61"/>
      <c r="AO185" s="25"/>
      <c r="AP185" s="25"/>
      <c r="AQ185" s="25"/>
      <c r="AR185" s="25"/>
      <c r="AS185" s="14"/>
      <c r="AT185" s="25"/>
      <c r="AU185" s="92"/>
      <c r="AV185" s="25"/>
      <c r="AW185" s="25"/>
      <c r="AX185" s="25"/>
      <c r="AY185" s="25"/>
      <c r="AZ185" s="77"/>
      <c r="BA185" s="25"/>
      <c r="BB185" s="14"/>
      <c r="BC185" s="61"/>
      <c r="BD185" s="25"/>
      <c r="BE185" s="25"/>
      <c r="BF185" s="61"/>
      <c r="BG185" s="25"/>
      <c r="BH185" s="25"/>
      <c r="BI185" s="25"/>
      <c r="BJ185" s="25"/>
      <c r="BK185" s="92"/>
      <c r="BL185" s="25"/>
      <c r="BM185" s="25"/>
      <c r="BN185" s="25"/>
      <c r="BO185" s="25"/>
      <c r="BP185" s="77"/>
      <c r="BQ185" s="25"/>
      <c r="BR185" s="25"/>
      <c r="BS185" s="25"/>
      <c r="BT185" s="14"/>
      <c r="BU185" s="25"/>
      <c r="BV185" s="70"/>
      <c r="BW185" s="14"/>
      <c r="BX185" s="61"/>
      <c r="BY185" s="25"/>
      <c r="BZ185" s="25"/>
      <c r="CA185" s="92"/>
      <c r="CB185" s="25"/>
      <c r="CC185" s="25"/>
      <c r="CD185" s="25"/>
      <c r="CE185" s="25"/>
      <c r="CF185" s="77"/>
      <c r="CG185" s="61"/>
      <c r="CH185" s="25"/>
      <c r="CI185" s="25"/>
      <c r="CJ185" s="25"/>
      <c r="CK185" s="70"/>
      <c r="CL185" s="14"/>
      <c r="CM185" s="61"/>
      <c r="CN185" s="61"/>
      <c r="CO185" s="61"/>
      <c r="CP185" s="61"/>
      <c r="CQ185" s="92"/>
      <c r="CR185" s="25"/>
      <c r="CS185" s="25"/>
      <c r="CT185" s="25"/>
      <c r="CU185" s="25"/>
      <c r="CV185" s="77"/>
      <c r="CW185" s="61"/>
      <c r="CX185" s="61"/>
      <c r="DF185" s="61"/>
      <c r="DG185" s="92"/>
      <c r="DH185" s="25"/>
      <c r="DI185" s="25"/>
      <c r="DJ185" s="25"/>
      <c r="DK185" s="25"/>
      <c r="DL185" s="77"/>
      <c r="DM185" s="61"/>
      <c r="DN185" s="61"/>
      <c r="DO185" s="61"/>
      <c r="DP185" s="61"/>
      <c r="DQ185" s="61"/>
      <c r="DR185" s="61"/>
      <c r="DS185" s="61"/>
      <c r="DT185" s="61"/>
      <c r="DU185" s="61"/>
      <c r="DV185" s="61"/>
      <c r="DW185" s="92"/>
      <c r="DX185" s="25"/>
      <c r="DY185" s="25"/>
      <c r="DZ185" s="25"/>
      <c r="EA185" s="77"/>
      <c r="EB185" s="61"/>
      <c r="EC185" s="61"/>
      <c r="ED185" s="61"/>
      <c r="EE185" s="61"/>
      <c r="EF185" s="61"/>
      <c r="EG185" s="61"/>
      <c r="EH185" s="61"/>
      <c r="EI185" s="61"/>
      <c r="EJ185" s="61"/>
      <c r="EK185" s="61"/>
    </row>
    <row r="186" spans="1:141">
      <c r="A186" s="773"/>
      <c r="B186" s="773"/>
      <c r="C186" s="210"/>
      <c r="D186" s="106" t="s">
        <v>160</v>
      </c>
      <c r="E186" s="456">
        <v>0.38333333333333336</v>
      </c>
      <c r="F186" s="456">
        <v>6.6666666666666666E-2</v>
      </c>
      <c r="G186" s="456">
        <v>1.3166666666666667</v>
      </c>
      <c r="H186" s="457">
        <v>2.8666666666666671</v>
      </c>
      <c r="I186" s="458">
        <v>1.8</v>
      </c>
      <c r="J186" s="456">
        <v>1.6</v>
      </c>
      <c r="K186" s="459">
        <v>2.2999999999999998</v>
      </c>
      <c r="L186" s="460">
        <v>2.5</v>
      </c>
      <c r="M186" s="948">
        <v>0.7</v>
      </c>
      <c r="N186" s="410">
        <v>0.6</v>
      </c>
      <c r="O186" s="410">
        <v>2</v>
      </c>
      <c r="P186" s="846"/>
      <c r="Q186" s="2030">
        <v>1.5</v>
      </c>
      <c r="R186" s="304">
        <v>0.77</v>
      </c>
      <c r="S186" s="304">
        <v>2.33</v>
      </c>
      <c r="T186" s="319">
        <v>2.2000000000000002</v>
      </c>
      <c r="U186" s="361">
        <v>1.4</v>
      </c>
      <c r="V186" s="319">
        <v>1.47</v>
      </c>
      <c r="W186" s="319">
        <v>1.68</v>
      </c>
      <c r="X186" s="319">
        <v>1.68</v>
      </c>
      <c r="Y186" s="2863">
        <v>0.28000000000000003</v>
      </c>
      <c r="Z186" s="319">
        <v>0.13</v>
      </c>
      <c r="AA186" s="319"/>
      <c r="AB186" s="319">
        <v>0.21666666666666665</v>
      </c>
      <c r="AD186" s="61"/>
      <c r="AE186" s="78"/>
      <c r="AF186" s="25"/>
      <c r="AG186" s="25"/>
      <c r="AH186" s="25"/>
      <c r="AI186" s="25"/>
      <c r="AJ186" s="77"/>
      <c r="AK186" s="25"/>
      <c r="AL186" s="25"/>
      <c r="AM186" s="61"/>
      <c r="AN186" s="61"/>
      <c r="AO186" s="25"/>
      <c r="AP186" s="25"/>
      <c r="AQ186" s="25"/>
      <c r="AR186" s="25"/>
      <c r="AS186" s="14"/>
      <c r="AT186" s="25"/>
      <c r="AU186" s="78"/>
      <c r="AV186" s="25"/>
      <c r="AW186" s="25"/>
      <c r="AX186" s="25"/>
      <c r="AY186" s="25"/>
      <c r="AZ186" s="77"/>
      <c r="BA186" s="25"/>
      <c r="BB186" s="14"/>
      <c r="BC186" s="61"/>
      <c r="BD186" s="25"/>
      <c r="BE186" s="25"/>
      <c r="BF186" s="61"/>
      <c r="BG186" s="25"/>
      <c r="BH186" s="25"/>
      <c r="BI186" s="25"/>
      <c r="BJ186" s="25"/>
      <c r="BK186" s="78"/>
      <c r="BL186" s="25"/>
      <c r="BM186" s="25"/>
      <c r="BN186" s="25"/>
      <c r="BO186" s="25"/>
      <c r="BP186" s="77"/>
      <c r="BQ186" s="25"/>
      <c r="BR186" s="25"/>
      <c r="BS186" s="25"/>
      <c r="BT186" s="14"/>
      <c r="BU186" s="25"/>
      <c r="BV186" s="70"/>
      <c r="BW186" s="14"/>
      <c r="BX186" s="61"/>
      <c r="BY186" s="25"/>
      <c r="BZ186" s="25"/>
      <c r="CA186" s="78"/>
      <c r="CB186" s="25"/>
      <c r="CC186" s="25"/>
      <c r="CD186" s="25"/>
      <c r="CE186" s="25"/>
      <c r="CF186" s="77"/>
      <c r="CG186" s="61"/>
      <c r="CH186" s="25"/>
      <c r="CI186" s="25"/>
      <c r="CJ186" s="25"/>
      <c r="CK186" s="70"/>
      <c r="CL186" s="14"/>
      <c r="CM186" s="61"/>
      <c r="CN186" s="61"/>
      <c r="CO186" s="61"/>
      <c r="CP186" s="61"/>
      <c r="CQ186" s="78"/>
      <c r="CR186" s="25"/>
      <c r="CS186" s="25"/>
      <c r="CT186" s="25"/>
      <c r="CU186" s="25"/>
      <c r="CV186" s="77"/>
      <c r="CW186" s="61"/>
      <c r="CX186" s="61"/>
      <c r="DF186" s="61"/>
      <c r="DG186" s="78"/>
      <c r="DH186" s="25"/>
      <c r="DI186" s="25"/>
      <c r="DJ186" s="25"/>
      <c r="DK186" s="25"/>
      <c r="DL186" s="77"/>
      <c r="DM186" s="61"/>
      <c r="DN186" s="61"/>
      <c r="DO186" s="61"/>
      <c r="DP186" s="61"/>
      <c r="DQ186" s="61"/>
      <c r="DR186" s="61"/>
      <c r="DS186" s="61"/>
      <c r="DT186" s="61"/>
      <c r="DU186" s="61"/>
      <c r="DV186" s="61"/>
      <c r="DW186" s="78"/>
      <c r="DX186" s="25"/>
      <c r="DY186" s="25"/>
      <c r="DZ186" s="25"/>
      <c r="EA186" s="77"/>
      <c r="EB186" s="61"/>
      <c r="EC186" s="61"/>
      <c r="ED186" s="61"/>
      <c r="EE186" s="61"/>
      <c r="EF186" s="61"/>
      <c r="EG186" s="61"/>
      <c r="EH186" s="61"/>
      <c r="EI186" s="61"/>
      <c r="EJ186" s="61"/>
      <c r="EK186" s="61"/>
    </row>
    <row r="187" spans="1:141">
      <c r="A187" s="773"/>
      <c r="B187" s="773"/>
      <c r="C187" s="210"/>
      <c r="D187" s="106" t="s">
        <v>161</v>
      </c>
      <c r="E187" s="456">
        <v>2.4333333333333331</v>
      </c>
      <c r="F187" s="456">
        <v>2.3666666666666667</v>
      </c>
      <c r="G187" s="456">
        <v>2.6</v>
      </c>
      <c r="H187" s="457">
        <v>4.2</v>
      </c>
      <c r="I187" s="458">
        <v>1.9</v>
      </c>
      <c r="J187" s="456">
        <v>1.7</v>
      </c>
      <c r="K187" s="459">
        <v>3.1</v>
      </c>
      <c r="L187" s="460">
        <v>4.7</v>
      </c>
      <c r="M187" s="948">
        <v>3.6</v>
      </c>
      <c r="N187" s="410">
        <v>3.2</v>
      </c>
      <c r="O187" s="410">
        <v>3.9</v>
      </c>
      <c r="P187" s="846"/>
      <c r="Q187" s="370">
        <v>5.65</v>
      </c>
      <c r="R187" s="304">
        <v>5.8</v>
      </c>
      <c r="S187" s="304">
        <v>6.1</v>
      </c>
      <c r="T187" s="319">
        <v>6</v>
      </c>
      <c r="U187" s="361">
        <v>6.63</v>
      </c>
      <c r="V187" s="319">
        <v>5.87</v>
      </c>
      <c r="W187" s="319">
        <v>4.57</v>
      </c>
      <c r="X187" s="319">
        <v>4.57</v>
      </c>
      <c r="Y187" s="2863">
        <v>5.43</v>
      </c>
      <c r="Z187" s="319">
        <v>5.13</v>
      </c>
      <c r="AA187" s="319"/>
      <c r="AB187" s="319">
        <v>5.2666666666666666</v>
      </c>
      <c r="AD187" s="61"/>
      <c r="AE187" s="78"/>
      <c r="AF187" s="93"/>
      <c r="AG187" s="93"/>
      <c r="AH187" s="93"/>
      <c r="AI187" s="93"/>
      <c r="AJ187" s="77"/>
      <c r="AK187" s="25"/>
      <c r="AL187" s="25"/>
      <c r="AM187" s="61"/>
      <c r="AN187" s="61"/>
      <c r="AO187" s="25"/>
      <c r="AP187" s="25"/>
      <c r="AQ187" s="25"/>
      <c r="AR187" s="25"/>
      <c r="AS187" s="14"/>
      <c r="AT187" s="25"/>
      <c r="AU187" s="78"/>
      <c r="AV187" s="93"/>
      <c r="AW187" s="93"/>
      <c r="AX187" s="93"/>
      <c r="AY187" s="93"/>
      <c r="AZ187" s="77"/>
      <c r="BA187" s="25"/>
      <c r="BB187" s="14"/>
      <c r="BC187" s="61"/>
      <c r="BD187" s="25"/>
      <c r="BE187" s="25"/>
      <c r="BF187" s="61"/>
      <c r="BG187" s="25"/>
      <c r="BH187" s="25"/>
      <c r="BI187" s="25"/>
      <c r="BJ187" s="25"/>
      <c r="BK187" s="78"/>
      <c r="BL187" s="93"/>
      <c r="BM187" s="93"/>
      <c r="BN187" s="93"/>
      <c r="BO187" s="93"/>
      <c r="BP187" s="77"/>
      <c r="BQ187" s="25"/>
      <c r="BR187" s="25"/>
      <c r="BS187" s="25"/>
      <c r="BT187" s="14"/>
      <c r="BU187" s="25"/>
      <c r="BV187" s="94"/>
      <c r="BW187" s="14"/>
      <c r="BX187" s="61"/>
      <c r="BY187" s="25"/>
      <c r="BZ187" s="25"/>
      <c r="CA187" s="78"/>
      <c r="CB187" s="93"/>
      <c r="CC187" s="93"/>
      <c r="CD187" s="93"/>
      <c r="CE187" s="93"/>
      <c r="CF187" s="77"/>
      <c r="CG187" s="61"/>
      <c r="CH187" s="25"/>
      <c r="CI187" s="25"/>
      <c r="CJ187" s="25"/>
      <c r="CK187" s="94"/>
      <c r="CL187" s="14"/>
      <c r="CM187" s="61"/>
      <c r="CN187" s="61"/>
      <c r="CO187" s="61"/>
      <c r="CP187" s="61"/>
      <c r="CQ187" s="78"/>
      <c r="CR187" s="93"/>
      <c r="CS187" s="93"/>
      <c r="CT187" s="93"/>
      <c r="CU187" s="93"/>
      <c r="CV187" s="77"/>
      <c r="CW187" s="61"/>
      <c r="CX187" s="61"/>
      <c r="DF187" s="61"/>
      <c r="DG187" s="78"/>
      <c r="DH187" s="93"/>
      <c r="DI187" s="93"/>
      <c r="DJ187" s="93"/>
      <c r="DK187" s="93"/>
      <c r="DL187" s="77"/>
      <c r="DM187" s="61"/>
      <c r="DN187" s="61"/>
      <c r="DO187" s="61"/>
      <c r="DP187" s="61"/>
      <c r="DQ187" s="61"/>
      <c r="DR187" s="61"/>
      <c r="DS187" s="61"/>
      <c r="DT187" s="61"/>
      <c r="DU187" s="61"/>
      <c r="DV187" s="61"/>
      <c r="DW187" s="78"/>
      <c r="DX187" s="93"/>
      <c r="DY187" s="93"/>
      <c r="DZ187" s="93"/>
      <c r="EA187" s="77"/>
      <c r="EB187" s="61"/>
      <c r="EC187" s="61"/>
      <c r="ED187" s="61"/>
      <c r="EE187" s="61"/>
      <c r="EF187" s="61"/>
      <c r="EG187" s="61"/>
      <c r="EH187" s="61"/>
      <c r="EI187" s="61"/>
      <c r="EJ187" s="61"/>
      <c r="EK187" s="61"/>
    </row>
    <row r="188" spans="1:141">
      <c r="A188" s="773"/>
      <c r="B188" s="773"/>
      <c r="C188" s="210"/>
      <c r="D188" s="106" t="s">
        <v>159</v>
      </c>
      <c r="E188" s="456">
        <v>2.0833333333333335</v>
      </c>
      <c r="F188" s="456">
        <v>0.2</v>
      </c>
      <c r="G188" s="456">
        <v>1.0666666666666667</v>
      </c>
      <c r="H188" s="457">
        <v>1.9666666666666668</v>
      </c>
      <c r="I188" s="458">
        <v>0.6</v>
      </c>
      <c r="J188" s="456">
        <v>1.2</v>
      </c>
      <c r="K188" s="459">
        <v>1.6</v>
      </c>
      <c r="L188" s="460">
        <v>1.3</v>
      </c>
      <c r="M188" s="948">
        <v>1.2</v>
      </c>
      <c r="N188" s="410">
        <v>0.6</v>
      </c>
      <c r="O188" s="410">
        <v>2</v>
      </c>
      <c r="P188" s="846"/>
      <c r="Q188" s="370">
        <v>0.6</v>
      </c>
      <c r="R188" s="304">
        <v>0.5</v>
      </c>
      <c r="S188" s="304">
        <v>2.4300000000000002</v>
      </c>
      <c r="T188" s="319">
        <v>2.6</v>
      </c>
      <c r="U188" s="361">
        <v>1.4</v>
      </c>
      <c r="V188" s="319">
        <v>1.47</v>
      </c>
      <c r="W188" s="319">
        <v>3</v>
      </c>
      <c r="X188" s="319">
        <v>0.83</v>
      </c>
      <c r="Y188" s="2863">
        <v>0.05</v>
      </c>
      <c r="Z188" s="319">
        <v>0.05</v>
      </c>
      <c r="AA188" s="319"/>
      <c r="AB188" s="319">
        <v>1.8666666666666665</v>
      </c>
      <c r="AD188" s="61"/>
      <c r="AE188" s="78"/>
      <c r="AF188" s="93"/>
      <c r="AG188" s="93"/>
      <c r="AH188" s="93"/>
      <c r="AI188" s="93"/>
      <c r="AJ188" s="77"/>
      <c r="AK188" s="25"/>
      <c r="AL188" s="25"/>
      <c r="AM188" s="61"/>
      <c r="AN188" s="61"/>
      <c r="AO188" s="25"/>
      <c r="AP188" s="25"/>
      <c r="AQ188" s="25"/>
      <c r="AR188" s="25"/>
      <c r="AS188" s="14"/>
      <c r="AT188" s="25"/>
      <c r="AU188" s="78"/>
      <c r="AV188" s="93"/>
      <c r="AW188" s="93"/>
      <c r="AX188" s="93"/>
      <c r="AY188" s="93"/>
      <c r="AZ188" s="77"/>
      <c r="BA188" s="25"/>
      <c r="BB188" s="14"/>
      <c r="BC188" s="61"/>
      <c r="BD188" s="25"/>
      <c r="BE188" s="25"/>
      <c r="BF188" s="61"/>
      <c r="BG188" s="25"/>
      <c r="BH188" s="25"/>
      <c r="BI188" s="25"/>
      <c r="BJ188" s="25"/>
      <c r="BK188" s="78"/>
      <c r="BL188" s="93"/>
      <c r="BM188" s="93"/>
      <c r="BN188" s="93"/>
      <c r="BO188" s="93"/>
      <c r="BP188" s="77"/>
      <c r="BQ188" s="25"/>
      <c r="BR188" s="25"/>
      <c r="BS188" s="25"/>
      <c r="BT188" s="14"/>
      <c r="BU188" s="25"/>
      <c r="BV188" s="94"/>
      <c r="BW188" s="14"/>
      <c r="BX188" s="61"/>
      <c r="BY188" s="25"/>
      <c r="BZ188" s="25"/>
      <c r="CA188" s="78"/>
      <c r="CB188" s="93"/>
      <c r="CC188" s="93"/>
      <c r="CD188" s="93"/>
      <c r="CE188" s="93"/>
      <c r="CF188" s="77"/>
      <c r="CG188" s="61"/>
      <c r="CH188" s="25"/>
      <c r="CI188" s="25"/>
      <c r="CJ188" s="25"/>
      <c r="CK188" s="94"/>
      <c r="CL188" s="14"/>
      <c r="CM188" s="61"/>
      <c r="CN188" s="61"/>
      <c r="CO188" s="61"/>
      <c r="CP188" s="61"/>
      <c r="CQ188" s="78"/>
      <c r="CR188" s="93"/>
      <c r="CS188" s="93"/>
      <c r="CT188" s="93"/>
      <c r="CU188" s="93"/>
      <c r="CV188" s="77"/>
      <c r="CW188" s="61"/>
      <c r="CX188" s="61"/>
      <c r="DF188" s="61"/>
      <c r="DG188" s="78"/>
      <c r="DH188" s="93"/>
      <c r="DI188" s="93"/>
      <c r="DJ188" s="93"/>
      <c r="DK188" s="93"/>
      <c r="DL188" s="77"/>
      <c r="DM188" s="61"/>
      <c r="DN188" s="61"/>
      <c r="DO188" s="61"/>
      <c r="DP188" s="61"/>
      <c r="DQ188" s="61"/>
      <c r="DR188" s="61"/>
      <c r="DS188" s="61"/>
      <c r="DT188" s="61"/>
      <c r="DU188" s="61"/>
      <c r="DV188" s="61"/>
      <c r="DW188" s="78"/>
      <c r="DX188" s="93"/>
      <c r="DY188" s="93"/>
      <c r="DZ188" s="93"/>
      <c r="EA188" s="77"/>
      <c r="EB188" s="61"/>
      <c r="EC188" s="61"/>
      <c r="ED188" s="61"/>
      <c r="EE188" s="61"/>
      <c r="EF188" s="61"/>
      <c r="EG188" s="61"/>
      <c r="EH188" s="61"/>
      <c r="EI188" s="61"/>
      <c r="EJ188" s="61"/>
      <c r="EK188" s="61"/>
    </row>
    <row r="189" spans="1:141">
      <c r="A189" s="773"/>
      <c r="B189" s="773"/>
      <c r="C189" s="210"/>
      <c r="D189" s="106" t="s">
        <v>89</v>
      </c>
      <c r="E189" s="456">
        <v>4.7333333333333334</v>
      </c>
      <c r="F189" s="456">
        <v>4.5333333333333332</v>
      </c>
      <c r="G189" s="456">
        <v>2.6666666666666665</v>
      </c>
      <c r="H189" s="457">
        <v>6.333333333333333</v>
      </c>
      <c r="I189" s="458">
        <v>4.4000000000000004</v>
      </c>
      <c r="J189" s="456">
        <v>1.5</v>
      </c>
      <c r="K189" s="459">
        <v>1.4</v>
      </c>
      <c r="L189" s="460">
        <v>2.2999999999999998</v>
      </c>
      <c r="M189" s="948">
        <v>3.5</v>
      </c>
      <c r="N189" s="410">
        <v>2.9</v>
      </c>
      <c r="O189" s="410">
        <v>5.6</v>
      </c>
      <c r="P189" s="846"/>
      <c r="Q189" s="2030">
        <v>2.6</v>
      </c>
      <c r="R189" s="304">
        <v>2.73</v>
      </c>
      <c r="S189" s="304">
        <v>5.8</v>
      </c>
      <c r="T189" s="319">
        <v>4.7</v>
      </c>
      <c r="U189" s="361">
        <v>4.87</v>
      </c>
      <c r="V189" s="319">
        <v>3.63</v>
      </c>
      <c r="W189" s="319">
        <v>3.2</v>
      </c>
      <c r="X189" s="319">
        <v>4.87</v>
      </c>
      <c r="Y189" s="2863">
        <v>4.2</v>
      </c>
      <c r="Z189" s="319">
        <v>3.27</v>
      </c>
      <c r="AA189" s="319"/>
      <c r="AB189" s="319">
        <v>4.9333333333333336</v>
      </c>
      <c r="AD189" s="61"/>
      <c r="AE189" s="61"/>
      <c r="AF189" s="90"/>
      <c r="AG189" s="90"/>
      <c r="AH189" s="90"/>
      <c r="AI189" s="90"/>
      <c r="AJ189" s="14"/>
      <c r="AK189" s="90"/>
      <c r="AL189" s="90"/>
      <c r="AM189" s="61"/>
      <c r="AN189" s="61"/>
      <c r="AO189" s="90"/>
      <c r="AP189" s="90"/>
      <c r="AQ189" s="90"/>
      <c r="AR189" s="90"/>
      <c r="AS189" s="14"/>
      <c r="AT189" s="90"/>
      <c r="AU189" s="90"/>
      <c r="AV189" s="90"/>
      <c r="AW189" s="61"/>
      <c r="AX189" s="90"/>
      <c r="AY189" s="90"/>
      <c r="AZ189" s="90"/>
      <c r="BA189" s="90"/>
      <c r="BB189" s="14"/>
      <c r="BC189" s="61"/>
      <c r="BD189" s="90"/>
      <c r="BE189" s="90"/>
      <c r="BF189" s="61"/>
      <c r="BG189" s="90"/>
      <c r="BH189" s="90"/>
      <c r="BI189" s="90"/>
      <c r="BJ189" s="90"/>
      <c r="BK189" s="14"/>
      <c r="BL189" s="61"/>
      <c r="BM189" s="61"/>
      <c r="BN189" s="61"/>
      <c r="BO189" s="61"/>
      <c r="BP189" s="90"/>
      <c r="BQ189" s="90"/>
      <c r="BR189" s="90"/>
      <c r="BS189" s="90"/>
      <c r="BT189" s="14"/>
      <c r="BU189" s="34"/>
      <c r="BV189" s="34"/>
      <c r="BW189" s="14"/>
      <c r="BX189" s="61"/>
      <c r="BY189" s="90"/>
      <c r="BZ189" s="90"/>
      <c r="CA189" s="90"/>
      <c r="CB189" s="90"/>
      <c r="CC189" s="14"/>
      <c r="CD189" s="61"/>
      <c r="CE189" s="61"/>
      <c r="CF189" s="61"/>
      <c r="CG189" s="61"/>
      <c r="CH189" s="90"/>
      <c r="CI189" s="90"/>
      <c r="CJ189" s="34"/>
      <c r="CK189" s="34"/>
      <c r="CL189" s="14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/>
      <c r="CW189" s="61"/>
      <c r="CX189" s="61"/>
      <c r="DF189" s="61"/>
      <c r="DG189" s="61"/>
      <c r="DH189" s="61"/>
      <c r="DI189" s="61"/>
      <c r="DJ189" s="61"/>
      <c r="DK189" s="61"/>
      <c r="DL189" s="61"/>
      <c r="DM189" s="61"/>
      <c r="DN189" s="61"/>
      <c r="DO189" s="61"/>
      <c r="DP189" s="61"/>
      <c r="DQ189" s="61"/>
      <c r="DR189" s="61"/>
      <c r="DS189" s="61"/>
      <c r="DT189" s="61"/>
      <c r="DU189" s="61"/>
      <c r="DV189" s="61"/>
      <c r="DW189" s="61"/>
      <c r="DX189" s="61"/>
      <c r="DY189" s="61"/>
      <c r="DZ189" s="61"/>
      <c r="EA189" s="61"/>
      <c r="EB189" s="61"/>
      <c r="EC189" s="61"/>
      <c r="ED189" s="61"/>
      <c r="EE189" s="61"/>
      <c r="EF189" s="61"/>
      <c r="EG189" s="61"/>
      <c r="EH189" s="61"/>
      <c r="EI189" s="61"/>
      <c r="EJ189" s="61"/>
      <c r="EK189" s="61"/>
    </row>
    <row r="190" spans="1:141">
      <c r="A190" s="773"/>
      <c r="B190" s="773"/>
      <c r="C190" s="210"/>
      <c r="D190" s="106" t="s">
        <v>163</v>
      </c>
      <c r="E190" s="456">
        <v>6.7333333333333334</v>
      </c>
      <c r="F190" s="456">
        <v>5.8</v>
      </c>
      <c r="G190" s="456">
        <v>6.9333333333333336</v>
      </c>
      <c r="H190" s="457">
        <v>6.6</v>
      </c>
      <c r="I190" s="458">
        <v>6.8</v>
      </c>
      <c r="J190" s="456">
        <v>5.9</v>
      </c>
      <c r="K190" s="459">
        <v>5.9</v>
      </c>
      <c r="L190" s="460">
        <v>7.2</v>
      </c>
      <c r="M190" s="948">
        <v>6.3</v>
      </c>
      <c r="N190" s="410">
        <v>4.5</v>
      </c>
      <c r="O190" s="410">
        <v>7.5</v>
      </c>
      <c r="P190" s="846"/>
      <c r="Q190" s="370">
        <v>6.25</v>
      </c>
      <c r="R190" s="304">
        <v>6.9</v>
      </c>
      <c r="S190" s="304">
        <v>6.3330000000000002</v>
      </c>
      <c r="T190" s="319">
        <v>6.6</v>
      </c>
      <c r="U190" s="361">
        <v>6.07</v>
      </c>
      <c r="V190" s="319">
        <v>1.47</v>
      </c>
      <c r="W190" s="319">
        <v>6.5</v>
      </c>
      <c r="X190" s="319">
        <v>5.83</v>
      </c>
      <c r="Y190" s="2863">
        <v>6.33</v>
      </c>
      <c r="Z190" s="319">
        <v>5.33</v>
      </c>
      <c r="AA190" s="319"/>
      <c r="AB190" s="319">
        <v>5.666666666666667</v>
      </c>
      <c r="AD190" s="61"/>
      <c r="AE190" s="61"/>
      <c r="AF190" s="94"/>
      <c r="AG190" s="94"/>
      <c r="AH190" s="94"/>
      <c r="AI190" s="94"/>
      <c r="AJ190" s="14"/>
      <c r="AK190" s="94"/>
      <c r="AL190" s="94"/>
      <c r="AM190" s="61"/>
      <c r="AN190" s="61"/>
      <c r="AO190" s="94"/>
      <c r="AP190" s="94"/>
      <c r="AQ190" s="94"/>
      <c r="AR190" s="94"/>
      <c r="AS190" s="14"/>
      <c r="AT190" s="94"/>
      <c r="AU190" s="94"/>
      <c r="AV190" s="94"/>
      <c r="AW190" s="61"/>
      <c r="AX190" s="94"/>
      <c r="AY190" s="94"/>
      <c r="AZ190" s="94"/>
      <c r="BA190" s="94"/>
      <c r="BB190" s="14"/>
      <c r="BC190" s="61"/>
      <c r="BD190" s="94"/>
      <c r="BE190" s="94"/>
      <c r="BF190" s="61"/>
      <c r="BG190" s="94"/>
      <c r="BH190" s="94"/>
      <c r="BI190" s="94"/>
      <c r="BJ190" s="94"/>
      <c r="BK190" s="14"/>
      <c r="BL190" s="61"/>
      <c r="BM190" s="61"/>
      <c r="BN190" s="61"/>
      <c r="BO190" s="61"/>
      <c r="BP190" s="94"/>
      <c r="BQ190" s="94"/>
      <c r="BR190" s="94"/>
      <c r="BS190" s="94"/>
      <c r="BT190" s="14"/>
      <c r="BU190" s="94"/>
      <c r="BV190" s="94"/>
      <c r="BW190" s="14"/>
      <c r="BX190" s="61"/>
      <c r="BY190" s="94"/>
      <c r="BZ190" s="94"/>
      <c r="CA190" s="94"/>
      <c r="CB190" s="94"/>
      <c r="CC190" s="14"/>
      <c r="CD190" s="61"/>
      <c r="CE190" s="61"/>
      <c r="CF190" s="61"/>
      <c r="CG190" s="61"/>
      <c r="CH190" s="94"/>
      <c r="CI190" s="94"/>
      <c r="CJ190" s="94"/>
      <c r="CK190" s="94"/>
      <c r="CL190" s="14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/>
      <c r="CW190" s="61"/>
      <c r="CX190" s="61"/>
      <c r="DF190" s="61"/>
      <c r="DG190" s="61"/>
      <c r="DH190" s="61"/>
      <c r="DI190" s="61"/>
      <c r="DJ190" s="61"/>
      <c r="DK190" s="61"/>
      <c r="DL190" s="61"/>
      <c r="DM190" s="61"/>
      <c r="DN190" s="61"/>
      <c r="DO190" s="61"/>
      <c r="DP190" s="61"/>
      <c r="DQ190" s="61"/>
      <c r="DR190" s="61"/>
      <c r="DS190" s="61"/>
      <c r="DT190" s="61"/>
      <c r="DU190" s="61"/>
      <c r="DV190" s="61"/>
      <c r="DW190" s="61"/>
      <c r="DX190" s="61"/>
      <c r="DY190" s="61"/>
      <c r="DZ190" s="61"/>
      <c r="EA190" s="61"/>
      <c r="EB190" s="61"/>
      <c r="EC190" s="61"/>
      <c r="ED190" s="61"/>
      <c r="EE190" s="61"/>
      <c r="EF190" s="61"/>
      <c r="EG190" s="61"/>
      <c r="EH190" s="61"/>
      <c r="EI190" s="61"/>
      <c r="EJ190" s="61"/>
      <c r="EK190" s="61"/>
    </row>
    <row r="191" spans="1:141" s="79" customFormat="1">
      <c r="A191" s="1708"/>
      <c r="B191" s="1708"/>
      <c r="C191" s="1709"/>
      <c r="D191" s="1717" t="s">
        <v>441</v>
      </c>
      <c r="E191" s="1701">
        <v>6.4333333333333336</v>
      </c>
      <c r="F191" s="1701">
        <v>5.833333333333333</v>
      </c>
      <c r="G191" s="1701">
        <v>6.4333333333333336</v>
      </c>
      <c r="H191" s="1702">
        <v>7.333333333333333</v>
      </c>
      <c r="I191" s="1703">
        <v>6.3</v>
      </c>
      <c r="J191" s="1701">
        <v>5.7</v>
      </c>
      <c r="K191" s="1704">
        <v>6.8</v>
      </c>
      <c r="L191" s="1705">
        <v>6.9</v>
      </c>
      <c r="M191" s="1764">
        <v>6.6</v>
      </c>
      <c r="N191" s="1707"/>
      <c r="O191" s="1707"/>
      <c r="P191" s="846"/>
      <c r="Q191" s="2030">
        <v>5.7</v>
      </c>
      <c r="R191" s="304">
        <v>4.9000000000000004</v>
      </c>
      <c r="S191" s="304">
        <v>4.6829999999999998</v>
      </c>
      <c r="T191" s="319">
        <v>7.6</v>
      </c>
      <c r="U191" s="361">
        <v>8</v>
      </c>
      <c r="V191" s="319">
        <v>5.6</v>
      </c>
      <c r="W191" s="319">
        <v>6.78</v>
      </c>
      <c r="X191" s="319">
        <v>7.35</v>
      </c>
      <c r="Y191" s="2863">
        <v>7.3</v>
      </c>
      <c r="Z191" s="319">
        <v>5.6</v>
      </c>
      <c r="AA191" s="319"/>
      <c r="AB191" s="319">
        <v>6.5666666666666664</v>
      </c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/>
      <c r="CI191" s="61"/>
      <c r="CJ191" s="61"/>
      <c r="CK191" s="61"/>
      <c r="CL191" s="61"/>
      <c r="CM191" s="61"/>
      <c r="DF191" s="61"/>
      <c r="DG191" s="61"/>
      <c r="DH191" s="61"/>
      <c r="DI191" s="61"/>
      <c r="DJ191" s="61"/>
      <c r="DK191" s="61"/>
      <c r="DL191" s="61"/>
      <c r="DM191" s="61"/>
      <c r="DN191" s="61"/>
      <c r="DO191" s="61"/>
      <c r="DP191" s="61"/>
      <c r="DQ191" s="61"/>
      <c r="DR191" s="61"/>
      <c r="DS191" s="61"/>
      <c r="DT191" s="61"/>
      <c r="DU191" s="61"/>
      <c r="DV191" s="61"/>
      <c r="DW191" s="61"/>
      <c r="DX191" s="61"/>
      <c r="DY191" s="61"/>
      <c r="DZ191" s="61"/>
      <c r="EA191" s="61"/>
      <c r="EB191" s="61"/>
      <c r="EC191" s="61"/>
      <c r="ED191" s="61"/>
      <c r="EE191" s="61"/>
      <c r="EF191" s="61"/>
      <c r="EG191" s="61"/>
      <c r="EH191" s="61"/>
      <c r="EI191" s="61"/>
      <c r="EJ191" s="61"/>
      <c r="EK191" s="61"/>
    </row>
    <row r="192" spans="1:141" s="79" customFormat="1">
      <c r="A192" s="1708"/>
      <c r="B192" s="1708"/>
      <c r="C192" s="1709"/>
      <c r="D192" s="1717" t="s">
        <v>442</v>
      </c>
      <c r="E192" s="1701"/>
      <c r="F192" s="1701"/>
      <c r="G192" s="1701"/>
      <c r="H192" s="1702"/>
      <c r="I192" s="1703"/>
      <c r="J192" s="1701"/>
      <c r="K192" s="1704"/>
      <c r="L192" s="1705"/>
      <c r="M192" s="1764"/>
      <c r="N192" s="1707"/>
      <c r="O192" s="1707"/>
      <c r="P192" s="846"/>
      <c r="Q192" s="2030"/>
      <c r="R192" s="304"/>
      <c r="S192" s="304"/>
      <c r="T192" s="319"/>
      <c r="U192" s="361"/>
      <c r="V192" s="319"/>
      <c r="W192" s="319"/>
      <c r="X192" s="319"/>
      <c r="Y192" s="2863"/>
      <c r="Z192" s="319"/>
      <c r="AA192" s="319"/>
      <c r="AB192" s="319">
        <v>8.2333333333333325</v>
      </c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DF192" s="61"/>
      <c r="DG192" s="61"/>
      <c r="DH192" s="61"/>
      <c r="DI192" s="61"/>
      <c r="DJ192" s="61"/>
      <c r="DK192" s="61"/>
      <c r="DL192" s="61"/>
      <c r="DM192" s="61"/>
      <c r="DN192" s="61"/>
      <c r="DO192" s="61"/>
      <c r="DP192" s="61"/>
      <c r="DQ192" s="61"/>
      <c r="DR192" s="61"/>
      <c r="DS192" s="61"/>
      <c r="DT192" s="61"/>
      <c r="DU192" s="61"/>
      <c r="DV192" s="61"/>
      <c r="DW192" s="61"/>
      <c r="DX192" s="61"/>
      <c r="DY192" s="61"/>
      <c r="DZ192" s="61"/>
      <c r="EA192" s="61"/>
      <c r="EB192" s="61"/>
      <c r="EC192" s="61"/>
      <c r="ED192" s="61"/>
      <c r="EE192" s="61"/>
      <c r="EF192" s="61"/>
      <c r="EG192" s="61"/>
      <c r="EH192" s="61"/>
      <c r="EI192" s="61"/>
      <c r="EJ192" s="61"/>
      <c r="EK192" s="61"/>
    </row>
    <row r="193" spans="1:108">
      <c r="A193" s="773"/>
      <c r="B193" s="773"/>
      <c r="C193" s="210"/>
      <c r="D193" s="1717" t="s">
        <v>443</v>
      </c>
      <c r="E193" s="1796">
        <v>0.05</v>
      </c>
      <c r="F193" s="1796">
        <v>1.2333333333333332</v>
      </c>
      <c r="G193" s="1796">
        <v>1.0333333333333301</v>
      </c>
      <c r="H193" s="1797">
        <v>1.8333333333333333</v>
      </c>
      <c r="I193" s="1798">
        <v>3.6</v>
      </c>
      <c r="J193" s="1796">
        <v>1.7</v>
      </c>
      <c r="K193" s="1759">
        <v>4</v>
      </c>
      <c r="L193" s="1760">
        <v>0.6</v>
      </c>
      <c r="M193" s="1764">
        <v>1.9</v>
      </c>
      <c r="N193" s="1765"/>
      <c r="O193" s="1765"/>
      <c r="P193" s="846"/>
      <c r="Q193" s="2030">
        <v>2.6</v>
      </c>
      <c r="R193" s="304">
        <v>1.18</v>
      </c>
      <c r="S193" s="304">
        <v>2.4500000000000002</v>
      </c>
      <c r="T193" s="319">
        <v>3.1</v>
      </c>
      <c r="U193" s="361">
        <v>3.83</v>
      </c>
      <c r="V193" s="319">
        <v>5</v>
      </c>
      <c r="W193" s="319">
        <v>4.33</v>
      </c>
      <c r="X193" s="319">
        <v>2.4900000000000002</v>
      </c>
      <c r="Y193" s="2863">
        <v>2.61</v>
      </c>
      <c r="Z193" s="319">
        <v>0.05</v>
      </c>
      <c r="AA193" s="319"/>
      <c r="AB193" s="319">
        <v>0.23333333333333336</v>
      </c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26"/>
      <c r="CJ193" s="26"/>
      <c r="CK193" s="26"/>
      <c r="CL193" s="26"/>
      <c r="CM193" s="26"/>
    </row>
    <row r="194" spans="1:108" s="3454" customFormat="1">
      <c r="A194" s="773"/>
      <c r="B194" s="773"/>
      <c r="C194" s="210"/>
      <c r="D194" s="1717" t="s">
        <v>444</v>
      </c>
      <c r="E194" s="1796"/>
      <c r="F194" s="1796"/>
      <c r="G194" s="1796"/>
      <c r="H194" s="1797"/>
      <c r="I194" s="1798"/>
      <c r="J194" s="1796"/>
      <c r="K194" s="1759"/>
      <c r="L194" s="1760"/>
      <c r="M194" s="1764"/>
      <c r="N194" s="1765"/>
      <c r="O194" s="1765"/>
      <c r="P194" s="846"/>
      <c r="Q194" s="2030"/>
      <c r="R194" s="304"/>
      <c r="S194" s="304"/>
      <c r="T194" s="319"/>
      <c r="U194" s="361"/>
      <c r="V194" s="319"/>
      <c r="W194" s="319"/>
      <c r="X194" s="319"/>
      <c r="Y194" s="2863"/>
      <c r="Z194" s="319"/>
      <c r="AA194" s="319"/>
      <c r="AB194" s="319">
        <v>1.3333333333333333</v>
      </c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26"/>
      <c r="CJ194" s="26"/>
      <c r="CK194" s="26"/>
      <c r="CL194" s="26"/>
      <c r="CM194" s="26"/>
    </row>
    <row r="195" spans="1:108" s="3454" customFormat="1">
      <c r="A195" s="773"/>
      <c r="B195" s="773"/>
      <c r="C195" s="210"/>
      <c r="D195" s="1717" t="s">
        <v>445</v>
      </c>
      <c r="E195" s="1796"/>
      <c r="F195" s="1796"/>
      <c r="G195" s="1796"/>
      <c r="H195" s="1797"/>
      <c r="I195" s="1798"/>
      <c r="J195" s="1796"/>
      <c r="K195" s="1759"/>
      <c r="L195" s="1760"/>
      <c r="M195" s="1764"/>
      <c r="N195" s="1765"/>
      <c r="O195" s="1765"/>
      <c r="P195" s="846"/>
      <c r="Q195" s="2030"/>
      <c r="R195" s="304"/>
      <c r="S195" s="304"/>
      <c r="T195" s="319"/>
      <c r="U195" s="361"/>
      <c r="V195" s="319"/>
      <c r="W195" s="319"/>
      <c r="X195" s="319"/>
      <c r="Y195" s="2863"/>
      <c r="Z195" s="319"/>
      <c r="AA195" s="319"/>
      <c r="AB195" s="319">
        <v>5.8</v>
      </c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26"/>
      <c r="CJ195" s="26"/>
      <c r="CK195" s="26"/>
      <c r="CL195" s="26"/>
      <c r="CM195" s="26"/>
    </row>
    <row r="196" spans="1:108">
      <c r="A196" s="773"/>
      <c r="B196" s="773"/>
      <c r="C196" s="210"/>
      <c r="D196" s="1717" t="s">
        <v>91</v>
      </c>
      <c r="E196" s="1796">
        <v>2.4</v>
      </c>
      <c r="F196" s="1796">
        <v>5.7666666666666657</v>
      </c>
      <c r="G196" s="1796">
        <v>6.8</v>
      </c>
      <c r="H196" s="1797">
        <v>6.833333333333333</v>
      </c>
      <c r="I196" s="1798">
        <v>5.8</v>
      </c>
      <c r="J196" s="1796">
        <v>8.8000000000000007</v>
      </c>
      <c r="K196" s="1759">
        <v>6.8</v>
      </c>
      <c r="L196" s="1760">
        <v>4.5</v>
      </c>
      <c r="M196" s="1764">
        <v>3.3</v>
      </c>
      <c r="N196" s="1765"/>
      <c r="O196" s="1765"/>
      <c r="P196" s="846"/>
      <c r="Q196" s="370">
        <v>5.87</v>
      </c>
      <c r="R196" s="304">
        <v>7.87</v>
      </c>
      <c r="S196" s="304">
        <v>7.3</v>
      </c>
      <c r="T196" s="319">
        <v>5.8</v>
      </c>
      <c r="U196" s="361">
        <v>6.2</v>
      </c>
      <c r="V196" s="319">
        <v>5.77</v>
      </c>
      <c r="W196" s="319">
        <v>6.04</v>
      </c>
      <c r="X196" s="319">
        <v>6.04</v>
      </c>
      <c r="Y196" s="2863">
        <v>7.73</v>
      </c>
      <c r="Z196" s="319"/>
      <c r="AA196" s="319"/>
      <c r="AB196" s="319" t="e">
        <v>#DIV/0!</v>
      </c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/>
      <c r="CI196" s="26"/>
      <c r="CJ196" s="26"/>
      <c r="CK196" s="26"/>
      <c r="CL196" s="26"/>
      <c r="CM196" s="26"/>
    </row>
    <row r="197" spans="1:108" s="3269" customFormat="1">
      <c r="A197" s="773"/>
      <c r="B197" s="773"/>
      <c r="C197" s="210"/>
      <c r="D197" s="1700" t="s">
        <v>409</v>
      </c>
      <c r="E197" s="1796"/>
      <c r="F197" s="1796"/>
      <c r="G197" s="1796"/>
      <c r="H197" s="1797"/>
      <c r="I197" s="1798"/>
      <c r="J197" s="1796"/>
      <c r="K197" s="1759"/>
      <c r="L197" s="1760"/>
      <c r="M197" s="1764"/>
      <c r="N197" s="1765"/>
      <c r="O197" s="1765"/>
      <c r="P197" s="846"/>
      <c r="Q197" s="370"/>
      <c r="R197" s="304"/>
      <c r="S197" s="304"/>
      <c r="T197" s="319"/>
      <c r="U197" s="361"/>
      <c r="V197" s="319"/>
      <c r="W197" s="319"/>
      <c r="X197" s="319"/>
      <c r="Y197" s="2863"/>
      <c r="Z197" s="3277">
        <v>9.67</v>
      </c>
      <c r="AA197" s="319"/>
      <c r="AB197" s="319">
        <v>4.7666666666666666</v>
      </c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26"/>
      <c r="CJ197" s="26"/>
      <c r="CK197" s="26"/>
      <c r="CL197" s="26"/>
      <c r="CM197" s="26"/>
    </row>
    <row r="198" spans="1:108" s="3269" customFormat="1">
      <c r="A198" s="773"/>
      <c r="B198" s="773"/>
      <c r="C198" s="210"/>
      <c r="D198" s="1700" t="s">
        <v>410</v>
      </c>
      <c r="E198" s="1796"/>
      <c r="F198" s="1796"/>
      <c r="G198" s="1796"/>
      <c r="H198" s="1797"/>
      <c r="I198" s="1798"/>
      <c r="J198" s="1796"/>
      <c r="K198" s="1759"/>
      <c r="L198" s="1760"/>
      <c r="M198" s="1764"/>
      <c r="N198" s="1765"/>
      <c r="O198" s="1765"/>
      <c r="P198" s="846"/>
      <c r="Q198" s="370"/>
      <c r="R198" s="304"/>
      <c r="S198" s="304"/>
      <c r="T198" s="319"/>
      <c r="U198" s="361"/>
      <c r="V198" s="319"/>
      <c r="W198" s="319"/>
      <c r="X198" s="319"/>
      <c r="Y198" s="2863"/>
      <c r="Z198" s="3277">
        <v>7.03</v>
      </c>
      <c r="AA198" s="319"/>
      <c r="AB198" s="319">
        <v>7.9666666666666659</v>
      </c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26"/>
      <c r="CJ198" s="26"/>
      <c r="CK198" s="26"/>
      <c r="CL198" s="26"/>
      <c r="CM198" s="26"/>
    </row>
    <row r="199" spans="1:108" s="3269" customFormat="1">
      <c r="A199" s="773"/>
      <c r="B199" s="773"/>
      <c r="C199" s="210"/>
      <c r="D199" s="1700" t="s">
        <v>411</v>
      </c>
      <c r="E199" s="1796"/>
      <c r="F199" s="1796"/>
      <c r="G199" s="1796"/>
      <c r="H199" s="1797"/>
      <c r="I199" s="1798"/>
      <c r="J199" s="1796"/>
      <c r="K199" s="1759"/>
      <c r="L199" s="1760"/>
      <c r="M199" s="1764"/>
      <c r="N199" s="1765"/>
      <c r="O199" s="1765"/>
      <c r="P199" s="846"/>
      <c r="Q199" s="370"/>
      <c r="R199" s="304"/>
      <c r="S199" s="304"/>
      <c r="T199" s="319"/>
      <c r="U199" s="361"/>
      <c r="V199" s="319"/>
      <c r="W199" s="319"/>
      <c r="X199" s="319"/>
      <c r="Y199" s="2863"/>
      <c r="Z199" s="2863">
        <v>7.1</v>
      </c>
      <c r="AA199" s="319"/>
      <c r="AB199" s="319" t="e">
        <v>#DIV/0!</v>
      </c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26"/>
      <c r="CJ199" s="26"/>
      <c r="CK199" s="26"/>
      <c r="CL199" s="26"/>
      <c r="CM199" s="26"/>
    </row>
    <row r="200" spans="1:108">
      <c r="A200" s="773"/>
      <c r="B200" s="773"/>
      <c r="C200" s="210"/>
      <c r="D200" s="99" t="s">
        <v>108</v>
      </c>
      <c r="E200" s="1799">
        <v>1.45</v>
      </c>
      <c r="F200" s="1799">
        <v>0.48333333333333339</v>
      </c>
      <c r="G200" s="1799">
        <v>1.9</v>
      </c>
      <c r="H200" s="1800">
        <v>2.9333333333333331</v>
      </c>
      <c r="I200" s="1801"/>
      <c r="J200" s="1799"/>
      <c r="K200" s="42"/>
      <c r="L200" s="641"/>
      <c r="M200" s="393"/>
      <c r="N200" s="394">
        <v>0.6</v>
      </c>
      <c r="O200" s="394">
        <v>0.7</v>
      </c>
      <c r="P200" s="846"/>
      <c r="Q200" s="2030">
        <v>0.5</v>
      </c>
      <c r="R200" s="304"/>
      <c r="S200" s="304"/>
      <c r="T200" s="319">
        <v>3.1</v>
      </c>
      <c r="U200" s="361">
        <v>3.67</v>
      </c>
      <c r="V200" s="319">
        <v>3.9</v>
      </c>
      <c r="W200" s="319">
        <v>2.87</v>
      </c>
      <c r="X200" s="319">
        <v>0.6</v>
      </c>
      <c r="Y200" s="2863">
        <v>1.45</v>
      </c>
      <c r="Z200" s="319">
        <v>1.3</v>
      </c>
      <c r="AA200" s="319"/>
      <c r="AB200" s="319">
        <v>1.2166666666666666</v>
      </c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</row>
    <row r="201" spans="1:108" ht="15.75" thickBot="1">
      <c r="A201" s="121"/>
      <c r="B201" s="121"/>
      <c r="C201" s="218"/>
      <c r="D201" s="1723" t="s">
        <v>446</v>
      </c>
      <c r="E201" s="1802">
        <v>0.05</v>
      </c>
      <c r="F201" s="1802">
        <v>0.05</v>
      </c>
      <c r="G201" s="1802">
        <v>0.16666666666666666</v>
      </c>
      <c r="H201" s="1803">
        <v>0.35</v>
      </c>
      <c r="I201" s="1804">
        <v>0.1</v>
      </c>
      <c r="J201" s="1802">
        <v>0.1</v>
      </c>
      <c r="K201" s="1769">
        <v>0.1</v>
      </c>
      <c r="L201" s="1770">
        <v>0.1</v>
      </c>
      <c r="M201" s="1764">
        <v>0.1</v>
      </c>
      <c r="N201" s="1765"/>
      <c r="O201" s="1765"/>
      <c r="P201" s="846"/>
      <c r="Q201" s="2362">
        <v>0.1</v>
      </c>
      <c r="R201" s="540">
        <v>0.05</v>
      </c>
      <c r="S201" s="540">
        <v>0.43</v>
      </c>
      <c r="T201" s="541">
        <v>0.1</v>
      </c>
      <c r="U201" s="397">
        <v>0.1</v>
      </c>
      <c r="V201" s="541">
        <v>0.05</v>
      </c>
      <c r="W201" s="541">
        <v>2.59</v>
      </c>
      <c r="X201" s="541">
        <v>1.58</v>
      </c>
      <c r="Y201" s="2863">
        <v>2.74</v>
      </c>
      <c r="Z201" s="541">
        <v>0.05</v>
      </c>
      <c r="AA201" s="541"/>
      <c r="AB201" s="541">
        <v>5.000000000000001E-2</v>
      </c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</row>
    <row r="202" spans="1:108" s="3454" customFormat="1" ht="15.75" thickBot="1">
      <c r="A202" s="121"/>
      <c r="B202" s="121"/>
      <c r="C202" s="218"/>
      <c r="D202" s="1723" t="s">
        <v>447</v>
      </c>
      <c r="E202" s="3470"/>
      <c r="F202" s="3470"/>
      <c r="G202" s="3470"/>
      <c r="H202" s="3470"/>
      <c r="I202" s="3470"/>
      <c r="J202" s="3470"/>
      <c r="K202" s="3464"/>
      <c r="L202" s="3464"/>
      <c r="M202" s="3456"/>
      <c r="N202" s="3456"/>
      <c r="O202" s="3456"/>
      <c r="P202" s="3465"/>
      <c r="Q202" s="143"/>
      <c r="R202" s="61"/>
      <c r="S202" s="61"/>
      <c r="T202" s="61"/>
      <c r="U202" s="143"/>
      <c r="V202" s="61"/>
      <c r="W202" s="61"/>
      <c r="X202" s="61"/>
      <c r="Y202" s="61"/>
      <c r="Z202" s="61"/>
      <c r="AA202" s="61"/>
      <c r="AB202" s="61">
        <v>5</v>
      </c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</row>
    <row r="203" spans="1:108" s="3454" customFormat="1" ht="15.75" thickBot="1">
      <c r="A203" s="121"/>
      <c r="B203" s="121"/>
      <c r="C203" s="218"/>
      <c r="D203" s="1723" t="s">
        <v>434</v>
      </c>
      <c r="E203" s="3470"/>
      <c r="F203" s="3470"/>
      <c r="G203" s="3470"/>
      <c r="H203" s="3470"/>
      <c r="I203" s="3470"/>
      <c r="J203" s="3470"/>
      <c r="K203" s="3464"/>
      <c r="L203" s="3464"/>
      <c r="M203" s="3456"/>
      <c r="N203" s="3456"/>
      <c r="O203" s="3456"/>
      <c r="P203" s="3465"/>
      <c r="Q203" s="143"/>
      <c r="R203" s="61"/>
      <c r="S203" s="61"/>
      <c r="T203" s="61"/>
      <c r="U203" s="143"/>
      <c r="V203" s="61"/>
      <c r="W203" s="61"/>
      <c r="X203" s="61"/>
      <c r="Y203" s="61"/>
      <c r="Z203" s="61"/>
      <c r="AA203" s="61"/>
      <c r="AB203" s="61">
        <v>4.6000000000000005</v>
      </c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</row>
    <row r="204" spans="1:108" s="4" customFormat="1">
      <c r="A204" s="114"/>
      <c r="B204" s="114"/>
      <c r="C204" s="114"/>
      <c r="D204" s="775" t="s">
        <v>285</v>
      </c>
      <c r="E204" s="1025">
        <f>COUNTIF(E166:E201,"&gt;=5")</f>
        <v>8</v>
      </c>
      <c r="F204" s="1025">
        <f t="shared" ref="F204:U204" si="39">COUNTIF(F166:F201,"&gt;=5")</f>
        <v>8</v>
      </c>
      <c r="G204" s="1025">
        <f t="shared" si="39"/>
        <v>9</v>
      </c>
      <c r="H204" s="1025">
        <f t="shared" si="39"/>
        <v>12</v>
      </c>
      <c r="I204" s="1025">
        <f t="shared" si="39"/>
        <v>8</v>
      </c>
      <c r="J204" s="1025">
        <f t="shared" si="39"/>
        <v>6</v>
      </c>
      <c r="K204" s="1025">
        <f t="shared" si="39"/>
        <v>11</v>
      </c>
      <c r="L204" s="1025">
        <f t="shared" si="39"/>
        <v>8</v>
      </c>
      <c r="M204" s="1025">
        <f t="shared" si="39"/>
        <v>7</v>
      </c>
      <c r="N204" s="1025">
        <f t="shared" si="39"/>
        <v>3</v>
      </c>
      <c r="O204" s="1025">
        <f t="shared" si="39"/>
        <v>7</v>
      </c>
      <c r="P204" s="1025">
        <f t="shared" si="39"/>
        <v>0</v>
      </c>
      <c r="Q204" s="1025">
        <f t="shared" si="39"/>
        <v>8</v>
      </c>
      <c r="R204" s="1025">
        <f t="shared" si="39"/>
        <v>7</v>
      </c>
      <c r="S204" s="1025">
        <f t="shared" si="39"/>
        <v>13</v>
      </c>
      <c r="T204" s="1025">
        <f t="shared" si="39"/>
        <v>10</v>
      </c>
      <c r="U204" s="1025">
        <f t="shared" si="39"/>
        <v>9</v>
      </c>
      <c r="V204" s="1025">
        <f t="shared" ref="V204:AA204" si="40">COUNTIF(V166:V201,"&gt;=5")</f>
        <v>8</v>
      </c>
      <c r="W204" s="1025">
        <f t="shared" si="40"/>
        <v>7</v>
      </c>
      <c r="X204" s="1025">
        <f t="shared" si="40"/>
        <v>7</v>
      </c>
      <c r="Y204" s="1025">
        <f t="shared" si="40"/>
        <v>10</v>
      </c>
      <c r="Z204" s="1025">
        <f t="shared" si="40"/>
        <v>11</v>
      </c>
      <c r="AA204" s="1025">
        <f t="shared" si="40"/>
        <v>0</v>
      </c>
      <c r="AB204" s="1025">
        <f>COUNTIF(AB166:AB203,"&gt;=5")</f>
        <v>13</v>
      </c>
      <c r="BE204" s="83"/>
      <c r="BF204" s="83"/>
      <c r="BG204" s="83"/>
      <c r="BH204" s="83"/>
      <c r="BI204" s="83"/>
      <c r="BJ204" s="83"/>
      <c r="BK204" s="83"/>
      <c r="BL204" s="83"/>
      <c r="BM204" s="83"/>
      <c r="BN204" s="83"/>
      <c r="BO204" s="83"/>
      <c r="BP204" s="83"/>
      <c r="BQ204" s="83"/>
      <c r="BR204" s="83"/>
      <c r="BS204" s="83"/>
      <c r="BT204" s="83"/>
      <c r="BU204" s="83"/>
      <c r="BV204" s="83"/>
      <c r="BW204" s="83"/>
      <c r="BX204" s="83"/>
      <c r="BY204" s="83"/>
      <c r="CH204" s="83"/>
      <c r="CI204" s="83"/>
      <c r="CJ204" s="83"/>
      <c r="CK204" s="83"/>
      <c r="CL204" s="83"/>
      <c r="CM204" s="83"/>
      <c r="CN204" s="83"/>
      <c r="CO204" s="83"/>
      <c r="CP204" s="83"/>
      <c r="CQ204" s="83"/>
      <c r="CR204" s="83"/>
      <c r="CS204" s="83"/>
      <c r="CT204" s="83"/>
      <c r="CU204" s="83"/>
      <c r="CV204" s="83"/>
      <c r="CW204" s="83"/>
      <c r="CX204" s="83"/>
      <c r="CY204" s="83"/>
      <c r="CZ204" s="83"/>
      <c r="DA204" s="83"/>
      <c r="DB204" s="83"/>
      <c r="DC204" s="83"/>
      <c r="DD204" s="83"/>
    </row>
    <row r="205" spans="1:108" s="4" customFormat="1">
      <c r="A205" s="114"/>
      <c r="B205" s="114"/>
      <c r="C205" s="114"/>
      <c r="D205" s="775" t="s">
        <v>287</v>
      </c>
      <c r="E205" s="1027">
        <f>COUNT(E166:E201)</f>
        <v>25</v>
      </c>
      <c r="F205" s="1027">
        <f t="shared" ref="F205:U205" si="41">COUNT(F166:F201)</f>
        <v>25</v>
      </c>
      <c r="G205" s="1027">
        <f t="shared" si="41"/>
        <v>25</v>
      </c>
      <c r="H205" s="1027">
        <f t="shared" si="41"/>
        <v>25</v>
      </c>
      <c r="I205" s="1027">
        <f t="shared" si="41"/>
        <v>26</v>
      </c>
      <c r="J205" s="1027">
        <f t="shared" si="41"/>
        <v>25</v>
      </c>
      <c r="K205" s="1027">
        <f t="shared" si="41"/>
        <v>26</v>
      </c>
      <c r="L205" s="1027">
        <f t="shared" si="41"/>
        <v>26</v>
      </c>
      <c r="M205" s="1027">
        <f t="shared" si="41"/>
        <v>23</v>
      </c>
      <c r="N205" s="1027">
        <f t="shared" si="41"/>
        <v>18</v>
      </c>
      <c r="O205" s="1027">
        <f t="shared" si="41"/>
        <v>19</v>
      </c>
      <c r="P205" s="1027">
        <f t="shared" si="41"/>
        <v>0</v>
      </c>
      <c r="Q205" s="1027">
        <f t="shared" si="41"/>
        <v>25</v>
      </c>
      <c r="R205" s="1027">
        <f t="shared" si="41"/>
        <v>24</v>
      </c>
      <c r="S205" s="1027">
        <f t="shared" si="41"/>
        <v>25</v>
      </c>
      <c r="T205" s="1027">
        <f t="shared" si="41"/>
        <v>26</v>
      </c>
      <c r="U205" s="1027">
        <f t="shared" si="41"/>
        <v>25</v>
      </c>
      <c r="V205" s="1027">
        <f t="shared" ref="V205:AA205" si="42">COUNT(V166:V201)</f>
        <v>24</v>
      </c>
      <c r="W205" s="1027">
        <f t="shared" si="42"/>
        <v>25</v>
      </c>
      <c r="X205" s="1027">
        <f t="shared" si="42"/>
        <v>26</v>
      </c>
      <c r="Y205" s="1027">
        <f t="shared" si="42"/>
        <v>25</v>
      </c>
      <c r="Z205" s="1027">
        <f t="shared" si="42"/>
        <v>27</v>
      </c>
      <c r="AA205" s="1027">
        <f t="shared" si="42"/>
        <v>0</v>
      </c>
      <c r="AB205" s="1027">
        <f>COUNT(AB166:AB203)</f>
        <v>34</v>
      </c>
      <c r="BE205" s="83"/>
      <c r="BF205" s="83"/>
      <c r="BG205" s="83"/>
      <c r="BH205" s="83"/>
      <c r="BI205" s="83"/>
      <c r="BJ205" s="83"/>
      <c r="BK205" s="83"/>
      <c r="BL205" s="83"/>
      <c r="BM205" s="83"/>
      <c r="BN205" s="83"/>
      <c r="BO205" s="83"/>
      <c r="BP205" s="83"/>
      <c r="BQ205" s="83"/>
      <c r="BR205" s="83"/>
      <c r="BS205" s="83"/>
      <c r="BT205" s="83"/>
      <c r="BU205" s="83"/>
      <c r="BV205" s="83"/>
      <c r="BW205" s="83"/>
      <c r="BX205" s="83"/>
      <c r="BY205" s="83"/>
      <c r="CH205" s="83"/>
      <c r="CI205" s="83"/>
      <c r="CJ205" s="83"/>
      <c r="CK205" s="83"/>
      <c r="CL205" s="83"/>
      <c r="CM205" s="83"/>
      <c r="CN205" s="83"/>
      <c r="CO205" s="83"/>
      <c r="CP205" s="83"/>
      <c r="CQ205" s="83"/>
      <c r="CR205" s="83"/>
      <c r="CS205" s="83"/>
      <c r="CT205" s="83"/>
      <c r="CU205" s="83"/>
      <c r="CV205" s="83"/>
      <c r="CW205" s="83"/>
      <c r="CX205" s="83"/>
      <c r="CY205" s="83"/>
      <c r="CZ205" s="83"/>
      <c r="DA205" s="83"/>
      <c r="DB205" s="83"/>
      <c r="DC205" s="83"/>
      <c r="DD205" s="83"/>
    </row>
    <row r="206" spans="1:108" s="4" customFormat="1">
      <c r="A206" s="114"/>
      <c r="B206" s="114"/>
      <c r="C206" s="114"/>
      <c r="D206" s="775" t="s">
        <v>286</v>
      </c>
      <c r="E206" s="1026">
        <f t="shared" ref="E206:U206" si="43">E204/E205</f>
        <v>0.32</v>
      </c>
      <c r="F206" s="1026">
        <f t="shared" si="43"/>
        <v>0.32</v>
      </c>
      <c r="G206" s="1026">
        <f t="shared" si="43"/>
        <v>0.36</v>
      </c>
      <c r="H206" s="1026">
        <f t="shared" si="43"/>
        <v>0.48</v>
      </c>
      <c r="I206" s="1026">
        <f t="shared" si="43"/>
        <v>0.30769230769230771</v>
      </c>
      <c r="J206" s="1026">
        <f t="shared" si="43"/>
        <v>0.24</v>
      </c>
      <c r="K206" s="1026">
        <f t="shared" si="43"/>
        <v>0.42307692307692307</v>
      </c>
      <c r="L206" s="1026">
        <f t="shared" si="43"/>
        <v>0.30769230769230771</v>
      </c>
      <c r="M206" s="1026">
        <f t="shared" si="43"/>
        <v>0.30434782608695654</v>
      </c>
      <c r="N206" s="1026">
        <f t="shared" si="43"/>
        <v>0.16666666666666666</v>
      </c>
      <c r="O206" s="1026">
        <f t="shared" si="43"/>
        <v>0.36842105263157893</v>
      </c>
      <c r="P206" s="1026" t="e">
        <f t="shared" si="43"/>
        <v>#DIV/0!</v>
      </c>
      <c r="Q206" s="1026">
        <f t="shared" si="43"/>
        <v>0.32</v>
      </c>
      <c r="R206" s="1026">
        <f t="shared" si="43"/>
        <v>0.29166666666666669</v>
      </c>
      <c r="S206" s="1026">
        <f t="shared" si="43"/>
        <v>0.52</v>
      </c>
      <c r="T206" s="1026">
        <f t="shared" si="43"/>
        <v>0.38461538461538464</v>
      </c>
      <c r="U206" s="1026">
        <f t="shared" si="43"/>
        <v>0.36</v>
      </c>
      <c r="V206" s="1026">
        <f t="shared" ref="V206:AB206" si="44">V204/V205</f>
        <v>0.33333333333333331</v>
      </c>
      <c r="W206" s="1026">
        <f t="shared" si="44"/>
        <v>0.28000000000000003</v>
      </c>
      <c r="X206" s="1026">
        <f t="shared" si="44"/>
        <v>0.26923076923076922</v>
      </c>
      <c r="Y206" s="1026">
        <f t="shared" si="44"/>
        <v>0.4</v>
      </c>
      <c r="Z206" s="1026">
        <f t="shared" si="44"/>
        <v>0.40740740740740738</v>
      </c>
      <c r="AA206" s="1026" t="e">
        <f t="shared" si="44"/>
        <v>#DIV/0!</v>
      </c>
      <c r="AB206" s="1026">
        <f t="shared" si="44"/>
        <v>0.38235294117647056</v>
      </c>
      <c r="BE206" s="83"/>
      <c r="BF206" s="83"/>
      <c r="BG206" s="83"/>
      <c r="BH206" s="83"/>
      <c r="BI206" s="83"/>
      <c r="BJ206" s="83"/>
      <c r="BK206" s="83"/>
      <c r="BL206" s="83"/>
      <c r="BM206" s="83"/>
      <c r="BN206" s="83"/>
      <c r="BO206" s="83"/>
      <c r="BP206" s="83"/>
      <c r="BQ206" s="83"/>
      <c r="BR206" s="83"/>
      <c r="BS206" s="83"/>
      <c r="BT206" s="83"/>
      <c r="BU206" s="83"/>
      <c r="BV206" s="83"/>
      <c r="BW206" s="83"/>
      <c r="BX206" s="83"/>
      <c r="BY206" s="83"/>
      <c r="CH206" s="83"/>
      <c r="CI206" s="83"/>
      <c r="CJ206" s="83"/>
      <c r="CK206" s="83"/>
      <c r="CL206" s="83"/>
      <c r="CM206" s="83"/>
      <c r="CN206" s="83"/>
      <c r="CO206" s="83"/>
      <c r="CP206" s="83"/>
      <c r="CQ206" s="83"/>
      <c r="CR206" s="83"/>
      <c r="CS206" s="83"/>
      <c r="CT206" s="83"/>
      <c r="CU206" s="83"/>
      <c r="CV206" s="83"/>
      <c r="CW206" s="83"/>
      <c r="CX206" s="83"/>
      <c r="CY206" s="83"/>
      <c r="CZ206" s="83"/>
      <c r="DA206" s="83"/>
      <c r="DB206" s="83"/>
      <c r="DC206" s="83"/>
      <c r="DD206" s="83"/>
    </row>
    <row r="207" spans="1:108" s="4" customFormat="1">
      <c r="A207" s="776"/>
      <c r="B207" s="776"/>
      <c r="C207" s="1090"/>
      <c r="D207" s="1088" t="s">
        <v>296</v>
      </c>
      <c r="E207" s="1059">
        <f>COUNTA(D166:D201)</f>
        <v>36</v>
      </c>
      <c r="F207" s="1091"/>
      <c r="G207" s="1091"/>
      <c r="H207" s="1091"/>
      <c r="I207" s="1091"/>
      <c r="J207" s="1092"/>
      <c r="K207" s="1091"/>
      <c r="L207" s="1093"/>
      <c r="M207" s="776"/>
      <c r="N207" s="776"/>
      <c r="O207" s="776"/>
      <c r="P207" s="776"/>
      <c r="Q207" s="776"/>
      <c r="R207" s="776"/>
      <c r="S207" s="776"/>
      <c r="T207" s="776"/>
      <c r="U207" s="776"/>
      <c r="V207" s="776"/>
      <c r="W207" s="776"/>
      <c r="X207" s="776"/>
      <c r="Y207" s="776"/>
      <c r="Z207" s="776"/>
      <c r="AA207" s="770"/>
      <c r="AD207" s="50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  <c r="AO207" s="83"/>
      <c r="AP207" s="83"/>
      <c r="AQ207" s="83"/>
      <c r="AR207" s="83"/>
      <c r="AS207" s="83"/>
      <c r="AT207" s="83"/>
      <c r="AU207" s="83"/>
      <c r="AV207" s="83"/>
      <c r="AW207" s="83"/>
      <c r="AX207" s="83"/>
      <c r="AY207" s="83"/>
      <c r="AZ207" s="83"/>
      <c r="BA207" s="83"/>
      <c r="BB207" s="83"/>
      <c r="BC207" s="83"/>
      <c r="BE207" s="50"/>
      <c r="BF207" s="50"/>
      <c r="BG207" s="50"/>
      <c r="BH207" s="83"/>
      <c r="BI207" s="83"/>
      <c r="BJ207" s="83"/>
      <c r="BK207" s="83"/>
      <c r="BL207" s="83"/>
      <c r="BM207" s="83"/>
      <c r="BN207" s="83"/>
      <c r="BO207" s="83"/>
      <c r="BP207" s="83"/>
      <c r="BQ207" s="50"/>
      <c r="BR207" s="50"/>
      <c r="BS207" s="50"/>
      <c r="BT207" s="50"/>
      <c r="BU207" s="50"/>
      <c r="BV207" s="50"/>
      <c r="BW207" s="50"/>
      <c r="BX207" s="50"/>
      <c r="BY207" s="50"/>
      <c r="BZ207" s="50"/>
      <c r="CA207" s="50"/>
      <c r="CB207" s="50"/>
      <c r="CC207" s="50"/>
      <c r="CD207" s="50"/>
      <c r="CE207" s="50"/>
      <c r="CF207" s="50"/>
      <c r="CG207" s="50"/>
      <c r="CH207" s="50"/>
      <c r="CI207" s="50"/>
      <c r="CJ207" s="50"/>
      <c r="CK207" s="50"/>
      <c r="CL207" s="50"/>
      <c r="CM207" s="50"/>
    </row>
    <row r="208" spans="1:108">
      <c r="A208" s="116"/>
      <c r="B208" s="116"/>
      <c r="C208" s="580"/>
      <c r="D208" s="117"/>
      <c r="E208" s="110"/>
      <c r="F208" s="110"/>
      <c r="G208" s="3546" t="s">
        <v>229</v>
      </c>
      <c r="H208" s="3546"/>
      <c r="I208" s="3546"/>
      <c r="J208" s="3546"/>
      <c r="K208" s="107"/>
      <c r="L208" s="112"/>
      <c r="M208" s="107"/>
      <c r="N208" s="107"/>
      <c r="O208" s="3546" t="s">
        <v>229</v>
      </c>
      <c r="P208" s="3546"/>
      <c r="Q208" s="3546"/>
      <c r="R208" s="3546"/>
      <c r="S208" s="107"/>
      <c r="T208" s="107"/>
      <c r="U208" s="107"/>
      <c r="V208" s="107"/>
      <c r="W208" s="107"/>
      <c r="X208" s="107"/>
      <c r="Y208" s="107"/>
      <c r="Z208" s="107"/>
      <c r="AA208" s="767"/>
      <c r="AD208" s="26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E208" s="26"/>
      <c r="BF208" s="26"/>
      <c r="BG208" s="26"/>
      <c r="BH208" s="61"/>
      <c r="BI208" s="61"/>
      <c r="BJ208" s="61"/>
      <c r="BK208" s="61"/>
      <c r="BL208" s="61"/>
      <c r="BM208" s="61"/>
      <c r="BN208" s="61"/>
      <c r="BO208" s="61"/>
      <c r="BP208" s="61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</row>
    <row r="209" spans="1:108" ht="15.75" thickBot="1">
      <c r="A209" s="330"/>
      <c r="B209" s="330"/>
      <c r="C209" s="127"/>
      <c r="D209" s="121"/>
      <c r="E209" s="121"/>
      <c r="F209" s="121"/>
      <c r="G209" s="3546"/>
      <c r="H209" s="3546"/>
      <c r="I209" s="3546"/>
      <c r="J209" s="3546"/>
      <c r="K209" s="107"/>
      <c r="L209" s="120"/>
      <c r="M209" s="107"/>
      <c r="N209" s="107"/>
      <c r="O209" s="3546"/>
      <c r="P209" s="3546"/>
      <c r="Q209" s="3546"/>
      <c r="R209" s="3546"/>
      <c r="S209" s="107"/>
      <c r="T209" s="107"/>
      <c r="U209" s="107"/>
      <c r="V209" s="107"/>
      <c r="W209" s="107"/>
      <c r="X209" s="107"/>
      <c r="Y209" s="107"/>
      <c r="Z209" s="107"/>
      <c r="AA209" s="767"/>
      <c r="AD209" s="26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E209" s="26"/>
      <c r="BF209" s="26"/>
      <c r="BG209" s="26"/>
      <c r="BH209" s="61"/>
      <c r="BI209" s="61"/>
      <c r="BJ209" s="61"/>
      <c r="BK209" s="61"/>
      <c r="BL209" s="61"/>
      <c r="BM209" s="61"/>
      <c r="BN209" s="61"/>
      <c r="BO209" s="61"/>
      <c r="BP209" s="61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</row>
    <row r="210" spans="1:108" ht="15.75" thickBot="1">
      <c r="A210" s="330"/>
      <c r="B210" s="330"/>
      <c r="C210" s="127"/>
      <c r="D210" s="266" t="s">
        <v>168</v>
      </c>
      <c r="E210" s="367">
        <v>5</v>
      </c>
      <c r="F210" s="268">
        <v>5</v>
      </c>
      <c r="G210" s="268">
        <v>5</v>
      </c>
      <c r="H210" s="274">
        <v>5</v>
      </c>
      <c r="I210" s="346">
        <v>5</v>
      </c>
      <c r="J210" s="268">
        <v>5</v>
      </c>
      <c r="K210" s="268">
        <v>5</v>
      </c>
      <c r="L210" s="433">
        <v>5</v>
      </c>
      <c r="M210" s="346">
        <v>5</v>
      </c>
      <c r="N210" s="268">
        <v>5</v>
      </c>
      <c r="O210" s="268">
        <v>5</v>
      </c>
      <c r="P210" s="433">
        <v>5</v>
      </c>
      <c r="Q210" s="367">
        <v>5</v>
      </c>
      <c r="R210" s="268">
        <v>5</v>
      </c>
      <c r="S210" s="268">
        <v>5</v>
      </c>
      <c r="T210" s="433">
        <v>5</v>
      </c>
      <c r="U210" s="433">
        <v>5</v>
      </c>
      <c r="V210" s="433">
        <v>5</v>
      </c>
      <c r="W210" s="433">
        <v>5</v>
      </c>
      <c r="X210" s="433">
        <v>5</v>
      </c>
      <c r="Y210" s="3121">
        <v>5</v>
      </c>
      <c r="Z210" s="3121">
        <v>5</v>
      </c>
      <c r="AA210" s="3121">
        <v>5</v>
      </c>
      <c r="AB210" s="3121">
        <v>5</v>
      </c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E210" s="26"/>
      <c r="BF210" s="26"/>
      <c r="BG210" s="26"/>
      <c r="BH210" s="61"/>
      <c r="BI210" s="61"/>
      <c r="BJ210" s="61"/>
      <c r="BK210" s="61"/>
      <c r="BL210" s="61"/>
      <c r="BM210" s="61"/>
      <c r="BN210" s="61"/>
      <c r="BO210" s="61"/>
      <c r="BP210" s="61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</row>
    <row r="211" spans="1:108" ht="16.5">
      <c r="A211" s="121"/>
      <c r="B211" s="121"/>
      <c r="C211" s="218"/>
      <c r="D211" s="1586" t="s">
        <v>149</v>
      </c>
      <c r="E211" s="650">
        <v>8.1333333333333329</v>
      </c>
      <c r="F211" s="650">
        <v>7.7</v>
      </c>
      <c r="G211" s="673">
        <v>7.1666666666666696</v>
      </c>
      <c r="H211" s="651">
        <v>6.4333333333333336</v>
      </c>
      <c r="I211" s="649">
        <v>8.5</v>
      </c>
      <c r="J211" s="650">
        <v>7.7</v>
      </c>
      <c r="K211" s="650">
        <v>6.7</v>
      </c>
      <c r="L211" s="651">
        <v>7.6</v>
      </c>
      <c r="M211" s="948">
        <v>7</v>
      </c>
      <c r="N211" s="394">
        <v>8.4</v>
      </c>
      <c r="O211" s="394">
        <v>6.1</v>
      </c>
      <c r="P211" s="846"/>
      <c r="Q211" s="2030">
        <v>8.5</v>
      </c>
      <c r="R211" s="2581">
        <v>8.4</v>
      </c>
      <c r="S211" s="304">
        <v>9.77</v>
      </c>
      <c r="T211" s="319">
        <v>7.6</v>
      </c>
      <c r="U211" s="319">
        <v>8.33</v>
      </c>
      <c r="V211" s="319">
        <v>9.0299999999999994</v>
      </c>
      <c r="W211" s="319">
        <v>13.4</v>
      </c>
      <c r="X211" s="319">
        <v>6.77</v>
      </c>
      <c r="Y211" s="2863">
        <v>8.07</v>
      </c>
      <c r="Z211" s="319">
        <v>8.0299999999999994</v>
      </c>
      <c r="AA211" s="319"/>
      <c r="AB211" s="319">
        <v>7.2</v>
      </c>
      <c r="AE211" s="61"/>
      <c r="AF211" s="61"/>
      <c r="AG211" s="61"/>
      <c r="AH211" s="61"/>
      <c r="AI211" s="67"/>
      <c r="AJ211" s="67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7"/>
      <c r="AY211" s="67"/>
      <c r="AZ211" s="61"/>
      <c r="BA211" s="61"/>
      <c r="BB211" s="61"/>
      <c r="BC211" s="61"/>
      <c r="BE211" s="26"/>
      <c r="BF211" s="26"/>
      <c r="BG211" s="26"/>
      <c r="BH211" s="61"/>
      <c r="BI211" s="61"/>
      <c r="BJ211" s="61"/>
      <c r="BK211" s="61"/>
      <c r="BL211" s="61"/>
      <c r="BM211" s="67"/>
      <c r="BN211" s="67"/>
      <c r="BO211" s="61"/>
      <c r="BP211" s="61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</row>
    <row r="212" spans="1:108" ht="16.5">
      <c r="A212" s="121"/>
      <c r="B212" s="121"/>
      <c r="C212" s="218"/>
      <c r="D212" s="106" t="s">
        <v>152</v>
      </c>
      <c r="E212" s="42">
        <v>7.6333333333333329</v>
      </c>
      <c r="F212" s="42">
        <v>8.0333333333333332</v>
      </c>
      <c r="G212" s="674">
        <v>7.833333333333333</v>
      </c>
      <c r="H212" s="641">
        <v>7.333333333333333</v>
      </c>
      <c r="I212" s="317">
        <v>8.1999999999999993</v>
      </c>
      <c r="J212" s="42">
        <v>6.6</v>
      </c>
      <c r="K212" s="42">
        <v>7.9</v>
      </c>
      <c r="L212" s="641">
        <v>7.9</v>
      </c>
      <c r="M212" s="393">
        <v>7.4</v>
      </c>
      <c r="N212" s="394">
        <v>8.3000000000000007</v>
      </c>
      <c r="O212" s="394">
        <v>7.8</v>
      </c>
      <c r="P212" s="846"/>
      <c r="Q212" s="370">
        <v>8.4700000000000006</v>
      </c>
      <c r="R212" s="2581">
        <v>8.4</v>
      </c>
      <c r="S212" s="304">
        <v>8.6300000000000008</v>
      </c>
      <c r="T212" s="319">
        <v>8</v>
      </c>
      <c r="U212" s="319">
        <v>8.43</v>
      </c>
      <c r="V212" s="319">
        <v>9.07</v>
      </c>
      <c r="W212" s="319">
        <v>8.5</v>
      </c>
      <c r="X212" s="381">
        <v>7.63</v>
      </c>
      <c r="Y212" s="304">
        <v>8</v>
      </c>
      <c r="Z212" s="1657">
        <v>9.8000000000000007</v>
      </c>
      <c r="AA212" s="319"/>
      <c r="AB212" s="319">
        <v>8.2666666666666657</v>
      </c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H212" s="61"/>
      <c r="BI212" s="61"/>
      <c r="BJ212" s="61"/>
      <c r="BK212" s="61"/>
      <c r="BL212" s="61"/>
      <c r="BM212" s="61"/>
      <c r="BN212" s="61"/>
      <c r="BO212" s="61"/>
      <c r="BP212" s="61"/>
    </row>
    <row r="213" spans="1:108" ht="15" customHeight="1">
      <c r="A213" s="121"/>
      <c r="B213" s="121"/>
      <c r="C213" s="218"/>
      <c r="D213" s="75" t="s">
        <v>275</v>
      </c>
      <c r="E213" s="484"/>
      <c r="F213" s="484"/>
      <c r="G213" s="484"/>
      <c r="H213" s="472"/>
      <c r="I213" s="317">
        <v>7.8</v>
      </c>
      <c r="J213" s="42">
        <v>7.9</v>
      </c>
      <c r="K213" s="42">
        <v>8.1</v>
      </c>
      <c r="L213" s="641">
        <v>8.8000000000000007</v>
      </c>
      <c r="M213" s="393">
        <v>7.6</v>
      </c>
      <c r="N213" s="394">
        <v>7.9</v>
      </c>
      <c r="O213" s="394">
        <v>6.6</v>
      </c>
      <c r="P213" s="846"/>
      <c r="Q213" s="370">
        <v>8.67</v>
      </c>
      <c r="R213" s="2582">
        <v>8.5</v>
      </c>
      <c r="S213" s="304">
        <v>9.43</v>
      </c>
      <c r="T213" s="319">
        <v>6.7</v>
      </c>
      <c r="U213" s="319">
        <v>8.5299999999999994</v>
      </c>
      <c r="V213" s="319">
        <v>8.73</v>
      </c>
      <c r="W213" s="319">
        <v>9.9</v>
      </c>
      <c r="X213" s="381">
        <v>7.1</v>
      </c>
      <c r="Y213" s="304">
        <v>8.0299999999999994</v>
      </c>
      <c r="Z213" s="1657">
        <v>7.7</v>
      </c>
      <c r="AA213" s="319"/>
      <c r="AB213" s="319">
        <v>8</v>
      </c>
      <c r="AE213" s="61"/>
      <c r="AF213" s="72"/>
      <c r="AG213" s="72"/>
      <c r="AH213" s="73"/>
      <c r="AI213" s="13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73"/>
      <c r="AV213" s="73"/>
      <c r="AW213" s="72"/>
      <c r="AX213" s="13"/>
      <c r="AY213" s="61"/>
      <c r="AZ213" s="61"/>
      <c r="BA213" s="61"/>
      <c r="BB213" s="61"/>
      <c r="BC213" s="61"/>
      <c r="BH213" s="61"/>
      <c r="BI213" s="61"/>
      <c r="BJ213" s="72"/>
      <c r="BK213" s="73"/>
      <c r="BL213" s="73"/>
      <c r="BM213" s="13"/>
      <c r="BN213" s="61"/>
      <c r="BO213" s="61"/>
      <c r="BP213" s="61"/>
    </row>
    <row r="214" spans="1:108">
      <c r="A214" s="121"/>
      <c r="B214" s="121"/>
      <c r="C214" s="218"/>
      <c r="D214" s="75" t="s">
        <v>150</v>
      </c>
      <c r="E214" s="42">
        <v>8.5333333333333332</v>
      </c>
      <c r="F214" s="42">
        <v>8.1</v>
      </c>
      <c r="G214" s="674">
        <v>8.8333333333333339</v>
      </c>
      <c r="H214" s="641">
        <v>8.4666666666666668</v>
      </c>
      <c r="I214" s="317">
        <v>7.9</v>
      </c>
      <c r="J214" s="42">
        <v>7.7</v>
      </c>
      <c r="K214" s="42">
        <v>7.3</v>
      </c>
      <c r="L214" s="641">
        <v>9.1999999999999993</v>
      </c>
      <c r="M214" s="393">
        <v>7.8</v>
      </c>
      <c r="N214" s="394">
        <v>9.1</v>
      </c>
      <c r="O214" s="394">
        <v>7.4</v>
      </c>
      <c r="P214" s="846"/>
      <c r="Q214" s="370">
        <v>8.07</v>
      </c>
      <c r="R214" s="2582">
        <v>10.4</v>
      </c>
      <c r="S214" s="304">
        <v>8.73</v>
      </c>
      <c r="T214" s="319">
        <v>7.8</v>
      </c>
      <c r="U214" s="319">
        <v>8.4</v>
      </c>
      <c r="V214" s="319">
        <v>8.07</v>
      </c>
      <c r="W214" s="319">
        <v>10</v>
      </c>
      <c r="X214" s="381">
        <v>7.1</v>
      </c>
      <c r="Y214" s="304">
        <v>7.77</v>
      </c>
      <c r="Z214" s="1657">
        <v>8.3000000000000007</v>
      </c>
      <c r="AA214" s="319"/>
      <c r="AB214" s="319">
        <v>6.8666666666666671</v>
      </c>
      <c r="AE214" s="28"/>
      <c r="AF214" s="72"/>
      <c r="AG214" s="72"/>
      <c r="AH214" s="72"/>
      <c r="AI214" s="77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28"/>
      <c r="AU214" s="72"/>
      <c r="AV214" s="72"/>
      <c r="AW214" s="72"/>
      <c r="AX214" s="77"/>
      <c r="AY214" s="61"/>
      <c r="AZ214" s="61"/>
      <c r="BA214" s="61"/>
      <c r="BB214" s="61"/>
      <c r="BC214" s="61"/>
      <c r="BH214" s="61"/>
      <c r="BI214" s="28"/>
      <c r="BJ214" s="72"/>
      <c r="BK214" s="72"/>
      <c r="BL214" s="72"/>
      <c r="BM214" s="77"/>
      <c r="BN214" s="61"/>
      <c r="BO214" s="61"/>
      <c r="BP214" s="61"/>
    </row>
    <row r="215" spans="1:108" ht="15" customHeight="1">
      <c r="A215" s="121"/>
      <c r="B215" s="121"/>
      <c r="C215" s="218"/>
      <c r="D215" s="75" t="s">
        <v>276</v>
      </c>
      <c r="E215" s="484"/>
      <c r="F215" s="484"/>
      <c r="G215" s="484"/>
      <c r="H215" s="472"/>
      <c r="I215" s="317">
        <v>8</v>
      </c>
      <c r="J215" s="42">
        <v>7.7</v>
      </c>
      <c r="K215" s="42">
        <v>7.9</v>
      </c>
      <c r="L215" s="641">
        <v>8.4</v>
      </c>
      <c r="M215" s="393">
        <v>7.8</v>
      </c>
      <c r="N215" s="394">
        <v>9</v>
      </c>
      <c r="O215" s="394">
        <v>8.6999999999999993</v>
      </c>
      <c r="P215" s="846"/>
      <c r="Q215" s="370">
        <v>8.77</v>
      </c>
      <c r="R215" s="2582">
        <v>8.6999999999999993</v>
      </c>
      <c r="S215" s="304">
        <v>11.27</v>
      </c>
      <c r="T215" s="319">
        <v>8.1999999999999993</v>
      </c>
      <c r="U215" s="319">
        <v>8.77</v>
      </c>
      <c r="V215" s="319">
        <v>8.73</v>
      </c>
      <c r="W215" s="319">
        <v>10</v>
      </c>
      <c r="X215" s="381">
        <v>7.27</v>
      </c>
      <c r="Y215" s="304">
        <v>8.27</v>
      </c>
      <c r="Z215" s="1657">
        <v>7.83</v>
      </c>
      <c r="AA215" s="319"/>
      <c r="AB215" s="319">
        <v>7.9333333333333336</v>
      </c>
      <c r="AE215" s="78"/>
      <c r="AF215" s="72"/>
      <c r="AG215" s="72"/>
      <c r="AH215" s="72"/>
      <c r="AI215" s="77"/>
      <c r="AJ215" s="61"/>
      <c r="AK215" s="61"/>
      <c r="AL215" s="95"/>
      <c r="AM215" s="61"/>
      <c r="AN215" s="96"/>
      <c r="AO215" s="95"/>
      <c r="AP215" s="95"/>
      <c r="AQ215" s="13"/>
      <c r="AR215" s="70"/>
      <c r="AS215" s="70"/>
      <c r="AT215" s="78"/>
      <c r="AU215" s="72"/>
      <c r="AV215" s="72"/>
      <c r="AW215" s="72"/>
      <c r="AX215" s="77"/>
      <c r="AY215" s="13"/>
      <c r="AZ215" s="61"/>
      <c r="BA215" s="61"/>
      <c r="BB215" s="61"/>
      <c r="BC215" s="61"/>
      <c r="BH215" s="61"/>
      <c r="BI215" s="78"/>
      <c r="BJ215" s="72"/>
      <c r="BK215" s="72"/>
      <c r="BL215" s="72"/>
      <c r="BM215" s="77"/>
      <c r="BN215" s="61"/>
      <c r="BO215" s="61"/>
      <c r="BP215" s="61"/>
    </row>
    <row r="216" spans="1:108">
      <c r="A216" s="121"/>
      <c r="B216" s="121"/>
      <c r="C216" s="218"/>
      <c r="D216" s="106" t="s">
        <v>153</v>
      </c>
      <c r="E216" s="42">
        <v>8.1</v>
      </c>
      <c r="F216" s="42">
        <v>8.0333333333333332</v>
      </c>
      <c r="G216" s="674">
        <v>7.8</v>
      </c>
      <c r="H216" s="641">
        <v>8.8666666666666671</v>
      </c>
      <c r="I216" s="317">
        <v>7.9</v>
      </c>
      <c r="J216" s="42">
        <v>7.2</v>
      </c>
      <c r="K216" s="42">
        <v>7.8</v>
      </c>
      <c r="L216" s="641">
        <v>8.9</v>
      </c>
      <c r="M216" s="393">
        <v>8</v>
      </c>
      <c r="N216" s="394">
        <v>8.1999999999999993</v>
      </c>
      <c r="O216" s="394">
        <v>7.2</v>
      </c>
      <c r="P216" s="846"/>
      <c r="Q216" s="370">
        <v>8.17</v>
      </c>
      <c r="R216" s="2582">
        <v>8.9</v>
      </c>
      <c r="S216" s="304">
        <v>7.6</v>
      </c>
      <c r="T216" s="319">
        <v>6.8</v>
      </c>
      <c r="U216" s="319">
        <v>7.9</v>
      </c>
      <c r="V216" s="319">
        <v>8.4</v>
      </c>
      <c r="W216" s="319">
        <v>8.5</v>
      </c>
      <c r="X216" s="381">
        <v>7.13</v>
      </c>
      <c r="Y216" s="304">
        <v>7.83</v>
      </c>
      <c r="Z216" s="1657">
        <v>8.33</v>
      </c>
      <c r="AA216" s="319"/>
      <c r="AB216" s="319">
        <v>7.833333333333333</v>
      </c>
      <c r="AE216" s="78"/>
      <c r="AF216" s="72"/>
      <c r="AG216" s="72"/>
      <c r="AH216" s="72"/>
      <c r="AI216" s="77"/>
      <c r="AJ216" s="61"/>
      <c r="AK216" s="61"/>
      <c r="AL216" s="70"/>
      <c r="AM216" s="28"/>
      <c r="AN216" s="70"/>
      <c r="AO216" s="70"/>
      <c r="AP216" s="70"/>
      <c r="AQ216" s="14"/>
      <c r="AR216" s="70"/>
      <c r="AS216" s="70"/>
      <c r="AT216" s="78"/>
      <c r="AU216" s="72"/>
      <c r="AV216" s="72"/>
      <c r="AW216" s="72"/>
      <c r="AX216" s="77"/>
      <c r="AY216" s="14"/>
      <c r="AZ216" s="61"/>
      <c r="BA216" s="61"/>
      <c r="BB216" s="61"/>
      <c r="BC216" s="61"/>
      <c r="BH216" s="61"/>
      <c r="BI216" s="78"/>
      <c r="BJ216" s="72"/>
      <c r="BK216" s="72"/>
      <c r="BL216" s="72"/>
      <c r="BM216" s="77"/>
      <c r="BN216" s="61"/>
      <c r="BO216" s="61"/>
      <c r="BP216" s="61"/>
    </row>
    <row r="217" spans="1:108">
      <c r="A217" s="121"/>
      <c r="B217" s="121"/>
      <c r="C217" s="218"/>
      <c r="D217" s="75" t="s">
        <v>151</v>
      </c>
      <c r="E217" s="42">
        <v>8.4666666666666668</v>
      </c>
      <c r="F217" s="42">
        <v>7.9333333333333327</v>
      </c>
      <c r="G217" s="674">
        <v>7.5666666666666664</v>
      </c>
      <c r="H217" s="641">
        <v>8.4</v>
      </c>
      <c r="I217" s="317">
        <v>7.4</v>
      </c>
      <c r="J217" s="42">
        <v>7.4</v>
      </c>
      <c r="K217" s="42">
        <v>9.1</v>
      </c>
      <c r="L217" s="641">
        <v>8.4</v>
      </c>
      <c r="M217" s="393">
        <v>8</v>
      </c>
      <c r="N217" s="394">
        <v>7.7</v>
      </c>
      <c r="O217" s="394">
        <v>8.3000000000000007</v>
      </c>
      <c r="P217" s="846"/>
      <c r="Q217" s="370">
        <v>8.8699999999999992</v>
      </c>
      <c r="R217" s="2582">
        <v>9.4</v>
      </c>
      <c r="S217" s="304">
        <v>8.83</v>
      </c>
      <c r="T217" s="319">
        <v>7.6</v>
      </c>
      <c r="U217" s="319">
        <v>7.93</v>
      </c>
      <c r="V217" s="319">
        <v>8.77</v>
      </c>
      <c r="W217" s="319">
        <v>9.5</v>
      </c>
      <c r="X217" s="381">
        <v>7.13</v>
      </c>
      <c r="Y217" s="304">
        <v>7.43</v>
      </c>
      <c r="Z217" s="1657">
        <v>8.3699999999999992</v>
      </c>
      <c r="AA217" s="319"/>
      <c r="AB217" s="319">
        <v>7.7333333333333334</v>
      </c>
      <c r="AE217" s="78"/>
      <c r="AF217" s="72"/>
      <c r="AG217" s="72"/>
      <c r="AH217" s="72"/>
      <c r="AI217" s="77"/>
      <c r="AJ217" s="61"/>
      <c r="AK217" s="61"/>
      <c r="AL217" s="70"/>
      <c r="AM217" s="61"/>
      <c r="AN217" s="70"/>
      <c r="AO217" s="70"/>
      <c r="AP217" s="70"/>
      <c r="AQ217" s="14"/>
      <c r="AR217" s="70"/>
      <c r="AS217" s="70"/>
      <c r="AT217" s="78"/>
      <c r="AU217" s="72"/>
      <c r="AV217" s="72"/>
      <c r="AW217" s="72"/>
      <c r="AX217" s="77"/>
      <c r="AY217" s="14"/>
      <c r="AZ217" s="61"/>
      <c r="BA217" s="61"/>
      <c r="BB217" s="61"/>
      <c r="BC217" s="61"/>
      <c r="BH217" s="61"/>
      <c r="BI217" s="78"/>
      <c r="BJ217" s="72"/>
      <c r="BK217" s="72"/>
      <c r="BL217" s="72"/>
      <c r="BM217" s="77"/>
      <c r="BN217" s="61"/>
      <c r="BO217" s="61"/>
      <c r="BP217" s="61"/>
    </row>
    <row r="218" spans="1:108">
      <c r="A218" s="121"/>
      <c r="B218" s="121"/>
      <c r="C218" s="218"/>
      <c r="D218" s="106" t="s">
        <v>274</v>
      </c>
      <c r="E218" s="484"/>
      <c r="F218" s="484"/>
      <c r="G218" s="484"/>
      <c r="H218" s="472"/>
      <c r="I218" s="317">
        <v>8</v>
      </c>
      <c r="J218" s="42">
        <v>7.4</v>
      </c>
      <c r="K218" s="42">
        <v>7.7</v>
      </c>
      <c r="L218" s="641">
        <v>8.4</v>
      </c>
      <c r="M218" s="393">
        <v>8.1</v>
      </c>
      <c r="N218" s="394">
        <v>8.4</v>
      </c>
      <c r="O218" s="394">
        <v>8.5</v>
      </c>
      <c r="P218" s="846"/>
      <c r="Q218" s="370">
        <v>8.57</v>
      </c>
      <c r="R218" s="2582">
        <v>9.1</v>
      </c>
      <c r="S218" s="304">
        <v>10.130000000000001</v>
      </c>
      <c r="T218" s="319">
        <v>7.1</v>
      </c>
      <c r="U218" s="319">
        <v>8.93</v>
      </c>
      <c r="V218" s="319">
        <v>8.73</v>
      </c>
      <c r="W218" s="319">
        <v>9.3000000000000007</v>
      </c>
      <c r="X218" s="381">
        <v>7.47</v>
      </c>
      <c r="Y218" s="304">
        <v>7.87</v>
      </c>
      <c r="Z218" s="1657">
        <v>8.23</v>
      </c>
      <c r="AA218" s="319"/>
      <c r="AB218" s="319">
        <v>7.4333333333333327</v>
      </c>
      <c r="AE218" s="92"/>
      <c r="AF218" s="93"/>
      <c r="AG218" s="93"/>
      <c r="AH218" s="93"/>
      <c r="AI218" s="77"/>
      <c r="AJ218" s="61"/>
      <c r="AK218" s="61"/>
      <c r="AL218" s="70"/>
      <c r="AM218" s="61"/>
      <c r="AN218" s="70"/>
      <c r="AO218" s="70"/>
      <c r="AP218" s="70"/>
      <c r="AQ218" s="14"/>
      <c r="AR218" s="70"/>
      <c r="AS218" s="70"/>
      <c r="AT218" s="92"/>
      <c r="AU218" s="93"/>
      <c r="AV218" s="93"/>
      <c r="AW218" s="93"/>
      <c r="AX218" s="77"/>
      <c r="AY218" s="14"/>
      <c r="AZ218" s="61"/>
      <c r="BA218" s="61"/>
      <c r="BB218" s="61"/>
      <c r="BC218" s="61"/>
      <c r="BH218" s="61"/>
      <c r="BI218" s="92"/>
      <c r="BJ218" s="93"/>
      <c r="BK218" s="93"/>
      <c r="BL218" s="93"/>
      <c r="BM218" s="77"/>
      <c r="BN218" s="61"/>
      <c r="BO218" s="61"/>
      <c r="BP218" s="61"/>
    </row>
    <row r="219" spans="1:108" ht="15.75" thickBot="1">
      <c r="A219" s="121"/>
      <c r="B219" s="121"/>
      <c r="C219" s="218"/>
      <c r="D219" s="231" t="s">
        <v>273</v>
      </c>
      <c r="E219" s="490"/>
      <c r="F219" s="490"/>
      <c r="G219" s="490"/>
      <c r="H219" s="503"/>
      <c r="I219" s="646">
        <v>8.9</v>
      </c>
      <c r="J219" s="647">
        <v>7.3</v>
      </c>
      <c r="K219" s="647">
        <v>7.6</v>
      </c>
      <c r="L219" s="648">
        <v>8.6999999999999993</v>
      </c>
      <c r="M219" s="1850">
        <v>8.1999999999999993</v>
      </c>
      <c r="N219" s="973">
        <v>8.6</v>
      </c>
      <c r="O219" s="973">
        <v>9</v>
      </c>
      <c r="P219" s="2033"/>
      <c r="Q219" s="806">
        <v>8.67</v>
      </c>
      <c r="R219" s="2583">
        <v>8.1999999999999993</v>
      </c>
      <c r="S219" s="540">
        <v>8.1</v>
      </c>
      <c r="T219" s="541">
        <v>7.8</v>
      </c>
      <c r="U219" s="541">
        <v>8.56</v>
      </c>
      <c r="V219" s="541">
        <v>8.43</v>
      </c>
      <c r="W219" s="541">
        <v>9.4</v>
      </c>
      <c r="X219" s="2453">
        <v>7.37</v>
      </c>
      <c r="Y219" s="304">
        <v>8.1300000000000008</v>
      </c>
      <c r="Z219" s="3286">
        <v>9.1999999999999993</v>
      </c>
      <c r="AA219" s="541"/>
      <c r="AB219" s="541">
        <v>8.0333333333333332</v>
      </c>
      <c r="AE219" s="78"/>
      <c r="AF219" s="93"/>
      <c r="AG219" s="93"/>
      <c r="AH219" s="93"/>
      <c r="AI219" s="77"/>
      <c r="AJ219" s="61"/>
      <c r="AK219" s="61"/>
      <c r="AL219" s="70"/>
      <c r="AM219" s="61"/>
      <c r="AN219" s="70"/>
      <c r="AO219" s="70"/>
      <c r="AP219" s="70"/>
      <c r="AQ219" s="14"/>
      <c r="AR219" s="70"/>
      <c r="AS219" s="70"/>
      <c r="AT219" s="78"/>
      <c r="AU219" s="93"/>
      <c r="AV219" s="93"/>
      <c r="AW219" s="93"/>
      <c r="AX219" s="77"/>
      <c r="AY219" s="14"/>
      <c r="AZ219" s="61"/>
      <c r="BA219" s="61"/>
      <c r="BB219" s="61"/>
      <c r="BC219" s="61"/>
      <c r="BH219" s="61"/>
      <c r="BI219" s="78"/>
      <c r="BJ219" s="93"/>
      <c r="BK219" s="93"/>
      <c r="BL219" s="93"/>
      <c r="BM219" s="77"/>
      <c r="BN219" s="61"/>
      <c r="BO219" s="61"/>
      <c r="BP219" s="61"/>
    </row>
    <row r="220" spans="1:108" s="4" customFormat="1">
      <c r="A220" s="114"/>
      <c r="B220" s="114"/>
      <c r="C220" s="114"/>
      <c r="D220" s="775" t="s">
        <v>285</v>
      </c>
      <c r="E220" s="1025">
        <f>COUNTIF(E211:E219,"&gt;=5")</f>
        <v>5</v>
      </c>
      <c r="F220" s="1025">
        <f>COUNTIF(F211:F219,"&gt;=5")</f>
        <v>5</v>
      </c>
      <c r="G220" s="1025">
        <f>COUNTIF(G211:G219,"&gt;=5")</f>
        <v>5</v>
      </c>
      <c r="H220" s="1025">
        <f>COUNTIF(H211:H219,"&gt;=5")</f>
        <v>5</v>
      </c>
      <c r="I220" s="1025">
        <f>COUNTIF(I211:I219,"&gt;=5")</f>
        <v>9</v>
      </c>
      <c r="J220" s="1025">
        <f t="shared" ref="J220:U220" si="45">COUNTIF(J211:J219,"&gt;=5")</f>
        <v>9</v>
      </c>
      <c r="K220" s="1025">
        <f t="shared" si="45"/>
        <v>9</v>
      </c>
      <c r="L220" s="1025">
        <f t="shared" si="45"/>
        <v>9</v>
      </c>
      <c r="M220" s="1025">
        <f t="shared" si="45"/>
        <v>9</v>
      </c>
      <c r="N220" s="1025">
        <f t="shared" si="45"/>
        <v>9</v>
      </c>
      <c r="O220" s="1025">
        <f t="shared" si="45"/>
        <v>9</v>
      </c>
      <c r="P220" s="1025">
        <f t="shared" si="45"/>
        <v>0</v>
      </c>
      <c r="Q220" s="1025">
        <f t="shared" si="45"/>
        <v>9</v>
      </c>
      <c r="R220" s="1025">
        <f t="shared" si="45"/>
        <v>9</v>
      </c>
      <c r="S220" s="1025">
        <f t="shared" si="45"/>
        <v>9</v>
      </c>
      <c r="T220" s="1025">
        <f t="shared" si="45"/>
        <v>9</v>
      </c>
      <c r="U220" s="1025">
        <f t="shared" si="45"/>
        <v>9</v>
      </c>
      <c r="V220" s="1025">
        <f t="shared" ref="V220:AB220" si="46">COUNTIF(V211:V219,"&gt;=5")</f>
        <v>9</v>
      </c>
      <c r="W220" s="1025">
        <f t="shared" si="46"/>
        <v>9</v>
      </c>
      <c r="X220" s="1025">
        <f t="shared" si="46"/>
        <v>9</v>
      </c>
      <c r="Y220" s="1025">
        <f t="shared" si="46"/>
        <v>9</v>
      </c>
      <c r="Z220" s="1025">
        <f t="shared" si="46"/>
        <v>9</v>
      </c>
      <c r="AA220" s="1025">
        <f t="shared" si="46"/>
        <v>0</v>
      </c>
      <c r="AB220" s="1025">
        <f t="shared" si="46"/>
        <v>9</v>
      </c>
      <c r="BE220" s="83"/>
      <c r="BF220" s="83"/>
      <c r="BG220" s="83"/>
      <c r="BH220" s="83"/>
      <c r="BI220" s="83"/>
      <c r="BJ220" s="83"/>
      <c r="BK220" s="83"/>
      <c r="BL220" s="83"/>
      <c r="BM220" s="83"/>
      <c r="BN220" s="83"/>
      <c r="BO220" s="83"/>
      <c r="BP220" s="83"/>
      <c r="BQ220" s="83"/>
      <c r="BR220" s="83"/>
      <c r="BS220" s="83"/>
      <c r="BT220" s="83"/>
      <c r="BU220" s="83"/>
      <c r="BV220" s="83"/>
      <c r="BW220" s="83"/>
      <c r="BX220" s="83"/>
      <c r="BY220" s="83"/>
      <c r="CH220" s="83"/>
      <c r="CI220" s="83"/>
      <c r="CJ220" s="83"/>
      <c r="CK220" s="83"/>
      <c r="CL220" s="83"/>
      <c r="CM220" s="83"/>
      <c r="CN220" s="83"/>
      <c r="CO220" s="83"/>
      <c r="CP220" s="83"/>
      <c r="CQ220" s="83"/>
      <c r="CR220" s="83"/>
      <c r="CS220" s="83"/>
      <c r="CT220" s="83"/>
      <c r="CU220" s="83"/>
      <c r="CV220" s="83"/>
      <c r="CW220" s="83"/>
      <c r="CX220" s="83"/>
      <c r="CY220" s="83"/>
      <c r="CZ220" s="83"/>
      <c r="DA220" s="83"/>
      <c r="DB220" s="83"/>
      <c r="DC220" s="83"/>
      <c r="DD220" s="83"/>
    </row>
    <row r="221" spans="1:108" s="4" customFormat="1">
      <c r="A221" s="114"/>
      <c r="B221" s="114"/>
      <c r="C221" s="114"/>
      <c r="D221" s="775" t="s">
        <v>287</v>
      </c>
      <c r="E221" s="1027">
        <f>COUNT(E211:E219)</f>
        <v>5</v>
      </c>
      <c r="F221" s="1027">
        <f>COUNT(F211:F219)</f>
        <v>5</v>
      </c>
      <c r="G221" s="1027">
        <f>COUNT(G211:G219)</f>
        <v>5</v>
      </c>
      <c r="H221" s="1027">
        <f>COUNT(H211:H219)</f>
        <v>5</v>
      </c>
      <c r="I221" s="1027">
        <f>COUNT(I211:I219)</f>
        <v>9</v>
      </c>
      <c r="J221" s="1027">
        <f t="shared" ref="J221:S221" si="47">COUNT(J211:J219)</f>
        <v>9</v>
      </c>
      <c r="K221" s="1027">
        <f t="shared" si="47"/>
        <v>9</v>
      </c>
      <c r="L221" s="1027">
        <f t="shared" si="47"/>
        <v>9</v>
      </c>
      <c r="M221" s="1027">
        <f t="shared" si="47"/>
        <v>9</v>
      </c>
      <c r="N221" s="1027">
        <f t="shared" si="47"/>
        <v>9</v>
      </c>
      <c r="O221" s="1027">
        <f t="shared" si="47"/>
        <v>9</v>
      </c>
      <c r="P221" s="1027">
        <f t="shared" si="47"/>
        <v>0</v>
      </c>
      <c r="Q221" s="1027">
        <f t="shared" si="47"/>
        <v>9</v>
      </c>
      <c r="R221" s="1027">
        <f t="shared" si="47"/>
        <v>9</v>
      </c>
      <c r="S221" s="1027">
        <f t="shared" si="47"/>
        <v>9</v>
      </c>
      <c r="T221" s="1027">
        <f>COUNT(T211:T219)</f>
        <v>9</v>
      </c>
      <c r="U221" s="1027">
        <f>COUNT(U211:U219)</f>
        <v>9</v>
      </c>
      <c r="V221" s="1027">
        <f>COUNT(V211:V219)</f>
        <v>9</v>
      </c>
      <c r="W221" s="1027">
        <f>COUNT(W211:W219)</f>
        <v>9</v>
      </c>
      <c r="X221" s="1027">
        <f t="shared" ref="X221:AB221" si="48">COUNT(X211:X219)</f>
        <v>9</v>
      </c>
      <c r="Y221" s="1027">
        <f t="shared" si="48"/>
        <v>9</v>
      </c>
      <c r="Z221" s="1027">
        <f t="shared" si="48"/>
        <v>9</v>
      </c>
      <c r="AA221" s="1027">
        <f t="shared" si="48"/>
        <v>0</v>
      </c>
      <c r="AB221" s="1027">
        <f t="shared" si="48"/>
        <v>9</v>
      </c>
      <c r="BE221" s="83"/>
      <c r="BF221" s="83"/>
      <c r="BG221" s="83"/>
      <c r="BH221" s="83"/>
      <c r="BI221" s="83"/>
      <c r="BJ221" s="83"/>
      <c r="BK221" s="83"/>
      <c r="BL221" s="83"/>
      <c r="BM221" s="83"/>
      <c r="BN221" s="83"/>
      <c r="BO221" s="83"/>
      <c r="BP221" s="83"/>
      <c r="BQ221" s="83"/>
      <c r="BR221" s="83"/>
      <c r="BS221" s="83"/>
      <c r="BT221" s="83"/>
      <c r="BU221" s="83"/>
      <c r="BV221" s="83"/>
      <c r="BW221" s="83"/>
      <c r="BX221" s="83"/>
      <c r="BY221" s="83"/>
      <c r="CH221" s="83"/>
      <c r="CI221" s="83"/>
      <c r="CJ221" s="83"/>
      <c r="CK221" s="83"/>
      <c r="CL221" s="83"/>
      <c r="CM221" s="83"/>
      <c r="CN221" s="83"/>
      <c r="CO221" s="83"/>
      <c r="CP221" s="83"/>
      <c r="CQ221" s="83"/>
      <c r="CR221" s="83"/>
      <c r="CS221" s="83"/>
      <c r="CT221" s="83"/>
      <c r="CU221" s="83"/>
      <c r="CV221" s="83"/>
      <c r="CW221" s="83"/>
      <c r="CX221" s="83"/>
      <c r="CY221" s="83"/>
      <c r="CZ221" s="83"/>
      <c r="DA221" s="83"/>
      <c r="DB221" s="83"/>
      <c r="DC221" s="83"/>
      <c r="DD221" s="83"/>
    </row>
    <row r="222" spans="1:108" s="4" customFormat="1">
      <c r="A222" s="114"/>
      <c r="B222" s="114"/>
      <c r="C222" s="114"/>
      <c r="D222" s="775" t="s">
        <v>286</v>
      </c>
      <c r="E222" s="1026">
        <f t="shared" ref="E222:U222" si="49">E220/E221</f>
        <v>1</v>
      </c>
      <c r="F222" s="1026">
        <f t="shared" si="49"/>
        <v>1</v>
      </c>
      <c r="G222" s="1026">
        <f t="shared" si="49"/>
        <v>1</v>
      </c>
      <c r="H222" s="1026">
        <f t="shared" si="49"/>
        <v>1</v>
      </c>
      <c r="I222" s="1026">
        <f t="shared" si="49"/>
        <v>1</v>
      </c>
      <c r="J222" s="1026">
        <f t="shared" si="49"/>
        <v>1</v>
      </c>
      <c r="K222" s="1026">
        <f t="shared" si="49"/>
        <v>1</v>
      </c>
      <c r="L222" s="1026">
        <f t="shared" si="49"/>
        <v>1</v>
      </c>
      <c r="M222" s="1026">
        <f t="shared" si="49"/>
        <v>1</v>
      </c>
      <c r="N222" s="1026">
        <f t="shared" si="49"/>
        <v>1</v>
      </c>
      <c r="O222" s="1026">
        <f t="shared" si="49"/>
        <v>1</v>
      </c>
      <c r="P222" s="1026" t="e">
        <f t="shared" si="49"/>
        <v>#DIV/0!</v>
      </c>
      <c r="Q222" s="1026">
        <f t="shared" si="49"/>
        <v>1</v>
      </c>
      <c r="R222" s="1026">
        <f t="shared" si="49"/>
        <v>1</v>
      </c>
      <c r="S222" s="1026">
        <f t="shared" si="49"/>
        <v>1</v>
      </c>
      <c r="T222" s="1026">
        <f t="shared" si="49"/>
        <v>1</v>
      </c>
      <c r="U222" s="1026">
        <f t="shared" si="49"/>
        <v>1</v>
      </c>
      <c r="V222" s="1026">
        <f t="shared" ref="V222:AB222" si="50">V220/V221</f>
        <v>1</v>
      </c>
      <c r="W222" s="1026">
        <f t="shared" si="50"/>
        <v>1</v>
      </c>
      <c r="X222" s="1026">
        <f t="shared" si="50"/>
        <v>1</v>
      </c>
      <c r="Y222" s="1026">
        <f t="shared" si="50"/>
        <v>1</v>
      </c>
      <c r="Z222" s="1026">
        <f t="shared" si="50"/>
        <v>1</v>
      </c>
      <c r="AA222" s="1026" t="e">
        <f t="shared" si="50"/>
        <v>#DIV/0!</v>
      </c>
      <c r="AB222" s="1026">
        <f t="shared" si="50"/>
        <v>1</v>
      </c>
      <c r="BE222" s="83"/>
      <c r="BF222" s="83"/>
      <c r="BG222" s="83"/>
      <c r="BH222" s="83"/>
      <c r="BI222" s="83"/>
      <c r="BJ222" s="83"/>
      <c r="BK222" s="83"/>
      <c r="BL222" s="83"/>
      <c r="BM222" s="83"/>
      <c r="BN222" s="83"/>
      <c r="BO222" s="83"/>
      <c r="BP222" s="83"/>
      <c r="BQ222" s="83"/>
      <c r="BR222" s="83"/>
      <c r="BS222" s="83"/>
      <c r="BT222" s="83"/>
      <c r="BU222" s="83"/>
      <c r="BV222" s="83"/>
      <c r="BW222" s="83"/>
      <c r="BX222" s="83"/>
      <c r="BY222" s="83"/>
      <c r="CH222" s="83"/>
      <c r="CI222" s="83"/>
      <c r="CJ222" s="83"/>
      <c r="CK222" s="83"/>
      <c r="CL222" s="83"/>
      <c r="CM222" s="83"/>
      <c r="CN222" s="83"/>
      <c r="CO222" s="83"/>
      <c r="CP222" s="83"/>
      <c r="CQ222" s="83"/>
      <c r="CR222" s="83"/>
      <c r="CS222" s="83"/>
      <c r="CT222" s="83"/>
      <c r="CU222" s="83"/>
      <c r="CV222" s="83"/>
      <c r="CW222" s="83"/>
      <c r="CX222" s="83"/>
      <c r="CY222" s="83"/>
      <c r="CZ222" s="83"/>
      <c r="DA222" s="83"/>
      <c r="DB222" s="83"/>
      <c r="DC222" s="83"/>
      <c r="DD222" s="83"/>
    </row>
    <row r="223" spans="1:108" s="4" customFormat="1">
      <c r="A223" s="776"/>
      <c r="B223" s="776"/>
      <c r="C223" s="1090"/>
      <c r="D223" s="1088" t="s">
        <v>296</v>
      </c>
      <c r="E223" s="1059">
        <f>COUNTA(D211:D219)</f>
        <v>9</v>
      </c>
      <c r="F223" s="1091"/>
      <c r="G223" s="1091"/>
      <c r="H223" s="1091"/>
      <c r="I223" s="1091"/>
      <c r="J223" s="1092"/>
      <c r="K223" s="1091"/>
      <c r="L223" s="1093"/>
      <c r="M223" s="776"/>
      <c r="N223" s="776"/>
      <c r="O223" s="776"/>
      <c r="P223" s="776"/>
      <c r="Q223" s="776"/>
      <c r="R223" s="776"/>
      <c r="S223" s="776"/>
      <c r="T223" s="776"/>
      <c r="U223" s="776"/>
      <c r="V223" s="776"/>
      <c r="W223" s="776"/>
      <c r="X223" s="776"/>
      <c r="Y223" s="776"/>
      <c r="Z223" s="776"/>
      <c r="AA223" s="770"/>
      <c r="AD223" s="50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  <c r="AO223" s="83"/>
      <c r="AP223" s="83"/>
      <c r="AQ223" s="83"/>
      <c r="AR223" s="83"/>
      <c r="AS223" s="83"/>
      <c r="AT223" s="83"/>
      <c r="AU223" s="83"/>
      <c r="AV223" s="83"/>
      <c r="AW223" s="83"/>
      <c r="AX223" s="83"/>
      <c r="AY223" s="83"/>
      <c r="AZ223" s="83"/>
      <c r="BA223" s="83"/>
      <c r="BB223" s="83"/>
      <c r="BC223" s="83"/>
      <c r="BE223" s="50"/>
      <c r="BF223" s="50"/>
      <c r="BG223" s="50"/>
      <c r="BH223" s="83"/>
      <c r="BI223" s="83"/>
      <c r="BJ223" s="83"/>
      <c r="BK223" s="83"/>
      <c r="BL223" s="83"/>
      <c r="BM223" s="83"/>
      <c r="BN223" s="83"/>
      <c r="BO223" s="83"/>
      <c r="BP223" s="83"/>
      <c r="BQ223" s="50"/>
      <c r="BR223" s="50"/>
      <c r="BS223" s="50"/>
      <c r="BT223" s="50"/>
      <c r="BU223" s="50"/>
      <c r="BV223" s="50"/>
      <c r="BW223" s="50"/>
      <c r="BX223" s="50"/>
      <c r="BY223" s="50"/>
      <c r="BZ223" s="50"/>
      <c r="CA223" s="50"/>
      <c r="CB223" s="50"/>
      <c r="CC223" s="50"/>
      <c r="CD223" s="50"/>
      <c r="CE223" s="50"/>
      <c r="CF223" s="50"/>
      <c r="CG223" s="50"/>
      <c r="CH223" s="50"/>
      <c r="CI223" s="50"/>
      <c r="CJ223" s="50"/>
      <c r="CK223" s="50"/>
      <c r="CL223" s="50"/>
      <c r="CM223" s="50"/>
    </row>
    <row r="224" spans="1:108"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H224" s="61"/>
      <c r="BI224" s="61"/>
      <c r="BJ224" s="61"/>
      <c r="BK224" s="61"/>
      <c r="BL224" s="61"/>
      <c r="BM224" s="61"/>
      <c r="BN224" s="61"/>
      <c r="BO224" s="61"/>
      <c r="BP224" s="61"/>
    </row>
    <row r="225" spans="1:68" s="4" customFormat="1">
      <c r="A225" s="3535" t="s">
        <v>291</v>
      </c>
      <c r="B225" s="2880"/>
      <c r="C225" s="3535" t="s">
        <v>301</v>
      </c>
      <c r="D225" s="3535" t="s">
        <v>284</v>
      </c>
      <c r="E225" s="3532" t="s">
        <v>304</v>
      </c>
      <c r="F225" s="3533"/>
      <c r="G225" s="3533"/>
      <c r="H225" s="3533"/>
      <c r="I225" s="3533"/>
      <c r="J225" s="3533"/>
      <c r="K225" s="3533"/>
      <c r="L225" s="3533"/>
      <c r="M225" s="3533"/>
      <c r="N225" s="3533"/>
      <c r="O225" s="3533"/>
      <c r="P225" s="3533"/>
      <c r="Q225" s="3533"/>
      <c r="R225" s="3533"/>
      <c r="S225" s="3533"/>
      <c r="T225" s="3533"/>
      <c r="U225" s="3533"/>
      <c r="V225" s="3533"/>
      <c r="W225" s="3533"/>
      <c r="X225" s="3533"/>
      <c r="Y225" s="3533"/>
      <c r="Z225" s="3533"/>
      <c r="AA225" s="3534"/>
      <c r="AE225" s="83"/>
      <c r="AF225" s="83"/>
      <c r="AG225" s="83"/>
      <c r="AH225" s="83"/>
      <c r="AI225" s="83"/>
      <c r="AJ225" s="83"/>
      <c r="AK225" s="83"/>
      <c r="AL225" s="83"/>
      <c r="AM225" s="83"/>
      <c r="AN225" s="83"/>
      <c r="AO225" s="83"/>
      <c r="AP225" s="83"/>
      <c r="AQ225" s="83"/>
      <c r="AR225" s="83"/>
      <c r="AS225" s="83"/>
      <c r="AT225" s="83"/>
      <c r="AU225" s="83"/>
      <c r="AV225" s="83"/>
      <c r="AW225" s="83"/>
      <c r="AX225" s="83"/>
      <c r="AY225" s="83"/>
      <c r="AZ225" s="83"/>
      <c r="BA225" s="83"/>
      <c r="BB225" s="83"/>
      <c r="BC225" s="83"/>
      <c r="BH225" s="83"/>
      <c r="BI225" s="83"/>
      <c r="BJ225" s="83"/>
      <c r="BK225" s="83"/>
      <c r="BL225" s="83"/>
      <c r="BM225" s="83"/>
      <c r="BN225" s="83"/>
      <c r="BO225" s="83"/>
      <c r="BP225" s="83"/>
    </row>
    <row r="226" spans="1:68" s="4" customFormat="1">
      <c r="A226" s="3536"/>
      <c r="B226" s="2881"/>
      <c r="C226" s="3536"/>
      <c r="D226" s="3536"/>
      <c r="E226" s="3532">
        <v>2011</v>
      </c>
      <c r="F226" s="3533"/>
      <c r="G226" s="3533"/>
      <c r="H226" s="3534"/>
      <c r="I226" s="3532">
        <v>2012</v>
      </c>
      <c r="J226" s="3533"/>
      <c r="K226" s="3533"/>
      <c r="L226" s="3534"/>
      <c r="M226" s="3532">
        <v>2013</v>
      </c>
      <c r="N226" s="3533"/>
      <c r="O226" s="3533"/>
      <c r="P226" s="3534"/>
      <c r="Q226" s="3532">
        <v>2014</v>
      </c>
      <c r="R226" s="3533"/>
      <c r="S226" s="3533"/>
      <c r="T226" s="3534"/>
      <c r="U226" s="3532">
        <v>2015</v>
      </c>
      <c r="V226" s="3533"/>
      <c r="W226" s="3533"/>
      <c r="X226" s="3534"/>
      <c r="Y226" s="2839"/>
      <c r="Z226" s="2839"/>
      <c r="AA226" s="1103"/>
      <c r="AE226" s="83"/>
      <c r="AF226" s="83"/>
      <c r="AG226" s="83"/>
      <c r="AH226" s="83"/>
      <c r="AI226" s="83"/>
      <c r="AJ226" s="83"/>
      <c r="AK226" s="83"/>
      <c r="AL226" s="83"/>
      <c r="AM226" s="83"/>
      <c r="AN226" s="83"/>
      <c r="AO226" s="83"/>
      <c r="AP226" s="83"/>
      <c r="AQ226" s="83"/>
      <c r="AR226" s="83"/>
      <c r="AS226" s="83"/>
      <c r="AT226" s="83"/>
      <c r="AU226" s="83"/>
      <c r="AV226" s="83"/>
      <c r="AW226" s="83"/>
      <c r="AX226" s="83"/>
      <c r="AY226" s="83"/>
      <c r="AZ226" s="83"/>
      <c r="BA226" s="83"/>
      <c r="BB226" s="83"/>
      <c r="BC226" s="83"/>
      <c r="BH226" s="83"/>
      <c r="BI226" s="83"/>
      <c r="BJ226" s="83"/>
      <c r="BK226" s="83"/>
      <c r="BL226" s="83"/>
      <c r="BM226" s="83"/>
      <c r="BN226" s="83"/>
      <c r="BO226" s="83"/>
      <c r="BP226" s="83"/>
    </row>
    <row r="227" spans="1:68" s="4" customFormat="1">
      <c r="A227" s="3537"/>
      <c r="B227" s="2882"/>
      <c r="C227" s="3537"/>
      <c r="D227" s="3537"/>
      <c r="E227" s="1100" t="s">
        <v>2</v>
      </c>
      <c r="F227" s="1100" t="s">
        <v>3</v>
      </c>
      <c r="G227" s="1100" t="s">
        <v>4</v>
      </c>
      <c r="H227" s="1100" t="s">
        <v>5</v>
      </c>
      <c r="I227" s="1100" t="s">
        <v>2</v>
      </c>
      <c r="J227" s="1100" t="s">
        <v>3</v>
      </c>
      <c r="K227" s="1100" t="s">
        <v>4</v>
      </c>
      <c r="L227" s="1100" t="s">
        <v>5</v>
      </c>
      <c r="M227" s="1100" t="s">
        <v>2</v>
      </c>
      <c r="N227" s="1100" t="s">
        <v>3</v>
      </c>
      <c r="O227" s="1100" t="s">
        <v>4</v>
      </c>
      <c r="P227" s="1100" t="s">
        <v>5</v>
      </c>
      <c r="Q227" s="1100" t="s">
        <v>2</v>
      </c>
      <c r="R227" s="1100" t="s">
        <v>3</v>
      </c>
      <c r="S227" s="1100" t="s">
        <v>4</v>
      </c>
      <c r="T227" s="1100" t="s">
        <v>5</v>
      </c>
      <c r="U227" s="1100" t="s">
        <v>2</v>
      </c>
      <c r="V227" s="1100" t="s">
        <v>3</v>
      </c>
      <c r="W227" s="1100" t="s">
        <v>4</v>
      </c>
      <c r="X227" s="1100" t="s">
        <v>5</v>
      </c>
      <c r="Y227" s="1100"/>
      <c r="Z227" s="1100"/>
      <c r="AA227" s="110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3"/>
      <c r="AU227" s="83"/>
      <c r="AV227" s="83"/>
      <c r="AW227" s="83"/>
      <c r="AX227" s="83"/>
      <c r="AY227" s="83"/>
      <c r="AZ227" s="83"/>
      <c r="BA227" s="83"/>
      <c r="BB227" s="83"/>
      <c r="BC227" s="83"/>
      <c r="BH227" s="83"/>
      <c r="BI227" s="83"/>
      <c r="BJ227" s="83"/>
      <c r="BK227" s="83"/>
      <c r="BL227" s="83"/>
      <c r="BM227" s="83"/>
      <c r="BN227" s="83"/>
      <c r="BO227" s="83"/>
      <c r="BP227" s="83"/>
    </row>
    <row r="228" spans="1:68">
      <c r="A228" s="3569" t="s">
        <v>125</v>
      </c>
      <c r="B228" s="2883"/>
      <c r="C228" s="3581" t="s">
        <v>16</v>
      </c>
      <c r="D228" s="3535">
        <f>COUNTA(A15:A18)</f>
        <v>4</v>
      </c>
      <c r="E228" s="1556">
        <f t="shared" ref="E228:N228" si="51">COUNTIF(E15:E18,"&gt;=5")</f>
        <v>4</v>
      </c>
      <c r="F228" s="1556">
        <f t="shared" si="51"/>
        <v>4</v>
      </c>
      <c r="G228" s="1556">
        <f t="shared" si="51"/>
        <v>4</v>
      </c>
      <c r="H228" s="1556">
        <f t="shared" si="51"/>
        <v>2</v>
      </c>
      <c r="I228" s="1556">
        <f t="shared" si="51"/>
        <v>3</v>
      </c>
      <c r="J228" s="1556">
        <f t="shared" si="51"/>
        <v>0</v>
      </c>
      <c r="K228" s="1556">
        <f t="shared" si="51"/>
        <v>2</v>
      </c>
      <c r="L228" s="1556">
        <f t="shared" si="51"/>
        <v>2</v>
      </c>
      <c r="M228" s="1556">
        <f t="shared" si="51"/>
        <v>3</v>
      </c>
      <c r="N228" s="1556">
        <f t="shared" si="51"/>
        <v>1</v>
      </c>
      <c r="O228" s="1556">
        <f>COUNTIF(O15:O18,"&gt;=5")</f>
        <v>1</v>
      </c>
      <c r="P228" s="1556" t="e">
        <f>COUNTIF(#REF!,"&gt;=5")</f>
        <v>#REF!</v>
      </c>
      <c r="Q228" s="1556">
        <f>COUNTIF(Q15:Q18,"&gt;=5")</f>
        <v>1</v>
      </c>
      <c r="R228" s="1556">
        <f>COUNTIF(R15:R18,"&gt;=5")</f>
        <v>0</v>
      </c>
      <c r="S228" s="1556">
        <f>COUNTIF(S15:S18,"&gt;=5")</f>
        <v>0</v>
      </c>
      <c r="T228" s="1556">
        <f>COUNTIF(T15:T18,"&gt;=5")</f>
        <v>0</v>
      </c>
      <c r="U228" s="3001">
        <f t="shared" ref="U228:X228" si="52">COUNTIF(U15:U18,"&gt;=5")</f>
        <v>0</v>
      </c>
      <c r="V228" s="3001">
        <f t="shared" si="52"/>
        <v>0</v>
      </c>
      <c r="W228" s="3001">
        <f t="shared" si="52"/>
        <v>0</v>
      </c>
      <c r="X228" s="3001">
        <f t="shared" si="52"/>
        <v>0</v>
      </c>
      <c r="Y228" s="2840"/>
      <c r="Z228" s="2840"/>
      <c r="AA228" s="1556">
        <f>COUNTIF(AA15:AA18,"&gt;=5")</f>
        <v>1</v>
      </c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BH228" s="61"/>
      <c r="BI228" s="61"/>
      <c r="BJ228" s="61"/>
      <c r="BK228" s="61"/>
      <c r="BL228" s="61"/>
      <c r="BM228" s="61"/>
      <c r="BN228" s="61"/>
      <c r="BO228" s="61"/>
      <c r="BP228" s="61"/>
    </row>
    <row r="229" spans="1:68" s="1096" customFormat="1">
      <c r="A229" s="3570"/>
      <c r="B229" s="2884"/>
      <c r="C229" s="3582"/>
      <c r="D229" s="3536"/>
      <c r="E229" s="1558">
        <f t="shared" ref="E229:O229" si="53">COUNT(E15:E18)</f>
        <v>4</v>
      </c>
      <c r="F229" s="1558">
        <f t="shared" si="53"/>
        <v>4</v>
      </c>
      <c r="G229" s="1558">
        <f t="shared" si="53"/>
        <v>4</v>
      </c>
      <c r="H229" s="1558">
        <f t="shared" si="53"/>
        <v>4</v>
      </c>
      <c r="I229" s="1558">
        <f t="shared" si="53"/>
        <v>4</v>
      </c>
      <c r="J229" s="1558">
        <f t="shared" si="53"/>
        <v>4</v>
      </c>
      <c r="K229" s="1558">
        <f t="shared" si="53"/>
        <v>4</v>
      </c>
      <c r="L229" s="1558">
        <f t="shared" si="53"/>
        <v>4</v>
      </c>
      <c r="M229" s="1558">
        <f t="shared" si="53"/>
        <v>4</v>
      </c>
      <c r="N229" s="1558">
        <f t="shared" si="53"/>
        <v>4</v>
      </c>
      <c r="O229" s="1735">
        <f t="shared" si="53"/>
        <v>4</v>
      </c>
      <c r="P229" s="1558">
        <f>COUNT(#REF!)</f>
        <v>0</v>
      </c>
      <c r="Q229" s="1558">
        <f>COUNT(Q15:Q18)</f>
        <v>4</v>
      </c>
      <c r="R229" s="1558">
        <f>COUNT(R15:R18)</f>
        <v>4</v>
      </c>
      <c r="S229" s="1558">
        <f>COUNT(S15:S18)</f>
        <v>4</v>
      </c>
      <c r="T229" s="1558">
        <f>COUNT(T15:T18)</f>
        <v>4</v>
      </c>
      <c r="U229" s="3002">
        <f t="shared" ref="U229:X229" si="54">COUNT(U15:U18)</f>
        <v>0</v>
      </c>
      <c r="V229" s="3002">
        <f t="shared" si="54"/>
        <v>0</v>
      </c>
      <c r="W229" s="3002">
        <f t="shared" si="54"/>
        <v>0</v>
      </c>
      <c r="X229" s="3002">
        <f t="shared" si="54"/>
        <v>4</v>
      </c>
      <c r="Y229" s="2841"/>
      <c r="Z229" s="2841"/>
      <c r="AA229" s="1558">
        <f>COUNT(AA15:AA18)</f>
        <v>3</v>
      </c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BH229" s="61"/>
      <c r="BI229" s="61"/>
      <c r="BJ229" s="61"/>
      <c r="BK229" s="61"/>
      <c r="BL229" s="61"/>
      <c r="BM229" s="61"/>
      <c r="BN229" s="61"/>
      <c r="BO229" s="61"/>
      <c r="BP229" s="61"/>
    </row>
    <row r="230" spans="1:68" s="1096" customFormat="1">
      <c r="A230" s="3570"/>
      <c r="B230" s="2884"/>
      <c r="C230" s="3583"/>
      <c r="D230" s="3537"/>
      <c r="E230" s="1557">
        <f>E228/E229</f>
        <v>1</v>
      </c>
      <c r="F230" s="1557">
        <f t="shared" ref="F230:AA230" si="55">F228/F229</f>
        <v>1</v>
      </c>
      <c r="G230" s="1557">
        <f t="shared" si="55"/>
        <v>1</v>
      </c>
      <c r="H230" s="1557">
        <f t="shared" si="55"/>
        <v>0.5</v>
      </c>
      <c r="I230" s="1557">
        <f t="shared" si="55"/>
        <v>0.75</v>
      </c>
      <c r="J230" s="1557">
        <f t="shared" si="55"/>
        <v>0</v>
      </c>
      <c r="K230" s="1557">
        <f t="shared" si="55"/>
        <v>0.5</v>
      </c>
      <c r="L230" s="1557">
        <f t="shared" si="55"/>
        <v>0.5</v>
      </c>
      <c r="M230" s="1557">
        <f t="shared" si="55"/>
        <v>0.75</v>
      </c>
      <c r="N230" s="1557">
        <f t="shared" si="55"/>
        <v>0.25</v>
      </c>
      <c r="O230" s="1557">
        <f t="shared" si="55"/>
        <v>0.25</v>
      </c>
      <c r="P230" s="1557" t="e">
        <f t="shared" si="55"/>
        <v>#REF!</v>
      </c>
      <c r="Q230" s="1557">
        <f t="shared" si="55"/>
        <v>0.25</v>
      </c>
      <c r="R230" s="1557">
        <f t="shared" si="55"/>
        <v>0</v>
      </c>
      <c r="S230" s="1557">
        <f t="shared" si="55"/>
        <v>0</v>
      </c>
      <c r="T230" s="1557">
        <f t="shared" si="55"/>
        <v>0</v>
      </c>
      <c r="U230" s="1557" t="e">
        <f t="shared" ref="U230:X230" si="56">U228/U229</f>
        <v>#DIV/0!</v>
      </c>
      <c r="V230" s="1557" t="e">
        <f t="shared" si="56"/>
        <v>#DIV/0!</v>
      </c>
      <c r="W230" s="1557" t="e">
        <f t="shared" si="56"/>
        <v>#DIV/0!</v>
      </c>
      <c r="X230" s="1557">
        <f t="shared" si="56"/>
        <v>0</v>
      </c>
      <c r="Y230" s="1557"/>
      <c r="Z230" s="1557"/>
      <c r="AA230" s="1557">
        <f t="shared" si="55"/>
        <v>0.33333333333333331</v>
      </c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BH230" s="61"/>
      <c r="BI230" s="61"/>
      <c r="BJ230" s="61"/>
      <c r="BK230" s="61"/>
      <c r="BL230" s="61"/>
      <c r="BM230" s="61"/>
      <c r="BN230" s="61"/>
      <c r="BO230" s="61"/>
      <c r="BP230" s="61"/>
    </row>
    <row r="231" spans="1:68">
      <c r="A231" s="3570"/>
      <c r="B231" s="2884"/>
      <c r="C231" s="3581" t="s">
        <v>131</v>
      </c>
      <c r="D231" s="3535">
        <f>COUNTA(A19:A21)</f>
        <v>3</v>
      </c>
      <c r="E231" s="1556">
        <f t="shared" ref="E231:N231" si="57">COUNTIF(E19:E21,"&gt;=5")</f>
        <v>0</v>
      </c>
      <c r="F231" s="1556">
        <f t="shared" si="57"/>
        <v>0</v>
      </c>
      <c r="G231" s="1556">
        <f t="shared" si="57"/>
        <v>0</v>
      </c>
      <c r="H231" s="1556">
        <f t="shared" si="57"/>
        <v>0</v>
      </c>
      <c r="I231" s="1556">
        <f t="shared" si="57"/>
        <v>3</v>
      </c>
      <c r="J231" s="1556">
        <f t="shared" si="57"/>
        <v>0</v>
      </c>
      <c r="K231" s="1556">
        <f t="shared" si="57"/>
        <v>0</v>
      </c>
      <c r="L231" s="1556">
        <f t="shared" si="57"/>
        <v>0</v>
      </c>
      <c r="M231" s="1556">
        <f t="shared" si="57"/>
        <v>0</v>
      </c>
      <c r="N231" s="1556">
        <f t="shared" si="57"/>
        <v>0</v>
      </c>
      <c r="O231" s="1734">
        <f>COUNTIF(O19:O21,"&gt;=5")</f>
        <v>0</v>
      </c>
      <c r="P231" s="1556" t="e">
        <f>COUNTIF(#REF!,"&gt;=5")</f>
        <v>#REF!</v>
      </c>
      <c r="Q231" s="1556">
        <f>COUNTIF(Q19:Q21,"&gt;=5")</f>
        <v>0</v>
      </c>
      <c r="R231" s="1556">
        <f>COUNTIF(R19:R21,"&gt;=5")</f>
        <v>0</v>
      </c>
      <c r="S231" s="1556">
        <f>COUNTIF(S19:S21,"&gt;=5")</f>
        <v>0</v>
      </c>
      <c r="T231" s="1556">
        <f>COUNTIF(T19:T21,"&gt;=5")</f>
        <v>0</v>
      </c>
      <c r="U231" s="3001">
        <f t="shared" ref="U231:X231" si="58">COUNTIF(U19:U21,"&gt;=5")</f>
        <v>0</v>
      </c>
      <c r="V231" s="3001">
        <f t="shared" si="58"/>
        <v>0</v>
      </c>
      <c r="W231" s="3001">
        <f t="shared" si="58"/>
        <v>0</v>
      </c>
      <c r="X231" s="3001">
        <f t="shared" si="58"/>
        <v>0</v>
      </c>
      <c r="Y231" s="2840"/>
      <c r="Z231" s="2840"/>
      <c r="AA231" s="1556">
        <f>COUNTIF(AA19:AA21,"&gt;=5")</f>
        <v>0</v>
      </c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</row>
    <row r="232" spans="1:68" s="1096" customFormat="1">
      <c r="A232" s="3570"/>
      <c r="B232" s="2884"/>
      <c r="C232" s="3582"/>
      <c r="D232" s="3536"/>
      <c r="E232" s="1558">
        <f t="shared" ref="E232:N232" si="59">COUNT(E19:E21)</f>
        <v>3</v>
      </c>
      <c r="F232" s="1558">
        <f t="shared" si="59"/>
        <v>3</v>
      </c>
      <c r="G232" s="1558">
        <f t="shared" si="59"/>
        <v>3</v>
      </c>
      <c r="H232" s="1558">
        <f t="shared" si="59"/>
        <v>3</v>
      </c>
      <c r="I232" s="1558">
        <f t="shared" si="59"/>
        <v>3</v>
      </c>
      <c r="J232" s="1558">
        <f t="shared" si="59"/>
        <v>3</v>
      </c>
      <c r="K232" s="1558">
        <f t="shared" si="59"/>
        <v>3</v>
      </c>
      <c r="L232" s="1558">
        <f t="shared" si="59"/>
        <v>3</v>
      </c>
      <c r="M232" s="1558">
        <f t="shared" si="59"/>
        <v>3</v>
      </c>
      <c r="N232" s="1558">
        <f t="shared" si="59"/>
        <v>3</v>
      </c>
      <c r="O232" s="1735">
        <f>COUNT(O19:O21)</f>
        <v>3</v>
      </c>
      <c r="P232" s="1558">
        <f>COUNT(#REF!)</f>
        <v>0</v>
      </c>
      <c r="Q232" s="1558">
        <f>COUNT(Q19:Q21)</f>
        <v>3</v>
      </c>
      <c r="R232" s="1558">
        <f>COUNT(R19:R21)</f>
        <v>3</v>
      </c>
      <c r="S232" s="1558">
        <f>COUNT(S19:S21)</f>
        <v>3</v>
      </c>
      <c r="T232" s="1558">
        <f>COUNT(T19:T21)</f>
        <v>3</v>
      </c>
      <c r="U232" s="3002">
        <f t="shared" ref="U232:X232" si="60">COUNT(U19:U21)</f>
        <v>3</v>
      </c>
      <c r="V232" s="3002">
        <f t="shared" si="60"/>
        <v>3</v>
      </c>
      <c r="W232" s="3002">
        <f t="shared" si="60"/>
        <v>2</v>
      </c>
      <c r="X232" s="3002">
        <f t="shared" si="60"/>
        <v>3</v>
      </c>
      <c r="Y232" s="2841"/>
      <c r="Z232" s="2841"/>
      <c r="AA232" s="1558">
        <f>COUNT(AA19:AA21)</f>
        <v>3</v>
      </c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</row>
    <row r="233" spans="1:68" s="1096" customFormat="1">
      <c r="A233" s="3570"/>
      <c r="B233" s="2884"/>
      <c r="C233" s="3583"/>
      <c r="D233" s="3537"/>
      <c r="E233" s="1557">
        <f>E231/E232</f>
        <v>0</v>
      </c>
      <c r="F233" s="1557">
        <f t="shared" ref="F233:AA233" si="61">F231/F232</f>
        <v>0</v>
      </c>
      <c r="G233" s="1557">
        <f t="shared" si="61"/>
        <v>0</v>
      </c>
      <c r="H233" s="1557">
        <f t="shared" si="61"/>
        <v>0</v>
      </c>
      <c r="I233" s="1557">
        <f t="shared" si="61"/>
        <v>1</v>
      </c>
      <c r="J233" s="1557">
        <f t="shared" si="61"/>
        <v>0</v>
      </c>
      <c r="K233" s="1557">
        <f t="shared" si="61"/>
        <v>0</v>
      </c>
      <c r="L233" s="1557">
        <f t="shared" si="61"/>
        <v>0</v>
      </c>
      <c r="M233" s="1557">
        <f t="shared" si="61"/>
        <v>0</v>
      </c>
      <c r="N233" s="1557">
        <f t="shared" si="61"/>
        <v>0</v>
      </c>
      <c r="O233" s="1557">
        <f t="shared" si="61"/>
        <v>0</v>
      </c>
      <c r="P233" s="1557" t="e">
        <f t="shared" si="61"/>
        <v>#REF!</v>
      </c>
      <c r="Q233" s="1557">
        <f t="shared" si="61"/>
        <v>0</v>
      </c>
      <c r="R233" s="1557">
        <f t="shared" si="61"/>
        <v>0</v>
      </c>
      <c r="S233" s="1557">
        <f t="shared" si="61"/>
        <v>0</v>
      </c>
      <c r="T233" s="1557">
        <f t="shared" si="61"/>
        <v>0</v>
      </c>
      <c r="U233" s="1557">
        <f t="shared" ref="U233:X233" si="62">U231/U232</f>
        <v>0</v>
      </c>
      <c r="V233" s="1557">
        <f t="shared" si="62"/>
        <v>0</v>
      </c>
      <c r="W233" s="1557">
        <f t="shared" si="62"/>
        <v>0</v>
      </c>
      <c r="X233" s="1557">
        <f t="shared" si="62"/>
        <v>0</v>
      </c>
      <c r="Y233" s="1557"/>
      <c r="Z233" s="1557"/>
      <c r="AA233" s="1557">
        <f t="shared" si="61"/>
        <v>0</v>
      </c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</row>
    <row r="234" spans="1:68">
      <c r="A234" s="3570"/>
      <c r="B234" s="2884"/>
      <c r="C234" s="3581" t="s">
        <v>185</v>
      </c>
      <c r="D234" s="3535">
        <f>COUNTA(A22:A24)</f>
        <v>3</v>
      </c>
      <c r="E234" s="1556">
        <f t="shared" ref="E234:N234" si="63">COUNTIF(E22:E24,"&gt;=5")</f>
        <v>1</v>
      </c>
      <c r="F234" s="1556">
        <f t="shared" si="63"/>
        <v>0</v>
      </c>
      <c r="G234" s="1556">
        <f t="shared" si="63"/>
        <v>1</v>
      </c>
      <c r="H234" s="1556">
        <f t="shared" si="63"/>
        <v>1</v>
      </c>
      <c r="I234" s="1556">
        <f t="shared" si="63"/>
        <v>3</v>
      </c>
      <c r="J234" s="1556">
        <f t="shared" si="63"/>
        <v>0</v>
      </c>
      <c r="K234" s="1556">
        <f t="shared" si="63"/>
        <v>3</v>
      </c>
      <c r="L234" s="1556">
        <f t="shared" si="63"/>
        <v>0</v>
      </c>
      <c r="M234" s="1556">
        <f t="shared" si="63"/>
        <v>0</v>
      </c>
      <c r="N234" s="1556">
        <f t="shared" si="63"/>
        <v>0</v>
      </c>
      <c r="O234" s="1734">
        <f>COUNTIF(O22:O24,"&gt;=5")</f>
        <v>0</v>
      </c>
      <c r="P234" s="1556" t="e">
        <f>COUNTIF(#REF!,"&gt;=5")</f>
        <v>#REF!</v>
      </c>
      <c r="Q234" s="1556">
        <f>COUNTIF(Q22:Q24,"&gt;=5")</f>
        <v>0</v>
      </c>
      <c r="R234" s="1556">
        <f>COUNTIF(R22:R24,"&gt;=5")</f>
        <v>0</v>
      </c>
      <c r="S234" s="1556">
        <f>COUNTIF(S22:S24,"&gt;=5")</f>
        <v>0</v>
      </c>
      <c r="T234" s="1556">
        <f>COUNTIF(T22:T24,"&gt;=5")</f>
        <v>0</v>
      </c>
      <c r="U234" s="3001">
        <f t="shared" ref="U234:X234" si="64">COUNTIF(U22:U24,"&gt;=5")</f>
        <v>0</v>
      </c>
      <c r="V234" s="3001">
        <f t="shared" si="64"/>
        <v>0</v>
      </c>
      <c r="W234" s="3001">
        <f t="shared" si="64"/>
        <v>0</v>
      </c>
      <c r="X234" s="3001">
        <f t="shared" si="64"/>
        <v>0</v>
      </c>
      <c r="Y234" s="2840"/>
      <c r="Z234" s="2840"/>
      <c r="AA234" s="1556">
        <f>COUNTIF(AA22:AA24,"&gt;=5")</f>
        <v>0</v>
      </c>
      <c r="AC234" s="1559"/>
    </row>
    <row r="235" spans="1:68" s="1096" customFormat="1">
      <c r="A235" s="3570"/>
      <c r="B235" s="2884"/>
      <c r="C235" s="3582"/>
      <c r="D235" s="3536"/>
      <c r="E235" s="1558">
        <f t="shared" ref="E235:N235" si="65">COUNT(E22:E24)</f>
        <v>3</v>
      </c>
      <c r="F235" s="1558">
        <f t="shared" si="65"/>
        <v>3</v>
      </c>
      <c r="G235" s="1558">
        <f t="shared" si="65"/>
        <v>3</v>
      </c>
      <c r="H235" s="1558">
        <f t="shared" si="65"/>
        <v>3</v>
      </c>
      <c r="I235" s="1558">
        <f t="shared" si="65"/>
        <v>3</v>
      </c>
      <c r="J235" s="1558">
        <f t="shared" si="65"/>
        <v>3</v>
      </c>
      <c r="K235" s="1558">
        <f t="shared" si="65"/>
        <v>3</v>
      </c>
      <c r="L235" s="1558">
        <f t="shared" si="65"/>
        <v>3</v>
      </c>
      <c r="M235" s="1558">
        <f t="shared" si="65"/>
        <v>0</v>
      </c>
      <c r="N235" s="1558">
        <f t="shared" si="65"/>
        <v>3</v>
      </c>
      <c r="O235" s="1735">
        <f>COUNT(O22:O24)</f>
        <v>3</v>
      </c>
      <c r="P235" s="1558">
        <f>COUNT(#REF!)</f>
        <v>0</v>
      </c>
      <c r="Q235" s="1558">
        <f>COUNT(Q22:Q24)</f>
        <v>3</v>
      </c>
      <c r="R235" s="1558">
        <f>COUNT(R22:R24)</f>
        <v>3</v>
      </c>
      <c r="S235" s="1558">
        <f>COUNT(S22:S24)</f>
        <v>3</v>
      </c>
      <c r="T235" s="1558">
        <f>COUNT(T22:T24)</f>
        <v>0</v>
      </c>
      <c r="U235" s="3002">
        <f t="shared" ref="U235:X235" si="66">COUNT(U22:U24)</f>
        <v>0</v>
      </c>
      <c r="V235" s="3002">
        <f t="shared" si="66"/>
        <v>0</v>
      </c>
      <c r="W235" s="3002">
        <f t="shared" si="66"/>
        <v>0</v>
      </c>
      <c r="X235" s="3002">
        <f t="shared" si="66"/>
        <v>3</v>
      </c>
      <c r="Y235" s="2841"/>
      <c r="Z235" s="2841"/>
      <c r="AA235" s="1558">
        <f>COUNT(AA22:AA24)</f>
        <v>3</v>
      </c>
      <c r="AC235" s="169"/>
    </row>
    <row r="236" spans="1:68" s="1096" customFormat="1">
      <c r="A236" s="3570"/>
      <c r="B236" s="2884"/>
      <c r="C236" s="3583"/>
      <c r="D236" s="3537"/>
      <c r="E236" s="1557">
        <f>E234/E235</f>
        <v>0.33333333333333331</v>
      </c>
      <c r="F236" s="1557">
        <f t="shared" ref="F236:AA236" si="67">F234/F235</f>
        <v>0</v>
      </c>
      <c r="G236" s="1557">
        <f t="shared" si="67"/>
        <v>0.33333333333333331</v>
      </c>
      <c r="H236" s="1557">
        <f t="shared" si="67"/>
        <v>0.33333333333333331</v>
      </c>
      <c r="I236" s="1557">
        <f t="shared" si="67"/>
        <v>1</v>
      </c>
      <c r="J236" s="1557">
        <f t="shared" si="67"/>
        <v>0</v>
      </c>
      <c r="K236" s="1557">
        <f t="shared" si="67"/>
        <v>1</v>
      </c>
      <c r="L236" s="1557">
        <f t="shared" si="67"/>
        <v>0</v>
      </c>
      <c r="M236" s="1557" t="e">
        <f t="shared" si="67"/>
        <v>#DIV/0!</v>
      </c>
      <c r="N236" s="1557">
        <f t="shared" si="67"/>
        <v>0</v>
      </c>
      <c r="O236" s="1557">
        <f t="shared" si="67"/>
        <v>0</v>
      </c>
      <c r="P236" s="1557" t="e">
        <f t="shared" si="67"/>
        <v>#REF!</v>
      </c>
      <c r="Q236" s="1557">
        <f t="shared" si="67"/>
        <v>0</v>
      </c>
      <c r="R236" s="1557">
        <f t="shared" si="67"/>
        <v>0</v>
      </c>
      <c r="S236" s="1557">
        <f t="shared" si="67"/>
        <v>0</v>
      </c>
      <c r="T236" s="1557" t="e">
        <f t="shared" si="67"/>
        <v>#DIV/0!</v>
      </c>
      <c r="U236" s="1557" t="e">
        <f t="shared" ref="U236:X236" si="68">U234/U235</f>
        <v>#DIV/0!</v>
      </c>
      <c r="V236" s="1557" t="e">
        <f t="shared" si="68"/>
        <v>#DIV/0!</v>
      </c>
      <c r="W236" s="1557" t="e">
        <f t="shared" si="68"/>
        <v>#DIV/0!</v>
      </c>
      <c r="X236" s="1557">
        <f t="shared" si="68"/>
        <v>0</v>
      </c>
      <c r="Y236" s="1557"/>
      <c r="Z236" s="1557"/>
      <c r="AA236" s="1557">
        <f t="shared" si="67"/>
        <v>0</v>
      </c>
    </row>
    <row r="237" spans="1:68">
      <c r="A237" s="3570"/>
      <c r="B237" s="2884"/>
      <c r="C237" s="3581" t="s">
        <v>132</v>
      </c>
      <c r="D237" s="3535">
        <f>COUNTA(A25:A29)</f>
        <v>5</v>
      </c>
      <c r="E237" s="1556">
        <f t="shared" ref="E237:N237" si="69">COUNTIF(E25:E29,"&gt;=5")</f>
        <v>0</v>
      </c>
      <c r="F237" s="1556">
        <f t="shared" si="69"/>
        <v>0</v>
      </c>
      <c r="G237" s="1556">
        <f t="shared" si="69"/>
        <v>0</v>
      </c>
      <c r="H237" s="1556">
        <f t="shared" si="69"/>
        <v>1</v>
      </c>
      <c r="I237" s="1556">
        <f t="shared" si="69"/>
        <v>0</v>
      </c>
      <c r="J237" s="1556">
        <f t="shared" si="69"/>
        <v>1</v>
      </c>
      <c r="K237" s="1556">
        <f t="shared" si="69"/>
        <v>0</v>
      </c>
      <c r="L237" s="1556">
        <f t="shared" si="69"/>
        <v>0</v>
      </c>
      <c r="M237" s="1556">
        <f t="shared" si="69"/>
        <v>0</v>
      </c>
      <c r="N237" s="1556">
        <f t="shared" si="69"/>
        <v>0</v>
      </c>
      <c r="O237" s="1734">
        <f>COUNTIF(O25:O29,"&gt;=5")</f>
        <v>0</v>
      </c>
      <c r="P237" s="1556" t="e">
        <f>COUNTIF(#REF!,"&gt;=5")</f>
        <v>#REF!</v>
      </c>
      <c r="Q237" s="1556">
        <f>COUNTIF(Q25:Q29,"&gt;=5")</f>
        <v>0</v>
      </c>
      <c r="R237" s="1556">
        <f>COUNTIF(R25:R29,"&gt;=5")</f>
        <v>0</v>
      </c>
      <c r="S237" s="1556">
        <f>COUNTIF(S25:S29,"&gt;=5")</f>
        <v>0</v>
      </c>
      <c r="T237" s="1556">
        <f>COUNTIF(T25:T29,"&gt;=5")</f>
        <v>0</v>
      </c>
      <c r="U237" s="3001">
        <f t="shared" ref="U237:X237" si="70">COUNTIF(U25:U29,"&gt;=5")</f>
        <v>0</v>
      </c>
      <c r="V237" s="3001">
        <f t="shared" si="70"/>
        <v>0</v>
      </c>
      <c r="W237" s="3001">
        <f t="shared" si="70"/>
        <v>0</v>
      </c>
      <c r="X237" s="3001">
        <f t="shared" si="70"/>
        <v>0</v>
      </c>
      <c r="Y237" s="2840"/>
      <c r="Z237" s="2840"/>
      <c r="AA237" s="1556">
        <f>COUNTIF(AA25:AA29,"&gt;=5")</f>
        <v>0</v>
      </c>
    </row>
    <row r="238" spans="1:68" s="1096" customFormat="1">
      <c r="A238" s="3570"/>
      <c r="B238" s="2884"/>
      <c r="C238" s="3582"/>
      <c r="D238" s="3536"/>
      <c r="E238" s="1558">
        <f t="shared" ref="E238:N238" si="71">COUNT(E25:E29)</f>
        <v>5</v>
      </c>
      <c r="F238" s="1558">
        <f t="shared" si="71"/>
        <v>5</v>
      </c>
      <c r="G238" s="1558">
        <f t="shared" si="71"/>
        <v>5</v>
      </c>
      <c r="H238" s="1558">
        <f t="shared" si="71"/>
        <v>5</v>
      </c>
      <c r="I238" s="1558">
        <f t="shared" si="71"/>
        <v>5</v>
      </c>
      <c r="J238" s="1558">
        <f t="shared" si="71"/>
        <v>5</v>
      </c>
      <c r="K238" s="1558">
        <f t="shared" si="71"/>
        <v>5</v>
      </c>
      <c r="L238" s="1558">
        <f t="shared" si="71"/>
        <v>5</v>
      </c>
      <c r="M238" s="1558">
        <f t="shared" si="71"/>
        <v>5</v>
      </c>
      <c r="N238" s="1558">
        <f t="shared" si="71"/>
        <v>5</v>
      </c>
      <c r="O238" s="1735">
        <f>COUNT(O25:O29)</f>
        <v>5</v>
      </c>
      <c r="P238" s="1558">
        <f>COUNT(#REF!)</f>
        <v>0</v>
      </c>
      <c r="Q238" s="1558">
        <f>COUNT(Q25:Q29)</f>
        <v>5</v>
      </c>
      <c r="R238" s="1558">
        <f>COUNT(R25:R29)</f>
        <v>5</v>
      </c>
      <c r="S238" s="1558">
        <f>COUNT(S25:S29)</f>
        <v>5</v>
      </c>
      <c r="T238" s="1558">
        <f>COUNT(T25:T29)</f>
        <v>5</v>
      </c>
      <c r="U238" s="3002">
        <f t="shared" ref="U238:X238" si="72">COUNT(U25:U29)</f>
        <v>5</v>
      </c>
      <c r="V238" s="3002">
        <f t="shared" si="72"/>
        <v>5</v>
      </c>
      <c r="W238" s="3002">
        <f t="shared" si="72"/>
        <v>5</v>
      </c>
      <c r="X238" s="3002">
        <f t="shared" si="72"/>
        <v>5</v>
      </c>
      <c r="Y238" s="2841"/>
      <c r="Z238" s="2841"/>
      <c r="AA238" s="1558">
        <f>COUNT(AA25:AA29)</f>
        <v>5</v>
      </c>
    </row>
    <row r="239" spans="1:68" s="1096" customFormat="1">
      <c r="A239" s="3570"/>
      <c r="B239" s="2884"/>
      <c r="C239" s="3583"/>
      <c r="D239" s="3537"/>
      <c r="E239" s="1557">
        <f t="shared" ref="E239:T239" si="73">E237/E238</f>
        <v>0</v>
      </c>
      <c r="F239" s="1557">
        <f t="shared" si="73"/>
        <v>0</v>
      </c>
      <c r="G239" s="1557">
        <f t="shared" si="73"/>
        <v>0</v>
      </c>
      <c r="H239" s="1557">
        <f t="shared" si="73"/>
        <v>0.2</v>
      </c>
      <c r="I239" s="1557">
        <f t="shared" si="73"/>
        <v>0</v>
      </c>
      <c r="J239" s="1557">
        <f t="shared" si="73"/>
        <v>0.2</v>
      </c>
      <c r="K239" s="1557">
        <f t="shared" si="73"/>
        <v>0</v>
      </c>
      <c r="L239" s="1557">
        <f t="shared" si="73"/>
        <v>0</v>
      </c>
      <c r="M239" s="1557">
        <f t="shared" si="73"/>
        <v>0</v>
      </c>
      <c r="N239" s="1557">
        <f t="shared" si="73"/>
        <v>0</v>
      </c>
      <c r="O239" s="1557">
        <f t="shared" si="73"/>
        <v>0</v>
      </c>
      <c r="P239" s="1557" t="e">
        <f t="shared" si="73"/>
        <v>#REF!</v>
      </c>
      <c r="Q239" s="1557">
        <f t="shared" si="73"/>
        <v>0</v>
      </c>
      <c r="R239" s="1557">
        <f t="shared" si="73"/>
        <v>0</v>
      </c>
      <c r="S239" s="1557">
        <f t="shared" si="73"/>
        <v>0</v>
      </c>
      <c r="T239" s="1557">
        <f t="shared" si="73"/>
        <v>0</v>
      </c>
      <c r="U239" s="1557">
        <f t="shared" ref="U239:X239" si="74">U237/U238</f>
        <v>0</v>
      </c>
      <c r="V239" s="1557">
        <f t="shared" si="74"/>
        <v>0</v>
      </c>
      <c r="W239" s="1557">
        <f t="shared" si="74"/>
        <v>0</v>
      </c>
      <c r="X239" s="1557">
        <f t="shared" si="74"/>
        <v>0</v>
      </c>
      <c r="Y239" s="1557"/>
      <c r="Z239" s="1557"/>
      <c r="AA239" s="1557">
        <f>AA237/AA238</f>
        <v>0</v>
      </c>
    </row>
    <row r="240" spans="1:68">
      <c r="A240" s="3570"/>
      <c r="B240" s="2884"/>
      <c r="C240" s="3581" t="s">
        <v>63</v>
      </c>
      <c r="D240" s="3535">
        <f>COUNTA(A30:A34)</f>
        <v>5</v>
      </c>
      <c r="E240" s="1556">
        <f t="shared" ref="E240:N240" si="75">COUNTIF(E30:E34,"&gt;=5")</f>
        <v>0</v>
      </c>
      <c r="F240" s="1556">
        <f t="shared" si="75"/>
        <v>0</v>
      </c>
      <c r="G240" s="1556">
        <f t="shared" si="75"/>
        <v>3</v>
      </c>
      <c r="H240" s="1556">
        <f t="shared" si="75"/>
        <v>1</v>
      </c>
      <c r="I240" s="1556">
        <f t="shared" si="75"/>
        <v>1</v>
      </c>
      <c r="J240" s="1556">
        <f t="shared" si="75"/>
        <v>0</v>
      </c>
      <c r="K240" s="1556">
        <f t="shared" si="75"/>
        <v>0</v>
      </c>
      <c r="L240" s="1556">
        <f t="shared" si="75"/>
        <v>0</v>
      </c>
      <c r="M240" s="1556">
        <f t="shared" si="75"/>
        <v>0</v>
      </c>
      <c r="N240" s="1556">
        <f t="shared" si="75"/>
        <v>0</v>
      </c>
      <c r="O240" s="1734">
        <f>COUNTIF(O30:O34,"&gt;=5")</f>
        <v>0</v>
      </c>
      <c r="P240" s="1556" t="e">
        <f>COUNTIF(#REF!,"&gt;=5")</f>
        <v>#REF!</v>
      </c>
      <c r="Q240" s="1556">
        <f>COUNTIF(Q30:Q34,"&gt;=5")</f>
        <v>0</v>
      </c>
      <c r="R240" s="1556">
        <f>COUNTIF(R30:R34,"&gt;=5")</f>
        <v>0</v>
      </c>
      <c r="S240" s="1556">
        <f>COUNTIF(S30:S34,"&gt;=5")</f>
        <v>0</v>
      </c>
      <c r="T240" s="1556">
        <f>COUNTIF(T30:T34,"&gt;=5")</f>
        <v>0</v>
      </c>
      <c r="U240" s="3001">
        <f t="shared" ref="U240:X240" si="76">COUNTIF(U30:U34,"&gt;=5")</f>
        <v>0</v>
      </c>
      <c r="V240" s="3001">
        <f t="shared" si="76"/>
        <v>0</v>
      </c>
      <c r="W240" s="3001">
        <f t="shared" si="76"/>
        <v>0</v>
      </c>
      <c r="X240" s="3001">
        <f t="shared" si="76"/>
        <v>0</v>
      </c>
      <c r="Y240" s="2840"/>
      <c r="Z240" s="2840"/>
      <c r="AA240" s="1556">
        <f>COUNTIF(AA30:AA34,"&gt;=5")</f>
        <v>0</v>
      </c>
    </row>
    <row r="241" spans="1:27" s="1096" customFormat="1">
      <c r="A241" s="3570"/>
      <c r="B241" s="2884"/>
      <c r="C241" s="3582"/>
      <c r="D241" s="3536"/>
      <c r="E241" s="1558">
        <f t="shared" ref="E241:N241" si="77">COUNT(E30:E34)</f>
        <v>5</v>
      </c>
      <c r="F241" s="1558">
        <f t="shared" si="77"/>
        <v>5</v>
      </c>
      <c r="G241" s="1558">
        <f t="shared" si="77"/>
        <v>5</v>
      </c>
      <c r="H241" s="1558">
        <f t="shared" si="77"/>
        <v>5</v>
      </c>
      <c r="I241" s="1558">
        <f t="shared" si="77"/>
        <v>5</v>
      </c>
      <c r="J241" s="1558">
        <f t="shared" si="77"/>
        <v>5</v>
      </c>
      <c r="K241" s="1558">
        <f t="shared" si="77"/>
        <v>5</v>
      </c>
      <c r="L241" s="1558">
        <f t="shared" si="77"/>
        <v>5</v>
      </c>
      <c r="M241" s="1558">
        <f t="shared" si="77"/>
        <v>5</v>
      </c>
      <c r="N241" s="1558">
        <f t="shared" si="77"/>
        <v>5</v>
      </c>
      <c r="O241" s="1735">
        <f>COUNT(O30:O34)</f>
        <v>5</v>
      </c>
      <c r="P241" s="1558">
        <f>COUNT(#REF!)</f>
        <v>0</v>
      </c>
      <c r="Q241" s="1558">
        <f>COUNT(Q30:Q34)</f>
        <v>5</v>
      </c>
      <c r="R241" s="1558">
        <f>COUNT(R30:R34)</f>
        <v>5</v>
      </c>
      <c r="S241" s="1558">
        <f>COUNT(S30:S34)</f>
        <v>5</v>
      </c>
      <c r="T241" s="1558">
        <f>COUNT(T30:T34)</f>
        <v>5</v>
      </c>
      <c r="U241" s="3002">
        <f t="shared" ref="U241:X241" si="78">COUNT(U30:U34)</f>
        <v>5</v>
      </c>
      <c r="V241" s="3002">
        <f t="shared" si="78"/>
        <v>5</v>
      </c>
      <c r="W241" s="3002">
        <f t="shared" si="78"/>
        <v>5</v>
      </c>
      <c r="X241" s="3002">
        <f t="shared" si="78"/>
        <v>5</v>
      </c>
      <c r="Y241" s="2841"/>
      <c r="Z241" s="2841"/>
      <c r="AA241" s="1558">
        <f>COUNT(AA30:AA34)</f>
        <v>5</v>
      </c>
    </row>
    <row r="242" spans="1:27" s="1096" customFormat="1">
      <c r="A242" s="3570"/>
      <c r="B242" s="2884"/>
      <c r="C242" s="3583"/>
      <c r="D242" s="3537"/>
      <c r="E242" s="1557">
        <f t="shared" ref="E242:T242" si="79">E240/E241</f>
        <v>0</v>
      </c>
      <c r="F242" s="1557">
        <f t="shared" si="79"/>
        <v>0</v>
      </c>
      <c r="G242" s="1557">
        <f t="shared" si="79"/>
        <v>0.6</v>
      </c>
      <c r="H242" s="1557">
        <f t="shared" si="79"/>
        <v>0.2</v>
      </c>
      <c r="I242" s="1557">
        <f t="shared" si="79"/>
        <v>0.2</v>
      </c>
      <c r="J242" s="1557">
        <f t="shared" si="79"/>
        <v>0</v>
      </c>
      <c r="K242" s="1557">
        <f t="shared" si="79"/>
        <v>0</v>
      </c>
      <c r="L242" s="1557">
        <f t="shared" si="79"/>
        <v>0</v>
      </c>
      <c r="M242" s="1557">
        <f t="shared" si="79"/>
        <v>0</v>
      </c>
      <c r="N242" s="1557">
        <f t="shared" si="79"/>
        <v>0</v>
      </c>
      <c r="O242" s="1557">
        <f t="shared" si="79"/>
        <v>0</v>
      </c>
      <c r="P242" s="1557" t="e">
        <f t="shared" si="79"/>
        <v>#REF!</v>
      </c>
      <c r="Q242" s="1557">
        <f t="shared" si="79"/>
        <v>0</v>
      </c>
      <c r="R242" s="1557">
        <f t="shared" si="79"/>
        <v>0</v>
      </c>
      <c r="S242" s="1557">
        <f t="shared" si="79"/>
        <v>0</v>
      </c>
      <c r="T242" s="1557">
        <f t="shared" si="79"/>
        <v>0</v>
      </c>
      <c r="U242" s="1557">
        <f t="shared" ref="U242:X242" si="80">U240/U241</f>
        <v>0</v>
      </c>
      <c r="V242" s="1557">
        <f t="shared" si="80"/>
        <v>0</v>
      </c>
      <c r="W242" s="1557">
        <f t="shared" si="80"/>
        <v>0</v>
      </c>
      <c r="X242" s="1557">
        <f t="shared" si="80"/>
        <v>0</v>
      </c>
      <c r="Y242" s="1557"/>
      <c r="Z242" s="1557"/>
      <c r="AA242" s="1557">
        <f>AA240/AA241</f>
        <v>0</v>
      </c>
    </row>
    <row r="243" spans="1:27">
      <c r="A243" s="3570"/>
      <c r="B243" s="2884"/>
      <c r="C243" s="3581" t="s">
        <v>23</v>
      </c>
      <c r="D243" s="3535">
        <f>COUNTA(A35:A37)</f>
        <v>3</v>
      </c>
      <c r="E243" s="1556">
        <f t="shared" ref="E243:N243" si="81">COUNTIF(E35:E37,"&gt;=5")</f>
        <v>0</v>
      </c>
      <c r="F243" s="1556">
        <f t="shared" si="81"/>
        <v>1</v>
      </c>
      <c r="G243" s="1556">
        <f t="shared" si="81"/>
        <v>2</v>
      </c>
      <c r="H243" s="1556">
        <f t="shared" si="81"/>
        <v>1</v>
      </c>
      <c r="I243" s="1556">
        <f t="shared" si="81"/>
        <v>0</v>
      </c>
      <c r="J243" s="1556">
        <f t="shared" si="81"/>
        <v>0</v>
      </c>
      <c r="K243" s="1556">
        <f t="shared" si="81"/>
        <v>0</v>
      </c>
      <c r="L243" s="1556">
        <f t="shared" si="81"/>
        <v>0</v>
      </c>
      <c r="M243" s="1556">
        <f t="shared" si="81"/>
        <v>0</v>
      </c>
      <c r="N243" s="1556">
        <f t="shared" si="81"/>
        <v>0</v>
      </c>
      <c r="O243" s="1734">
        <f>COUNTIF(O35:O37,"&gt;=5")</f>
        <v>0</v>
      </c>
      <c r="P243" s="1556" t="e">
        <f>COUNTIF(#REF!,"&gt;=5")</f>
        <v>#REF!</v>
      </c>
      <c r="Q243" s="1556">
        <f>COUNTIF(Q35:Q37,"&gt;=5")</f>
        <v>0</v>
      </c>
      <c r="R243" s="1556">
        <f>COUNTIF(R35:R37,"&gt;=5")</f>
        <v>0</v>
      </c>
      <c r="S243" s="1556">
        <f>COUNTIF(S35:S37,"&gt;=5")</f>
        <v>0</v>
      </c>
      <c r="T243" s="1556">
        <f>COUNTIF(T35:T37,"&gt;=5")</f>
        <v>0</v>
      </c>
      <c r="U243" s="3001">
        <f t="shared" ref="U243:X243" si="82">COUNTIF(U35:U37,"&gt;=5")</f>
        <v>0</v>
      </c>
      <c r="V243" s="3001">
        <f t="shared" si="82"/>
        <v>0</v>
      </c>
      <c r="W243" s="3001">
        <f t="shared" si="82"/>
        <v>0</v>
      </c>
      <c r="X243" s="3001">
        <f t="shared" si="82"/>
        <v>0</v>
      </c>
      <c r="Y243" s="2840"/>
      <c r="Z243" s="2840"/>
      <c r="AA243" s="1556">
        <f>COUNTIF(AA35:AA37,"&gt;=5")</f>
        <v>0</v>
      </c>
    </row>
    <row r="244" spans="1:27" s="1096" customFormat="1">
      <c r="A244" s="3570"/>
      <c r="B244" s="2884"/>
      <c r="C244" s="3582"/>
      <c r="D244" s="3536"/>
      <c r="E244" s="1558">
        <f t="shared" ref="E244:N244" si="83">COUNT(E35:E37)</f>
        <v>3</v>
      </c>
      <c r="F244" s="1558">
        <f t="shared" si="83"/>
        <v>3</v>
      </c>
      <c r="G244" s="1558">
        <f t="shared" si="83"/>
        <v>3</v>
      </c>
      <c r="H244" s="1558">
        <f t="shared" si="83"/>
        <v>3</v>
      </c>
      <c r="I244" s="1558">
        <f t="shared" si="83"/>
        <v>3</v>
      </c>
      <c r="J244" s="1558">
        <f t="shared" si="83"/>
        <v>3</v>
      </c>
      <c r="K244" s="1558">
        <f t="shared" si="83"/>
        <v>3</v>
      </c>
      <c r="L244" s="1558">
        <f t="shared" si="83"/>
        <v>3</v>
      </c>
      <c r="M244" s="1558">
        <f t="shared" si="83"/>
        <v>3</v>
      </c>
      <c r="N244" s="1558">
        <f t="shared" si="83"/>
        <v>3</v>
      </c>
      <c r="O244" s="1735">
        <f>COUNT(O35:O37)</f>
        <v>3</v>
      </c>
      <c r="P244" s="1558">
        <f>COUNT(#REF!)</f>
        <v>0</v>
      </c>
      <c r="Q244" s="1558">
        <f>COUNT(Q35:Q37)</f>
        <v>3</v>
      </c>
      <c r="R244" s="1558">
        <f>COUNT(R35:R37)</f>
        <v>3</v>
      </c>
      <c r="S244" s="1558">
        <f>COUNT(S35:S37)</f>
        <v>3</v>
      </c>
      <c r="T244" s="1558">
        <f>COUNT(T35:T37)</f>
        <v>3</v>
      </c>
      <c r="U244" s="3002">
        <f t="shared" ref="U244:X244" si="84">COUNT(U35:U37)</f>
        <v>0</v>
      </c>
      <c r="V244" s="3002">
        <f t="shared" si="84"/>
        <v>0</v>
      </c>
      <c r="W244" s="3002">
        <f t="shared" si="84"/>
        <v>0</v>
      </c>
      <c r="X244" s="3002">
        <f t="shared" si="84"/>
        <v>3</v>
      </c>
      <c r="Y244" s="2841"/>
      <c r="Z244" s="2841"/>
      <c r="AA244" s="1558">
        <f>COUNT(AA35:AA37)</f>
        <v>3</v>
      </c>
    </row>
    <row r="245" spans="1:27" s="1096" customFormat="1">
      <c r="A245" s="3570"/>
      <c r="B245" s="2884"/>
      <c r="C245" s="3583"/>
      <c r="D245" s="3537"/>
      <c r="E245" s="1557">
        <f t="shared" ref="E245:T245" si="85">E243/E244</f>
        <v>0</v>
      </c>
      <c r="F245" s="1557">
        <f t="shared" si="85"/>
        <v>0.33333333333333331</v>
      </c>
      <c r="G245" s="1557">
        <f t="shared" si="85"/>
        <v>0.66666666666666663</v>
      </c>
      <c r="H245" s="1557">
        <f t="shared" si="85"/>
        <v>0.33333333333333331</v>
      </c>
      <c r="I245" s="1557">
        <f t="shared" si="85"/>
        <v>0</v>
      </c>
      <c r="J245" s="1557">
        <f t="shared" si="85"/>
        <v>0</v>
      </c>
      <c r="K245" s="1557">
        <f t="shared" si="85"/>
        <v>0</v>
      </c>
      <c r="L245" s="1557">
        <f t="shared" si="85"/>
        <v>0</v>
      </c>
      <c r="M245" s="1557">
        <f t="shared" si="85"/>
        <v>0</v>
      </c>
      <c r="N245" s="1557">
        <f t="shared" si="85"/>
        <v>0</v>
      </c>
      <c r="O245" s="1557">
        <f t="shared" si="85"/>
        <v>0</v>
      </c>
      <c r="P245" s="1557" t="e">
        <f t="shared" si="85"/>
        <v>#REF!</v>
      </c>
      <c r="Q245" s="1557">
        <f t="shared" si="85"/>
        <v>0</v>
      </c>
      <c r="R245" s="1557">
        <f t="shared" si="85"/>
        <v>0</v>
      </c>
      <c r="S245" s="1557">
        <f t="shared" si="85"/>
        <v>0</v>
      </c>
      <c r="T245" s="1557">
        <f t="shared" si="85"/>
        <v>0</v>
      </c>
      <c r="U245" s="1557" t="e">
        <f t="shared" ref="U245:X245" si="86">U243/U244</f>
        <v>#DIV/0!</v>
      </c>
      <c r="V245" s="1557" t="e">
        <f t="shared" si="86"/>
        <v>#DIV/0!</v>
      </c>
      <c r="W245" s="1557" t="e">
        <f t="shared" si="86"/>
        <v>#DIV/0!</v>
      </c>
      <c r="X245" s="1557">
        <f t="shared" si="86"/>
        <v>0</v>
      </c>
      <c r="Y245" s="1557"/>
      <c r="Z245" s="1557"/>
      <c r="AA245" s="1557">
        <f>AA243/AA244</f>
        <v>0</v>
      </c>
    </row>
    <row r="246" spans="1:27">
      <c r="A246" s="3570"/>
      <c r="B246" s="2884"/>
      <c r="C246" s="3581" t="s">
        <v>6</v>
      </c>
      <c r="D246" s="3535">
        <f>COUNTA(A38:A42)</f>
        <v>5</v>
      </c>
      <c r="E246" s="1556">
        <f t="shared" ref="E246:N246" si="87">COUNTIF(E38:E42,"&gt;=5")</f>
        <v>5</v>
      </c>
      <c r="F246" s="1556">
        <f t="shared" si="87"/>
        <v>0</v>
      </c>
      <c r="G246" s="1556">
        <f t="shared" si="87"/>
        <v>0</v>
      </c>
      <c r="H246" s="1556">
        <f t="shared" si="87"/>
        <v>4</v>
      </c>
      <c r="I246" s="1556">
        <f t="shared" si="87"/>
        <v>1</v>
      </c>
      <c r="J246" s="1556">
        <f t="shared" si="87"/>
        <v>4</v>
      </c>
      <c r="K246" s="1556">
        <f t="shared" si="87"/>
        <v>0</v>
      </c>
      <c r="L246" s="1556">
        <f t="shared" si="87"/>
        <v>0</v>
      </c>
      <c r="M246" s="1556">
        <f t="shared" si="87"/>
        <v>0</v>
      </c>
      <c r="N246" s="1556">
        <f t="shared" si="87"/>
        <v>0</v>
      </c>
      <c r="O246" s="1734">
        <f>COUNTIF(O38:O42,"&gt;=5")</f>
        <v>0</v>
      </c>
      <c r="P246" s="1556" t="e">
        <f>COUNTIF(#REF!,"&gt;=5")</f>
        <v>#REF!</v>
      </c>
      <c r="Q246" s="1556">
        <f>COUNTIF(Q38:Q42,"&gt;=5")</f>
        <v>0</v>
      </c>
      <c r="R246" s="1556">
        <f>COUNTIF(R38:R42,"&gt;=5")</f>
        <v>0</v>
      </c>
      <c r="S246" s="1556">
        <f>COUNTIF(S38:S42,"&gt;=5")</f>
        <v>0</v>
      </c>
      <c r="T246" s="1556">
        <f>COUNTIF(T38:T42,"&gt;=5")</f>
        <v>0</v>
      </c>
      <c r="U246" s="3001">
        <f t="shared" ref="U246:X246" si="88">COUNTIF(U38:U42,"&gt;=5")</f>
        <v>0</v>
      </c>
      <c r="V246" s="3001">
        <f t="shared" si="88"/>
        <v>0</v>
      </c>
      <c r="W246" s="3001">
        <f t="shared" si="88"/>
        <v>0</v>
      </c>
      <c r="X246" s="3001">
        <f t="shared" si="88"/>
        <v>0</v>
      </c>
      <c r="Y246" s="2840"/>
      <c r="Z246" s="2840"/>
      <c r="AA246" s="1556">
        <f>COUNTIF(AA38:AA42,"&gt;=5")</f>
        <v>5</v>
      </c>
    </row>
    <row r="247" spans="1:27" s="1096" customFormat="1">
      <c r="A247" s="3570"/>
      <c r="B247" s="2884"/>
      <c r="C247" s="3582"/>
      <c r="D247" s="3536"/>
      <c r="E247" s="1558">
        <f t="shared" ref="E247:N247" si="89">COUNT(E38:E42)</f>
        <v>5</v>
      </c>
      <c r="F247" s="1558">
        <f t="shared" si="89"/>
        <v>5</v>
      </c>
      <c r="G247" s="1558">
        <f t="shared" si="89"/>
        <v>5</v>
      </c>
      <c r="H247" s="1558">
        <f t="shared" si="89"/>
        <v>5</v>
      </c>
      <c r="I247" s="1558">
        <f t="shared" si="89"/>
        <v>5</v>
      </c>
      <c r="J247" s="1558">
        <f t="shared" si="89"/>
        <v>5</v>
      </c>
      <c r="K247" s="1558">
        <f t="shared" si="89"/>
        <v>5</v>
      </c>
      <c r="L247" s="1558">
        <f t="shared" si="89"/>
        <v>5</v>
      </c>
      <c r="M247" s="1558">
        <f t="shared" si="89"/>
        <v>5</v>
      </c>
      <c r="N247" s="1558">
        <f t="shared" si="89"/>
        <v>5</v>
      </c>
      <c r="O247" s="1735">
        <f>COUNT(O38:O42)</f>
        <v>5</v>
      </c>
      <c r="P247" s="1558">
        <f>COUNT(#REF!)</f>
        <v>0</v>
      </c>
      <c r="Q247" s="1558">
        <f>COUNT(Q38:Q42)</f>
        <v>0</v>
      </c>
      <c r="R247" s="1558">
        <f>COUNT(R38:R42)</f>
        <v>0</v>
      </c>
      <c r="S247" s="1558">
        <f>COUNT(S38:S42)</f>
        <v>0</v>
      </c>
      <c r="T247" s="1558">
        <f>COUNT(T38:T42)</f>
        <v>5</v>
      </c>
      <c r="U247" s="3002">
        <f t="shared" ref="U247:X247" si="90">COUNT(U38:U42)</f>
        <v>0</v>
      </c>
      <c r="V247" s="3002">
        <f t="shared" si="90"/>
        <v>0</v>
      </c>
      <c r="W247" s="3002">
        <f t="shared" si="90"/>
        <v>0</v>
      </c>
      <c r="X247" s="3002">
        <f t="shared" si="90"/>
        <v>5</v>
      </c>
      <c r="Y247" s="2841"/>
      <c r="Z247" s="2841"/>
      <c r="AA247" s="1558">
        <f>COUNT(AA38:AA42)</f>
        <v>5</v>
      </c>
    </row>
    <row r="248" spans="1:27" s="1096" customFormat="1">
      <c r="A248" s="3570"/>
      <c r="B248" s="2884"/>
      <c r="C248" s="3583"/>
      <c r="D248" s="3537"/>
      <c r="E248" s="1557">
        <f t="shared" ref="E248:T248" si="91">E246/E247</f>
        <v>1</v>
      </c>
      <c r="F248" s="1557">
        <f t="shared" si="91"/>
        <v>0</v>
      </c>
      <c r="G248" s="1557">
        <f t="shared" si="91"/>
        <v>0</v>
      </c>
      <c r="H248" s="1557">
        <f t="shared" si="91"/>
        <v>0.8</v>
      </c>
      <c r="I248" s="1557">
        <f t="shared" si="91"/>
        <v>0.2</v>
      </c>
      <c r="J248" s="1557">
        <f t="shared" si="91"/>
        <v>0.8</v>
      </c>
      <c r="K248" s="1557">
        <f t="shared" si="91"/>
        <v>0</v>
      </c>
      <c r="L248" s="1557">
        <f t="shared" si="91"/>
        <v>0</v>
      </c>
      <c r="M248" s="1557">
        <f t="shared" si="91"/>
        <v>0</v>
      </c>
      <c r="N248" s="1557">
        <f t="shared" si="91"/>
        <v>0</v>
      </c>
      <c r="O248" s="1557">
        <f t="shared" si="91"/>
        <v>0</v>
      </c>
      <c r="P248" s="1557" t="e">
        <f t="shared" si="91"/>
        <v>#REF!</v>
      </c>
      <c r="Q248" s="1557" t="e">
        <f t="shared" si="91"/>
        <v>#DIV/0!</v>
      </c>
      <c r="R248" s="1557" t="e">
        <f t="shared" si="91"/>
        <v>#DIV/0!</v>
      </c>
      <c r="S248" s="1557" t="e">
        <f t="shared" si="91"/>
        <v>#DIV/0!</v>
      </c>
      <c r="T248" s="1557">
        <f t="shared" si="91"/>
        <v>0</v>
      </c>
      <c r="U248" s="1557" t="e">
        <f t="shared" ref="U248:X248" si="92">U246/U247</f>
        <v>#DIV/0!</v>
      </c>
      <c r="V248" s="1557" t="e">
        <f t="shared" si="92"/>
        <v>#DIV/0!</v>
      </c>
      <c r="W248" s="1557" t="e">
        <f t="shared" si="92"/>
        <v>#DIV/0!</v>
      </c>
      <c r="X248" s="1557">
        <f t="shared" si="92"/>
        <v>0</v>
      </c>
      <c r="Y248" s="1557"/>
      <c r="Z248" s="1557"/>
      <c r="AA248" s="1557">
        <f>AA246/AA247</f>
        <v>1</v>
      </c>
    </row>
    <row r="249" spans="1:27">
      <c r="A249" s="3570"/>
      <c r="B249" s="2884"/>
      <c r="C249" s="3581" t="s">
        <v>28</v>
      </c>
      <c r="D249" s="3535">
        <f>COUNTA(A43:A45)</f>
        <v>3</v>
      </c>
      <c r="E249" s="1556">
        <f t="shared" ref="E249:N249" si="93">COUNTIF(E43:E45,"&gt;=5")</f>
        <v>1</v>
      </c>
      <c r="F249" s="1556">
        <f t="shared" si="93"/>
        <v>0</v>
      </c>
      <c r="G249" s="1556">
        <f t="shared" si="93"/>
        <v>0</v>
      </c>
      <c r="H249" s="1556">
        <f t="shared" si="93"/>
        <v>1</v>
      </c>
      <c r="I249" s="1556">
        <f t="shared" si="93"/>
        <v>0</v>
      </c>
      <c r="J249" s="1556">
        <f t="shared" si="93"/>
        <v>0</v>
      </c>
      <c r="K249" s="1556">
        <f t="shared" si="93"/>
        <v>0</v>
      </c>
      <c r="L249" s="1556">
        <f t="shared" si="93"/>
        <v>0</v>
      </c>
      <c r="M249" s="1556">
        <f t="shared" si="93"/>
        <v>0</v>
      </c>
      <c r="N249" s="1556">
        <f t="shared" si="93"/>
        <v>0</v>
      </c>
      <c r="O249" s="1734">
        <f>COUNTIF(O43:O45,"&gt;=5")</f>
        <v>0</v>
      </c>
      <c r="P249" s="1556" t="e">
        <f>COUNTIF(#REF!,"&gt;=5")</f>
        <v>#REF!</v>
      </c>
      <c r="Q249" s="1556">
        <f>COUNTIF(Q43:Q45,"&gt;=5")</f>
        <v>0</v>
      </c>
      <c r="R249" s="1556">
        <f>COUNTIF(R43:R45,"&gt;=5")</f>
        <v>0</v>
      </c>
      <c r="S249" s="1556">
        <f>COUNTIF(S43:S45,"&gt;=5")</f>
        <v>0</v>
      </c>
      <c r="T249" s="1556">
        <f>COUNTIF(T43:T45,"&gt;=5")</f>
        <v>0</v>
      </c>
      <c r="U249" s="3001">
        <f t="shared" ref="U249:X249" si="94">COUNTIF(U43:U45,"&gt;=5")</f>
        <v>0</v>
      </c>
      <c r="V249" s="3001">
        <f t="shared" si="94"/>
        <v>0</v>
      </c>
      <c r="W249" s="3001">
        <f t="shared" si="94"/>
        <v>0</v>
      </c>
      <c r="X249" s="3001">
        <f t="shared" si="94"/>
        <v>0</v>
      </c>
      <c r="Y249" s="2840"/>
      <c r="Z249" s="2840"/>
      <c r="AA249" s="1556">
        <f>COUNTIF(AA43:AA45,"&gt;=5")</f>
        <v>0</v>
      </c>
    </row>
    <row r="250" spans="1:27" s="1096" customFormat="1">
      <c r="A250" s="3570"/>
      <c r="B250" s="2884"/>
      <c r="C250" s="3582"/>
      <c r="D250" s="3536"/>
      <c r="E250" s="1558">
        <f t="shared" ref="E250:N250" si="95">COUNT(E43:E45)</f>
        <v>3</v>
      </c>
      <c r="F250" s="1558">
        <f t="shared" si="95"/>
        <v>3</v>
      </c>
      <c r="G250" s="1558">
        <f t="shared" si="95"/>
        <v>3</v>
      </c>
      <c r="H250" s="1558">
        <f t="shared" si="95"/>
        <v>3</v>
      </c>
      <c r="I250" s="1558">
        <f t="shared" si="95"/>
        <v>3</v>
      </c>
      <c r="J250" s="1558">
        <f t="shared" si="95"/>
        <v>3</v>
      </c>
      <c r="K250" s="1558">
        <f t="shared" si="95"/>
        <v>3</v>
      </c>
      <c r="L250" s="1558">
        <f t="shared" si="95"/>
        <v>3</v>
      </c>
      <c r="M250" s="1558">
        <f t="shared" si="95"/>
        <v>3</v>
      </c>
      <c r="N250" s="1558">
        <f t="shared" si="95"/>
        <v>3</v>
      </c>
      <c r="O250" s="1735">
        <f>COUNT(O43:O45)</f>
        <v>3</v>
      </c>
      <c r="P250" s="1558">
        <f>COUNT(#REF!)</f>
        <v>0</v>
      </c>
      <c r="Q250" s="1558">
        <f>COUNT(Q43:Q45)</f>
        <v>3</v>
      </c>
      <c r="R250" s="1558">
        <f>COUNT(R43:R45)</f>
        <v>3</v>
      </c>
      <c r="S250" s="1558">
        <f>COUNT(S43:S45)</f>
        <v>3</v>
      </c>
      <c r="T250" s="1558">
        <f>COUNT(T43:T45)</f>
        <v>3</v>
      </c>
      <c r="U250" s="3002">
        <f t="shared" ref="U250:X250" si="96">COUNT(U43:U45)</f>
        <v>0</v>
      </c>
      <c r="V250" s="3002">
        <f t="shared" si="96"/>
        <v>0</v>
      </c>
      <c r="W250" s="3002">
        <f t="shared" si="96"/>
        <v>0</v>
      </c>
      <c r="X250" s="3002">
        <f t="shared" si="96"/>
        <v>3</v>
      </c>
      <c r="Y250" s="2841"/>
      <c r="Z250" s="2841"/>
      <c r="AA250" s="1558">
        <f>COUNT(AA43:AA45)</f>
        <v>3</v>
      </c>
    </row>
    <row r="251" spans="1:27" s="1096" customFormat="1">
      <c r="A251" s="3570"/>
      <c r="B251" s="2884"/>
      <c r="C251" s="3583"/>
      <c r="D251" s="3537"/>
      <c r="E251" s="1557">
        <f t="shared" ref="E251:T251" si="97">E249/E250</f>
        <v>0.33333333333333331</v>
      </c>
      <c r="F251" s="1557">
        <f t="shared" si="97"/>
        <v>0</v>
      </c>
      <c r="G251" s="1557">
        <f t="shared" si="97"/>
        <v>0</v>
      </c>
      <c r="H251" s="1557">
        <f t="shared" si="97"/>
        <v>0.33333333333333331</v>
      </c>
      <c r="I251" s="1557">
        <f t="shared" si="97"/>
        <v>0</v>
      </c>
      <c r="J251" s="1557">
        <f t="shared" si="97"/>
        <v>0</v>
      </c>
      <c r="K251" s="1557">
        <f t="shared" si="97"/>
        <v>0</v>
      </c>
      <c r="L251" s="1557">
        <f t="shared" si="97"/>
        <v>0</v>
      </c>
      <c r="M251" s="1557">
        <f t="shared" si="97"/>
        <v>0</v>
      </c>
      <c r="N251" s="1557">
        <f t="shared" si="97"/>
        <v>0</v>
      </c>
      <c r="O251" s="1557">
        <f t="shared" si="97"/>
        <v>0</v>
      </c>
      <c r="P251" s="1557" t="e">
        <f t="shared" si="97"/>
        <v>#REF!</v>
      </c>
      <c r="Q251" s="1557">
        <f t="shared" si="97"/>
        <v>0</v>
      </c>
      <c r="R251" s="1557">
        <f t="shared" si="97"/>
        <v>0</v>
      </c>
      <c r="S251" s="1557">
        <f t="shared" si="97"/>
        <v>0</v>
      </c>
      <c r="T251" s="1557">
        <f t="shared" si="97"/>
        <v>0</v>
      </c>
      <c r="U251" s="1557" t="e">
        <f t="shared" ref="U251:X251" si="98">U249/U250</f>
        <v>#DIV/0!</v>
      </c>
      <c r="V251" s="1557" t="e">
        <f t="shared" si="98"/>
        <v>#DIV/0!</v>
      </c>
      <c r="W251" s="1557" t="e">
        <f t="shared" si="98"/>
        <v>#DIV/0!</v>
      </c>
      <c r="X251" s="1557">
        <f t="shared" si="98"/>
        <v>0</v>
      </c>
      <c r="Y251" s="1557"/>
      <c r="Z251" s="1557"/>
      <c r="AA251" s="1557">
        <f>AA249/AA250</f>
        <v>0</v>
      </c>
    </row>
    <row r="252" spans="1:27">
      <c r="A252" s="3570"/>
      <c r="B252" s="2884"/>
      <c r="C252" s="3581" t="s">
        <v>8</v>
      </c>
      <c r="D252" s="3535">
        <f>COUNTA(A46:A48)</f>
        <v>3</v>
      </c>
      <c r="E252" s="1556">
        <f t="shared" ref="E252:N252" si="99">COUNTIF(E46:E48,"&gt;=5")</f>
        <v>3</v>
      </c>
      <c r="F252" s="1556">
        <f t="shared" si="99"/>
        <v>1</v>
      </c>
      <c r="G252" s="1556">
        <f t="shared" si="99"/>
        <v>3</v>
      </c>
      <c r="H252" s="1556">
        <f t="shared" si="99"/>
        <v>3</v>
      </c>
      <c r="I252" s="1556">
        <f t="shared" si="99"/>
        <v>3</v>
      </c>
      <c r="J252" s="1556">
        <f t="shared" si="99"/>
        <v>2</v>
      </c>
      <c r="K252" s="1556">
        <f t="shared" si="99"/>
        <v>1</v>
      </c>
      <c r="L252" s="1556">
        <f t="shared" si="99"/>
        <v>3</v>
      </c>
      <c r="M252" s="1556">
        <f t="shared" si="99"/>
        <v>3</v>
      </c>
      <c r="N252" s="1556">
        <f t="shared" si="99"/>
        <v>3</v>
      </c>
      <c r="O252" s="1734">
        <f>COUNTIF(O46:O48,"&gt;=5")</f>
        <v>3</v>
      </c>
      <c r="P252" s="1556" t="e">
        <f>COUNTIF(#REF!,"&gt;=5")</f>
        <v>#REF!</v>
      </c>
      <c r="Q252" s="1556">
        <f>COUNTIF(Q46:Q48,"&gt;=5")</f>
        <v>0</v>
      </c>
      <c r="R252" s="1556">
        <f>COUNTIF(R46:R48,"&gt;=5")</f>
        <v>1</v>
      </c>
      <c r="S252" s="1556">
        <f>COUNTIF(S46:S48,"&gt;=5")</f>
        <v>2</v>
      </c>
      <c r="T252" s="1556">
        <f>COUNTIF(T46:T48,"&gt;=5")</f>
        <v>0</v>
      </c>
      <c r="U252" s="3001">
        <f t="shared" ref="U252:X252" si="100">COUNTIF(U46:U48,"&gt;=5")</f>
        <v>0</v>
      </c>
      <c r="V252" s="3001">
        <f t="shared" si="100"/>
        <v>0</v>
      </c>
      <c r="W252" s="3001">
        <f t="shared" si="100"/>
        <v>0</v>
      </c>
      <c r="X252" s="3001">
        <f t="shared" si="100"/>
        <v>1</v>
      </c>
      <c r="Y252" s="2840"/>
      <c r="Z252" s="2840"/>
      <c r="AA252" s="1556">
        <f>COUNTIF(AA46:AA48,"&gt;=5")</f>
        <v>1</v>
      </c>
    </row>
    <row r="253" spans="1:27" s="1096" customFormat="1">
      <c r="A253" s="3570"/>
      <c r="B253" s="2884"/>
      <c r="C253" s="3582"/>
      <c r="D253" s="3536"/>
      <c r="E253" s="1558">
        <f t="shared" ref="E253:N253" si="101">COUNT(E46:E48)</f>
        <v>3</v>
      </c>
      <c r="F253" s="1558">
        <f t="shared" si="101"/>
        <v>3</v>
      </c>
      <c r="G253" s="1558">
        <f t="shared" si="101"/>
        <v>3</v>
      </c>
      <c r="H253" s="1558">
        <f t="shared" si="101"/>
        <v>3</v>
      </c>
      <c r="I253" s="1558">
        <f t="shared" si="101"/>
        <v>3</v>
      </c>
      <c r="J253" s="1558">
        <f t="shared" si="101"/>
        <v>3</v>
      </c>
      <c r="K253" s="1558">
        <f t="shared" si="101"/>
        <v>3</v>
      </c>
      <c r="L253" s="1558">
        <f t="shared" si="101"/>
        <v>3</v>
      </c>
      <c r="M253" s="1558">
        <f t="shared" si="101"/>
        <v>3</v>
      </c>
      <c r="N253" s="1558">
        <f t="shared" si="101"/>
        <v>3</v>
      </c>
      <c r="O253" s="1735">
        <f>COUNT(O46:O48)</f>
        <v>3</v>
      </c>
      <c r="P253" s="1558">
        <f>COUNT(#REF!)</f>
        <v>0</v>
      </c>
      <c r="Q253" s="1558">
        <f>COUNT(Q46:Q48)</f>
        <v>3</v>
      </c>
      <c r="R253" s="1558">
        <f>COUNT(R46:R48)</f>
        <v>3</v>
      </c>
      <c r="S253" s="1558">
        <f>COUNT(S46:S48)</f>
        <v>3</v>
      </c>
      <c r="T253" s="1558">
        <f>COUNT(T46:T48)</f>
        <v>3</v>
      </c>
      <c r="U253" s="3002">
        <f t="shared" ref="U253:X253" si="102">COUNT(U46:U48)</f>
        <v>0</v>
      </c>
      <c r="V253" s="3002">
        <f t="shared" si="102"/>
        <v>0</v>
      </c>
      <c r="W253" s="3002">
        <f t="shared" si="102"/>
        <v>0</v>
      </c>
      <c r="X253" s="3002">
        <f t="shared" si="102"/>
        <v>3</v>
      </c>
      <c r="Y253" s="2841"/>
      <c r="Z253" s="2841"/>
      <c r="AA253" s="1558">
        <f>COUNT(AA46:AA48)</f>
        <v>3</v>
      </c>
    </row>
    <row r="254" spans="1:27" s="1096" customFormat="1">
      <c r="A254" s="3571"/>
      <c r="B254" s="2885"/>
      <c r="C254" s="3583"/>
      <c r="D254" s="3537"/>
      <c r="E254" s="1557">
        <f t="shared" ref="E254:T254" si="103">E252/E253</f>
        <v>1</v>
      </c>
      <c r="F254" s="1557">
        <f t="shared" si="103"/>
        <v>0.33333333333333331</v>
      </c>
      <c r="G254" s="1557">
        <f t="shared" si="103"/>
        <v>1</v>
      </c>
      <c r="H254" s="1557">
        <f t="shared" si="103"/>
        <v>1</v>
      </c>
      <c r="I254" s="1557">
        <f t="shared" si="103"/>
        <v>1</v>
      </c>
      <c r="J254" s="1557">
        <f t="shared" si="103"/>
        <v>0.66666666666666663</v>
      </c>
      <c r="K254" s="1557">
        <f t="shared" si="103"/>
        <v>0.33333333333333331</v>
      </c>
      <c r="L254" s="1557">
        <f t="shared" si="103"/>
        <v>1</v>
      </c>
      <c r="M254" s="1557">
        <f t="shared" si="103"/>
        <v>1</v>
      </c>
      <c r="N254" s="1557">
        <f t="shared" si="103"/>
        <v>1</v>
      </c>
      <c r="O254" s="1557">
        <f t="shared" si="103"/>
        <v>1</v>
      </c>
      <c r="P254" s="1557" t="e">
        <f t="shared" si="103"/>
        <v>#REF!</v>
      </c>
      <c r="Q254" s="1557">
        <f t="shared" si="103"/>
        <v>0</v>
      </c>
      <c r="R254" s="1557">
        <f t="shared" si="103"/>
        <v>0.33333333333333331</v>
      </c>
      <c r="S254" s="1557">
        <f t="shared" si="103"/>
        <v>0.66666666666666663</v>
      </c>
      <c r="T254" s="1557">
        <f t="shared" si="103"/>
        <v>0</v>
      </c>
      <c r="U254" s="1557" t="e">
        <f t="shared" ref="U254:X254" si="104">U252/U253</f>
        <v>#DIV/0!</v>
      </c>
      <c r="V254" s="1557" t="e">
        <f t="shared" si="104"/>
        <v>#DIV/0!</v>
      </c>
      <c r="W254" s="1557" t="e">
        <f t="shared" si="104"/>
        <v>#DIV/0!</v>
      </c>
      <c r="X254" s="1557">
        <f t="shared" si="104"/>
        <v>0.33333333333333331</v>
      </c>
      <c r="Y254" s="1557"/>
      <c r="Z254" s="1557"/>
      <c r="AA254" s="1557">
        <f>AA252/AA253</f>
        <v>0.33333333333333331</v>
      </c>
    </row>
    <row r="255" spans="1:27">
      <c r="A255" s="3569" t="s">
        <v>126</v>
      </c>
      <c r="B255" s="2883"/>
      <c r="C255" s="3565" t="s">
        <v>42</v>
      </c>
      <c r="D255" s="3535">
        <f>COUNTA(A71:A77)</f>
        <v>7</v>
      </c>
      <c r="E255" s="1556">
        <f>COUNTIF(E71:E77,"&gt;=5")</f>
        <v>1</v>
      </c>
      <c r="F255" s="1556">
        <f t="shared" ref="F255:AA255" si="105">COUNTIF(F71:F77,"&gt;=5")</f>
        <v>1</v>
      </c>
      <c r="G255" s="1556">
        <f t="shared" si="105"/>
        <v>3</v>
      </c>
      <c r="H255" s="1556">
        <f t="shared" si="105"/>
        <v>4</v>
      </c>
      <c r="I255" s="1556">
        <f t="shared" si="105"/>
        <v>4</v>
      </c>
      <c r="J255" s="1556">
        <f t="shared" si="105"/>
        <v>1</v>
      </c>
      <c r="K255" s="1556">
        <f t="shared" si="105"/>
        <v>0</v>
      </c>
      <c r="L255" s="1556">
        <f t="shared" si="105"/>
        <v>0</v>
      </c>
      <c r="M255" s="1556">
        <f t="shared" si="105"/>
        <v>0</v>
      </c>
      <c r="N255" s="1556">
        <f t="shared" si="105"/>
        <v>0</v>
      </c>
      <c r="O255" s="1734">
        <f>COUNTIF(O71:O77,"&gt;=5")</f>
        <v>0</v>
      </c>
      <c r="P255" s="1556" t="e">
        <f>COUNTIF(#REF!,"&gt;=5")</f>
        <v>#REF!</v>
      </c>
      <c r="Q255" s="1556">
        <f t="shared" si="105"/>
        <v>0</v>
      </c>
      <c r="R255" s="1556">
        <f t="shared" si="105"/>
        <v>0</v>
      </c>
      <c r="S255" s="1556">
        <f t="shared" si="105"/>
        <v>0</v>
      </c>
      <c r="T255" s="1556">
        <f t="shared" si="105"/>
        <v>0</v>
      </c>
      <c r="U255" s="3001">
        <f t="shared" ref="U255:X255" si="106">COUNTIF(U71:U77,"&gt;=5")</f>
        <v>0</v>
      </c>
      <c r="V255" s="3001">
        <f t="shared" si="106"/>
        <v>0</v>
      </c>
      <c r="W255" s="3001">
        <f t="shared" si="106"/>
        <v>0</v>
      </c>
      <c r="X255" s="3001">
        <f t="shared" si="106"/>
        <v>0</v>
      </c>
      <c r="Y255" s="2840"/>
      <c r="Z255" s="2840"/>
      <c r="AA255" s="1556">
        <f t="shared" si="105"/>
        <v>0</v>
      </c>
    </row>
    <row r="256" spans="1:27" s="1096" customFormat="1">
      <c r="A256" s="3570"/>
      <c r="B256" s="2884"/>
      <c r="C256" s="3566"/>
      <c r="D256" s="3536"/>
      <c r="E256" s="1558">
        <f>COUNT(E71:E77)</f>
        <v>6</v>
      </c>
      <c r="F256" s="1558">
        <f t="shared" ref="F256:AA256" si="107">COUNT(F71:F77)</f>
        <v>7</v>
      </c>
      <c r="G256" s="1558">
        <f t="shared" si="107"/>
        <v>7</v>
      </c>
      <c r="H256" s="1558">
        <f t="shared" si="107"/>
        <v>7</v>
      </c>
      <c r="I256" s="1558">
        <f t="shared" si="107"/>
        <v>7</v>
      </c>
      <c r="J256" s="1558">
        <f t="shared" si="107"/>
        <v>7</v>
      </c>
      <c r="K256" s="1558">
        <f t="shared" si="107"/>
        <v>7</v>
      </c>
      <c r="L256" s="1558">
        <f t="shared" si="107"/>
        <v>7</v>
      </c>
      <c r="M256" s="1558">
        <f t="shared" si="107"/>
        <v>6</v>
      </c>
      <c r="N256" s="1558">
        <f t="shared" si="107"/>
        <v>7</v>
      </c>
      <c r="O256" s="1735">
        <f>COUNT(O71:O77)</f>
        <v>7</v>
      </c>
      <c r="P256" s="1558">
        <f>COUNT(#REF!)</f>
        <v>0</v>
      </c>
      <c r="Q256" s="1558">
        <f t="shared" si="107"/>
        <v>7</v>
      </c>
      <c r="R256" s="1558">
        <f t="shared" si="107"/>
        <v>7</v>
      </c>
      <c r="S256" s="1558">
        <f t="shared" si="107"/>
        <v>7</v>
      </c>
      <c r="T256" s="1558">
        <f t="shared" si="107"/>
        <v>7</v>
      </c>
      <c r="U256" s="3002">
        <f t="shared" ref="U256:X256" si="108">COUNT(U71:U77)</f>
        <v>7</v>
      </c>
      <c r="V256" s="3002">
        <f t="shared" si="108"/>
        <v>7</v>
      </c>
      <c r="W256" s="3002">
        <f t="shared" si="108"/>
        <v>7</v>
      </c>
      <c r="X256" s="3002">
        <f t="shared" si="108"/>
        <v>7</v>
      </c>
      <c r="Y256" s="2841"/>
      <c r="Z256" s="2841"/>
      <c r="AA256" s="1558">
        <f t="shared" si="107"/>
        <v>7</v>
      </c>
    </row>
    <row r="257" spans="1:27" s="1096" customFormat="1">
      <c r="A257" s="3570"/>
      <c r="B257" s="2884"/>
      <c r="C257" s="3567"/>
      <c r="D257" s="3537"/>
      <c r="E257" s="1557">
        <f t="shared" ref="E257:T257" si="109">E255/E256</f>
        <v>0.16666666666666666</v>
      </c>
      <c r="F257" s="1557">
        <f t="shared" si="109"/>
        <v>0.14285714285714285</v>
      </c>
      <c r="G257" s="1557">
        <f t="shared" si="109"/>
        <v>0.42857142857142855</v>
      </c>
      <c r="H257" s="1557">
        <f t="shared" si="109"/>
        <v>0.5714285714285714</v>
      </c>
      <c r="I257" s="1557">
        <f t="shared" si="109"/>
        <v>0.5714285714285714</v>
      </c>
      <c r="J257" s="1557">
        <f t="shared" si="109"/>
        <v>0.14285714285714285</v>
      </c>
      <c r="K257" s="1557">
        <f t="shared" si="109"/>
        <v>0</v>
      </c>
      <c r="L257" s="1557">
        <f t="shared" si="109"/>
        <v>0</v>
      </c>
      <c r="M257" s="1557">
        <f t="shared" si="109"/>
        <v>0</v>
      </c>
      <c r="N257" s="1557">
        <f t="shared" si="109"/>
        <v>0</v>
      </c>
      <c r="O257" s="1557">
        <f t="shared" si="109"/>
        <v>0</v>
      </c>
      <c r="P257" s="1557" t="e">
        <f t="shared" si="109"/>
        <v>#REF!</v>
      </c>
      <c r="Q257" s="1557">
        <f t="shared" si="109"/>
        <v>0</v>
      </c>
      <c r="R257" s="1557">
        <f t="shared" si="109"/>
        <v>0</v>
      </c>
      <c r="S257" s="1557">
        <f t="shared" si="109"/>
        <v>0</v>
      </c>
      <c r="T257" s="1557">
        <f t="shared" si="109"/>
        <v>0</v>
      </c>
      <c r="U257" s="1557">
        <f t="shared" ref="U257:X257" si="110">U255/U256</f>
        <v>0</v>
      </c>
      <c r="V257" s="1557">
        <f t="shared" si="110"/>
        <v>0</v>
      </c>
      <c r="W257" s="1557">
        <f t="shared" si="110"/>
        <v>0</v>
      </c>
      <c r="X257" s="1557">
        <f t="shared" si="110"/>
        <v>0</v>
      </c>
      <c r="Y257" s="1557"/>
      <c r="Z257" s="1557"/>
      <c r="AA257" s="1557">
        <f>AA255/AA256</f>
        <v>0</v>
      </c>
    </row>
    <row r="258" spans="1:27">
      <c r="A258" s="3570"/>
      <c r="B258" s="2884"/>
      <c r="C258" s="3581" t="s">
        <v>49</v>
      </c>
      <c r="D258" s="3535">
        <f>COUNTA(A78:A86)</f>
        <v>9</v>
      </c>
      <c r="E258" s="1556">
        <f>COUNTIF(E78:E86,"&gt;=5")</f>
        <v>0</v>
      </c>
      <c r="F258" s="1556">
        <f t="shared" ref="F258:AA258" si="111">COUNTIF(F78:F86,"&gt;=5")</f>
        <v>0</v>
      </c>
      <c r="G258" s="1556">
        <f t="shared" si="111"/>
        <v>2</v>
      </c>
      <c r="H258" s="1556">
        <f t="shared" si="111"/>
        <v>5</v>
      </c>
      <c r="I258" s="1556">
        <f t="shared" si="111"/>
        <v>5</v>
      </c>
      <c r="J258" s="1556">
        <f t="shared" si="111"/>
        <v>0</v>
      </c>
      <c r="K258" s="1556">
        <f t="shared" si="111"/>
        <v>0</v>
      </c>
      <c r="L258" s="1556">
        <f t="shared" si="111"/>
        <v>0</v>
      </c>
      <c r="M258" s="1556">
        <f t="shared" si="111"/>
        <v>0</v>
      </c>
      <c r="N258" s="1556">
        <f t="shared" si="111"/>
        <v>0</v>
      </c>
      <c r="O258" s="1734">
        <f>COUNTIF(O78:O86,"&gt;=5")</f>
        <v>0</v>
      </c>
      <c r="P258" s="1556" t="e">
        <f>COUNTIF(#REF!,"&gt;=5")</f>
        <v>#REF!</v>
      </c>
      <c r="Q258" s="1556">
        <f t="shared" si="111"/>
        <v>0</v>
      </c>
      <c r="R258" s="1556">
        <f t="shared" si="111"/>
        <v>0</v>
      </c>
      <c r="S258" s="1556">
        <f t="shared" si="111"/>
        <v>0</v>
      </c>
      <c r="T258" s="1556">
        <f t="shared" si="111"/>
        <v>0</v>
      </c>
      <c r="U258" s="3001">
        <f t="shared" ref="U258:X258" si="112">COUNTIF(U78:U86,"&gt;=5")</f>
        <v>0</v>
      </c>
      <c r="V258" s="3001">
        <f t="shared" si="112"/>
        <v>0</v>
      </c>
      <c r="W258" s="3001">
        <f t="shared" si="112"/>
        <v>0</v>
      </c>
      <c r="X258" s="3001">
        <f t="shared" si="112"/>
        <v>0</v>
      </c>
      <c r="Y258" s="2840"/>
      <c r="Z258" s="2840"/>
      <c r="AA258" s="1556">
        <f t="shared" si="111"/>
        <v>0</v>
      </c>
    </row>
    <row r="259" spans="1:27" s="1096" customFormat="1">
      <c r="A259" s="3570"/>
      <c r="B259" s="2884"/>
      <c r="C259" s="3582"/>
      <c r="D259" s="3536"/>
      <c r="E259" s="1558">
        <f>COUNT(E78:E86)</f>
        <v>9</v>
      </c>
      <c r="F259" s="1558">
        <f t="shared" ref="F259:AA259" si="113">COUNT(F78:F86)</f>
        <v>9</v>
      </c>
      <c r="G259" s="1558">
        <f t="shared" si="113"/>
        <v>9</v>
      </c>
      <c r="H259" s="1558">
        <f t="shared" si="113"/>
        <v>9</v>
      </c>
      <c r="I259" s="1558">
        <f t="shared" si="113"/>
        <v>9</v>
      </c>
      <c r="J259" s="1558">
        <f t="shared" si="113"/>
        <v>9</v>
      </c>
      <c r="K259" s="1558">
        <f t="shared" si="113"/>
        <v>9</v>
      </c>
      <c r="L259" s="1558">
        <f t="shared" si="113"/>
        <v>9</v>
      </c>
      <c r="M259" s="1558">
        <f t="shared" si="113"/>
        <v>9</v>
      </c>
      <c r="N259" s="1558">
        <f t="shared" si="113"/>
        <v>9</v>
      </c>
      <c r="O259" s="1735">
        <f>COUNT(O78:O86)</f>
        <v>9</v>
      </c>
      <c r="P259" s="1558">
        <f>COUNT(#REF!)</f>
        <v>0</v>
      </c>
      <c r="Q259" s="1558">
        <f t="shared" si="113"/>
        <v>9</v>
      </c>
      <c r="R259" s="1558">
        <f t="shared" si="113"/>
        <v>9</v>
      </c>
      <c r="S259" s="1558">
        <f t="shared" si="113"/>
        <v>9</v>
      </c>
      <c r="T259" s="1558">
        <f t="shared" si="113"/>
        <v>9</v>
      </c>
      <c r="U259" s="3002">
        <f t="shared" ref="U259:X259" si="114">COUNT(U78:U86)</f>
        <v>9</v>
      </c>
      <c r="V259" s="3002">
        <f t="shared" si="114"/>
        <v>9</v>
      </c>
      <c r="W259" s="3002">
        <f t="shared" si="114"/>
        <v>9</v>
      </c>
      <c r="X259" s="3002">
        <f t="shared" si="114"/>
        <v>9</v>
      </c>
      <c r="Y259" s="2841"/>
      <c r="Z259" s="2841"/>
      <c r="AA259" s="1558">
        <f t="shared" si="113"/>
        <v>9</v>
      </c>
    </row>
    <row r="260" spans="1:27" s="1096" customFormat="1">
      <c r="A260" s="3570"/>
      <c r="B260" s="2884"/>
      <c r="C260" s="3583"/>
      <c r="D260" s="3537"/>
      <c r="E260" s="1557">
        <f t="shared" ref="E260:T260" si="115">E258/E259</f>
        <v>0</v>
      </c>
      <c r="F260" s="1557">
        <f t="shared" si="115"/>
        <v>0</v>
      </c>
      <c r="G260" s="1557">
        <f t="shared" si="115"/>
        <v>0.22222222222222221</v>
      </c>
      <c r="H260" s="1557">
        <f t="shared" si="115"/>
        <v>0.55555555555555558</v>
      </c>
      <c r="I260" s="1557">
        <f t="shared" si="115"/>
        <v>0.55555555555555558</v>
      </c>
      <c r="J260" s="1557">
        <f t="shared" si="115"/>
        <v>0</v>
      </c>
      <c r="K260" s="1557">
        <f t="shared" si="115"/>
        <v>0</v>
      </c>
      <c r="L260" s="1557">
        <f t="shared" si="115"/>
        <v>0</v>
      </c>
      <c r="M260" s="1557">
        <f t="shared" si="115"/>
        <v>0</v>
      </c>
      <c r="N260" s="1557">
        <f t="shared" si="115"/>
        <v>0</v>
      </c>
      <c r="O260" s="1557">
        <f t="shared" si="115"/>
        <v>0</v>
      </c>
      <c r="P260" s="1557" t="e">
        <f t="shared" si="115"/>
        <v>#REF!</v>
      </c>
      <c r="Q260" s="1557">
        <f t="shared" si="115"/>
        <v>0</v>
      </c>
      <c r="R260" s="1557">
        <f t="shared" si="115"/>
        <v>0</v>
      </c>
      <c r="S260" s="1557">
        <f t="shared" si="115"/>
        <v>0</v>
      </c>
      <c r="T260" s="1557">
        <f t="shared" si="115"/>
        <v>0</v>
      </c>
      <c r="U260" s="1557">
        <f t="shared" ref="U260:X260" si="116">U258/U259</f>
        <v>0</v>
      </c>
      <c r="V260" s="1557">
        <f t="shared" si="116"/>
        <v>0</v>
      </c>
      <c r="W260" s="1557">
        <f t="shared" si="116"/>
        <v>0</v>
      </c>
      <c r="X260" s="1557">
        <f t="shared" si="116"/>
        <v>0</v>
      </c>
      <c r="Y260" s="1557"/>
      <c r="Z260" s="1557"/>
      <c r="AA260" s="1557">
        <f>AA258/AA259</f>
        <v>0</v>
      </c>
    </row>
    <row r="261" spans="1:27">
      <c r="A261" s="3570"/>
      <c r="B261" s="2884"/>
      <c r="C261" s="3565" t="s">
        <v>40</v>
      </c>
      <c r="D261" s="3535">
        <f>COUNTA(A87:A96)</f>
        <v>10</v>
      </c>
      <c r="E261" s="1556">
        <f>COUNTIF(E87:E96,"&gt;=5")</f>
        <v>0</v>
      </c>
      <c r="F261" s="1556">
        <f t="shared" ref="F261:AA261" si="117">COUNTIF(F87:F96,"&gt;=5")</f>
        <v>0</v>
      </c>
      <c r="G261" s="1556">
        <f t="shared" si="117"/>
        <v>0</v>
      </c>
      <c r="H261" s="1556">
        <f t="shared" si="117"/>
        <v>1</v>
      </c>
      <c r="I261" s="1556">
        <f t="shared" si="117"/>
        <v>3</v>
      </c>
      <c r="J261" s="1556">
        <f t="shared" si="117"/>
        <v>1</v>
      </c>
      <c r="K261" s="1556">
        <f t="shared" si="117"/>
        <v>0</v>
      </c>
      <c r="L261" s="1556">
        <f t="shared" si="117"/>
        <v>0</v>
      </c>
      <c r="M261" s="1556">
        <f t="shared" si="117"/>
        <v>0</v>
      </c>
      <c r="N261" s="1556">
        <f t="shared" si="117"/>
        <v>0</v>
      </c>
      <c r="O261" s="1734">
        <f>COUNTIF(O87:O96,"&gt;=5")</f>
        <v>0</v>
      </c>
      <c r="P261" s="1556" t="e">
        <f>COUNTIF(#REF!,"&gt;=5")</f>
        <v>#REF!</v>
      </c>
      <c r="Q261" s="1556">
        <f t="shared" si="117"/>
        <v>0</v>
      </c>
      <c r="R261" s="1556">
        <f t="shared" si="117"/>
        <v>0</v>
      </c>
      <c r="S261" s="1556">
        <f t="shared" si="117"/>
        <v>0</v>
      </c>
      <c r="T261" s="1556">
        <f t="shared" si="117"/>
        <v>0</v>
      </c>
      <c r="U261" s="3001">
        <f t="shared" ref="U261:X261" si="118">COUNTIF(U87:U96,"&gt;=5")</f>
        <v>0</v>
      </c>
      <c r="V261" s="3001">
        <f t="shared" si="118"/>
        <v>0</v>
      </c>
      <c r="W261" s="3001">
        <f t="shared" si="118"/>
        <v>0</v>
      </c>
      <c r="X261" s="3001">
        <f t="shared" si="118"/>
        <v>0</v>
      </c>
      <c r="Y261" s="2840"/>
      <c r="Z261" s="2840"/>
      <c r="AA261" s="1556">
        <f t="shared" si="117"/>
        <v>0</v>
      </c>
    </row>
    <row r="262" spans="1:27" s="1096" customFormat="1">
      <c r="A262" s="3570"/>
      <c r="B262" s="2884"/>
      <c r="C262" s="3566"/>
      <c r="D262" s="3536"/>
      <c r="E262" s="1558">
        <f>COUNT(E87:E96)</f>
        <v>10</v>
      </c>
      <c r="F262" s="1558">
        <f t="shared" ref="F262:AA262" si="119">COUNT(F87:F96)</f>
        <v>10</v>
      </c>
      <c r="G262" s="1558">
        <f t="shared" si="119"/>
        <v>10</v>
      </c>
      <c r="H262" s="1558">
        <f t="shared" si="119"/>
        <v>10</v>
      </c>
      <c r="I262" s="1558">
        <f t="shared" si="119"/>
        <v>10</v>
      </c>
      <c r="J262" s="1558">
        <f t="shared" si="119"/>
        <v>10</v>
      </c>
      <c r="K262" s="1558">
        <f t="shared" si="119"/>
        <v>10</v>
      </c>
      <c r="L262" s="1558">
        <f t="shared" si="119"/>
        <v>10</v>
      </c>
      <c r="M262" s="1558">
        <f t="shared" si="119"/>
        <v>10</v>
      </c>
      <c r="N262" s="1558">
        <f t="shared" si="119"/>
        <v>10</v>
      </c>
      <c r="O262" s="1735">
        <f>COUNT(O87:O96)</f>
        <v>10</v>
      </c>
      <c r="P262" s="1558">
        <f>COUNT(#REF!)</f>
        <v>0</v>
      </c>
      <c r="Q262" s="1558">
        <f t="shared" si="119"/>
        <v>10</v>
      </c>
      <c r="R262" s="1558">
        <f t="shared" si="119"/>
        <v>10</v>
      </c>
      <c r="S262" s="1558">
        <f t="shared" si="119"/>
        <v>10</v>
      </c>
      <c r="T262" s="1558">
        <f t="shared" si="119"/>
        <v>10</v>
      </c>
      <c r="U262" s="3002">
        <f t="shared" ref="U262:X262" si="120">COUNT(U87:U96)</f>
        <v>10</v>
      </c>
      <c r="V262" s="3002">
        <f t="shared" si="120"/>
        <v>10</v>
      </c>
      <c r="W262" s="3002">
        <f t="shared" si="120"/>
        <v>10</v>
      </c>
      <c r="X262" s="3002">
        <f t="shared" si="120"/>
        <v>10</v>
      </c>
      <c r="Y262" s="2841"/>
      <c r="Z262" s="2841"/>
      <c r="AA262" s="1558">
        <f t="shared" si="119"/>
        <v>10</v>
      </c>
    </row>
    <row r="263" spans="1:27" s="1096" customFormat="1">
      <c r="A263" s="3571"/>
      <c r="B263" s="2885"/>
      <c r="C263" s="3567"/>
      <c r="D263" s="3537"/>
      <c r="E263" s="1557">
        <f t="shared" ref="E263:T263" si="121">E261/E262</f>
        <v>0</v>
      </c>
      <c r="F263" s="1557">
        <f t="shared" si="121"/>
        <v>0</v>
      </c>
      <c r="G263" s="1557">
        <f t="shared" si="121"/>
        <v>0</v>
      </c>
      <c r="H263" s="1557">
        <f t="shared" si="121"/>
        <v>0.1</v>
      </c>
      <c r="I263" s="1557">
        <f t="shared" si="121"/>
        <v>0.3</v>
      </c>
      <c r="J263" s="1557">
        <f t="shared" si="121"/>
        <v>0.1</v>
      </c>
      <c r="K263" s="1557">
        <f t="shared" si="121"/>
        <v>0</v>
      </c>
      <c r="L263" s="1557">
        <f t="shared" si="121"/>
        <v>0</v>
      </c>
      <c r="M263" s="1557">
        <f t="shared" si="121"/>
        <v>0</v>
      </c>
      <c r="N263" s="1557">
        <f t="shared" si="121"/>
        <v>0</v>
      </c>
      <c r="O263" s="1557">
        <f t="shared" si="121"/>
        <v>0</v>
      </c>
      <c r="P263" s="1557" t="e">
        <f t="shared" si="121"/>
        <v>#REF!</v>
      </c>
      <c r="Q263" s="1557">
        <f t="shared" si="121"/>
        <v>0</v>
      </c>
      <c r="R263" s="1557">
        <f t="shared" si="121"/>
        <v>0</v>
      </c>
      <c r="S263" s="1557">
        <f t="shared" si="121"/>
        <v>0</v>
      </c>
      <c r="T263" s="1557">
        <f t="shared" si="121"/>
        <v>0</v>
      </c>
      <c r="U263" s="1557">
        <f t="shared" ref="U263:X263" si="122">U261/U262</f>
        <v>0</v>
      </c>
      <c r="V263" s="1557">
        <f t="shared" si="122"/>
        <v>0</v>
      </c>
      <c r="W263" s="1557">
        <f t="shared" si="122"/>
        <v>0</v>
      </c>
      <c r="X263" s="1557">
        <f t="shared" si="122"/>
        <v>0</v>
      </c>
      <c r="Y263" s="1557"/>
      <c r="Z263" s="1557"/>
      <c r="AA263" s="1557">
        <f>AA261/AA262</f>
        <v>0</v>
      </c>
    </row>
    <row r="264" spans="1:27">
      <c r="A264" s="3569" t="s">
        <v>300</v>
      </c>
      <c r="B264" s="2883"/>
      <c r="C264" s="3565" t="s">
        <v>67</v>
      </c>
      <c r="D264" s="3535">
        <f>COUNTA(A105:A110)</f>
        <v>6</v>
      </c>
      <c r="E264" s="1556">
        <f>COUNTIF(E105:E110,"&gt;=5")</f>
        <v>3</v>
      </c>
      <c r="F264" s="1556">
        <f t="shared" ref="F264:AA264" si="123">COUNTIF(F105:F110,"&gt;=5")</f>
        <v>1</v>
      </c>
      <c r="G264" s="1556">
        <f t="shared" si="123"/>
        <v>3</v>
      </c>
      <c r="H264" s="1556">
        <f t="shared" si="123"/>
        <v>3</v>
      </c>
      <c r="I264" s="1556">
        <f t="shared" si="123"/>
        <v>3</v>
      </c>
      <c r="J264" s="1556">
        <f t="shared" si="123"/>
        <v>2</v>
      </c>
      <c r="K264" s="1556">
        <f t="shared" si="123"/>
        <v>3</v>
      </c>
      <c r="L264" s="1556">
        <f t="shared" si="123"/>
        <v>3</v>
      </c>
      <c r="M264" s="1556">
        <f t="shared" si="123"/>
        <v>5</v>
      </c>
      <c r="N264" s="1556">
        <f t="shared" si="123"/>
        <v>6</v>
      </c>
      <c r="O264" s="1734">
        <f>COUNTIF(O105:O110,"&gt;=5")</f>
        <v>6</v>
      </c>
      <c r="P264" s="1556">
        <f>COUNTIF(P105:P110,"&gt;=5")</f>
        <v>5</v>
      </c>
      <c r="Q264" s="1556">
        <f t="shared" si="123"/>
        <v>5</v>
      </c>
      <c r="R264" s="1556">
        <f t="shared" si="123"/>
        <v>5</v>
      </c>
      <c r="S264" s="1556">
        <f t="shared" si="123"/>
        <v>6</v>
      </c>
      <c r="T264" s="1556">
        <f t="shared" si="123"/>
        <v>5</v>
      </c>
      <c r="U264" s="3001">
        <f t="shared" ref="U264:X264" si="124">COUNTIF(U105:U110,"&gt;=5")</f>
        <v>5</v>
      </c>
      <c r="V264" s="3001">
        <f t="shared" si="124"/>
        <v>4</v>
      </c>
      <c r="W264" s="3001">
        <f t="shared" si="124"/>
        <v>6</v>
      </c>
      <c r="X264" s="3001">
        <f t="shared" si="124"/>
        <v>0</v>
      </c>
      <c r="Y264" s="2840"/>
      <c r="Z264" s="2840"/>
      <c r="AA264" s="1556">
        <f t="shared" si="123"/>
        <v>0</v>
      </c>
    </row>
    <row r="265" spans="1:27" s="1096" customFormat="1">
      <c r="A265" s="3570"/>
      <c r="B265" s="2884"/>
      <c r="C265" s="3566"/>
      <c r="D265" s="3536"/>
      <c r="E265" s="1558">
        <f>COUNT(E105:E110)</f>
        <v>3</v>
      </c>
      <c r="F265" s="1558">
        <f t="shared" ref="F265:AA265" si="125">COUNT(F105:F110)</f>
        <v>3</v>
      </c>
      <c r="G265" s="1558">
        <f t="shared" si="125"/>
        <v>3</v>
      </c>
      <c r="H265" s="1558">
        <f t="shared" si="125"/>
        <v>3</v>
      </c>
      <c r="I265" s="1558">
        <f t="shared" si="125"/>
        <v>3</v>
      </c>
      <c r="J265" s="1558">
        <f t="shared" si="125"/>
        <v>3</v>
      </c>
      <c r="K265" s="1558">
        <f t="shared" si="125"/>
        <v>3</v>
      </c>
      <c r="L265" s="1558">
        <f t="shared" si="125"/>
        <v>3</v>
      </c>
      <c r="M265" s="1558">
        <f t="shared" si="125"/>
        <v>6</v>
      </c>
      <c r="N265" s="1558">
        <f t="shared" si="125"/>
        <v>6</v>
      </c>
      <c r="O265" s="1735">
        <f>COUNT(O105:O110)</f>
        <v>6</v>
      </c>
      <c r="P265" s="1558">
        <f>COUNT(P105:P110)</f>
        <v>6</v>
      </c>
      <c r="Q265" s="1558">
        <f t="shared" si="125"/>
        <v>6</v>
      </c>
      <c r="R265" s="1558">
        <f t="shared" si="125"/>
        <v>6</v>
      </c>
      <c r="S265" s="1558">
        <f t="shared" si="125"/>
        <v>6</v>
      </c>
      <c r="T265" s="1558">
        <f t="shared" si="125"/>
        <v>6</v>
      </c>
      <c r="U265" s="3002">
        <f t="shared" ref="U265:X265" si="126">COUNT(U105:U110)</f>
        <v>6</v>
      </c>
      <c r="V265" s="3002">
        <f t="shared" si="126"/>
        <v>6</v>
      </c>
      <c r="W265" s="3002">
        <f t="shared" si="126"/>
        <v>6</v>
      </c>
      <c r="X265" s="3002">
        <f t="shared" si="126"/>
        <v>0</v>
      </c>
      <c r="Y265" s="2841"/>
      <c r="Z265" s="2841"/>
      <c r="AA265" s="1558">
        <f t="shared" si="125"/>
        <v>0</v>
      </c>
    </row>
    <row r="266" spans="1:27" s="1096" customFormat="1">
      <c r="A266" s="3570"/>
      <c r="B266" s="2884"/>
      <c r="C266" s="3567"/>
      <c r="D266" s="3537"/>
      <c r="E266" s="1557">
        <f t="shared" ref="E266:T266" si="127">E264/E265</f>
        <v>1</v>
      </c>
      <c r="F266" s="1557">
        <f t="shared" si="127"/>
        <v>0.33333333333333331</v>
      </c>
      <c r="G266" s="1557">
        <f t="shared" si="127"/>
        <v>1</v>
      </c>
      <c r="H266" s="1557">
        <f t="shared" si="127"/>
        <v>1</v>
      </c>
      <c r="I266" s="1557">
        <f t="shared" si="127"/>
        <v>1</v>
      </c>
      <c r="J266" s="1557">
        <f t="shared" si="127"/>
        <v>0.66666666666666663</v>
      </c>
      <c r="K266" s="1557">
        <f t="shared" si="127"/>
        <v>1</v>
      </c>
      <c r="L266" s="1557">
        <f t="shared" si="127"/>
        <v>1</v>
      </c>
      <c r="M266" s="1557">
        <f t="shared" si="127"/>
        <v>0.83333333333333337</v>
      </c>
      <c r="N266" s="1557">
        <f t="shared" si="127"/>
        <v>1</v>
      </c>
      <c r="O266" s="1557">
        <f t="shared" si="127"/>
        <v>1</v>
      </c>
      <c r="P266" s="1557">
        <f t="shared" si="127"/>
        <v>0.83333333333333337</v>
      </c>
      <c r="Q266" s="1557">
        <f t="shared" si="127"/>
        <v>0.83333333333333337</v>
      </c>
      <c r="R266" s="1557">
        <f t="shared" si="127"/>
        <v>0.83333333333333337</v>
      </c>
      <c r="S266" s="1557">
        <f t="shared" si="127"/>
        <v>1</v>
      </c>
      <c r="T266" s="1557">
        <f t="shared" si="127"/>
        <v>0.83333333333333337</v>
      </c>
      <c r="U266" s="1557">
        <f t="shared" ref="U266:X266" si="128">U264/U265</f>
        <v>0.83333333333333337</v>
      </c>
      <c r="V266" s="1557">
        <f t="shared" si="128"/>
        <v>0.66666666666666663</v>
      </c>
      <c r="W266" s="1557">
        <f t="shared" si="128"/>
        <v>1</v>
      </c>
      <c r="X266" s="1557" t="e">
        <f t="shared" si="128"/>
        <v>#DIV/0!</v>
      </c>
      <c r="Y266" s="1557"/>
      <c r="Z266" s="1557"/>
      <c r="AA266" s="1557" t="e">
        <f>AA264/AA265</f>
        <v>#DIV/0!</v>
      </c>
    </row>
    <row r="267" spans="1:27">
      <c r="A267" s="3570"/>
      <c r="B267" s="2884"/>
      <c r="C267" s="3565" t="s">
        <v>186</v>
      </c>
      <c r="D267" s="3535">
        <f>COUNTA(A111:A118)</f>
        <v>8</v>
      </c>
      <c r="E267" s="1556">
        <f>COUNTIF(E111:E118,"&gt;=5")</f>
        <v>2</v>
      </c>
      <c r="F267" s="1556">
        <f t="shared" ref="F267:AA267" si="129">COUNTIF(F111:F118,"&gt;=5")</f>
        <v>2</v>
      </c>
      <c r="G267" s="1556">
        <f t="shared" si="129"/>
        <v>3</v>
      </c>
      <c r="H267" s="1556">
        <f t="shared" si="129"/>
        <v>5</v>
      </c>
      <c r="I267" s="1556">
        <f t="shared" si="129"/>
        <v>3</v>
      </c>
      <c r="J267" s="1556">
        <f t="shared" si="129"/>
        <v>2</v>
      </c>
      <c r="K267" s="1556">
        <f t="shared" si="129"/>
        <v>4</v>
      </c>
      <c r="L267" s="1556">
        <f t="shared" si="129"/>
        <v>2</v>
      </c>
      <c r="M267" s="1556">
        <f t="shared" si="129"/>
        <v>5</v>
      </c>
      <c r="N267" s="1556">
        <f t="shared" si="129"/>
        <v>6</v>
      </c>
      <c r="O267" s="1734">
        <f>COUNTIF(O111:O118,"&gt;=5")</f>
        <v>8</v>
      </c>
      <c r="P267" s="1556" t="e">
        <f>COUNTIF(#REF!,"&gt;=5")</f>
        <v>#REF!</v>
      </c>
      <c r="Q267" s="1556">
        <f t="shared" si="129"/>
        <v>5</v>
      </c>
      <c r="R267" s="1556">
        <f t="shared" si="129"/>
        <v>4</v>
      </c>
      <c r="S267" s="1556">
        <f t="shared" si="129"/>
        <v>4</v>
      </c>
      <c r="T267" s="1556">
        <f t="shared" si="129"/>
        <v>7</v>
      </c>
      <c r="U267" s="3001">
        <f t="shared" ref="U267:X267" si="130">COUNTIF(U111:U118,"&gt;=5")</f>
        <v>6</v>
      </c>
      <c r="V267" s="3001">
        <f t="shared" si="130"/>
        <v>3</v>
      </c>
      <c r="W267" s="3001">
        <f t="shared" si="130"/>
        <v>5</v>
      </c>
      <c r="X267" s="3001">
        <f t="shared" si="130"/>
        <v>0</v>
      </c>
      <c r="Y267" s="2840"/>
      <c r="Z267" s="2840"/>
      <c r="AA267" s="1556">
        <f t="shared" si="129"/>
        <v>0</v>
      </c>
    </row>
    <row r="268" spans="1:27" s="1096" customFormat="1">
      <c r="A268" s="3570"/>
      <c r="B268" s="2884"/>
      <c r="C268" s="3566"/>
      <c r="D268" s="3536"/>
      <c r="E268" s="1558">
        <f>COUNT(E111:E118)</f>
        <v>6</v>
      </c>
      <c r="F268" s="1558">
        <f t="shared" ref="F268:AA268" si="131">COUNT(F111:F118)</f>
        <v>6</v>
      </c>
      <c r="G268" s="1558">
        <f t="shared" si="131"/>
        <v>6</v>
      </c>
      <c r="H268" s="1558">
        <f t="shared" si="131"/>
        <v>6</v>
      </c>
      <c r="I268" s="1558">
        <f t="shared" si="131"/>
        <v>6</v>
      </c>
      <c r="J268" s="1558">
        <f t="shared" si="131"/>
        <v>6</v>
      </c>
      <c r="K268" s="1558">
        <f t="shared" si="131"/>
        <v>6</v>
      </c>
      <c r="L268" s="1558">
        <f t="shared" si="131"/>
        <v>6</v>
      </c>
      <c r="M268" s="1558">
        <f t="shared" si="131"/>
        <v>8</v>
      </c>
      <c r="N268" s="1558">
        <f t="shared" si="131"/>
        <v>8</v>
      </c>
      <c r="O268" s="1735">
        <f>COUNT(O111:O118)</f>
        <v>8</v>
      </c>
      <c r="P268" s="1558">
        <f>COUNT(#REF!)</f>
        <v>0</v>
      </c>
      <c r="Q268" s="1558">
        <f t="shared" si="131"/>
        <v>8</v>
      </c>
      <c r="R268" s="1558">
        <f t="shared" si="131"/>
        <v>8</v>
      </c>
      <c r="S268" s="1558">
        <f t="shared" si="131"/>
        <v>8</v>
      </c>
      <c r="T268" s="1558">
        <f t="shared" si="131"/>
        <v>8</v>
      </c>
      <c r="U268" s="3002">
        <f t="shared" ref="U268:X268" si="132">COUNT(U111:U118)</f>
        <v>8</v>
      </c>
      <c r="V268" s="3002">
        <f t="shared" si="132"/>
        <v>8</v>
      </c>
      <c r="W268" s="3002">
        <f t="shared" si="132"/>
        <v>8</v>
      </c>
      <c r="X268" s="3002">
        <f t="shared" si="132"/>
        <v>0</v>
      </c>
      <c r="Y268" s="2841"/>
      <c r="Z268" s="2841"/>
      <c r="AA268" s="1558">
        <f t="shared" si="131"/>
        <v>0</v>
      </c>
    </row>
    <row r="269" spans="1:27" s="1096" customFormat="1">
      <c r="A269" s="3570"/>
      <c r="B269" s="2884"/>
      <c r="C269" s="3567"/>
      <c r="D269" s="3537"/>
      <c r="E269" s="1557">
        <f t="shared" ref="E269:T269" si="133">E267/E268</f>
        <v>0.33333333333333331</v>
      </c>
      <c r="F269" s="1557">
        <f t="shared" si="133"/>
        <v>0.33333333333333331</v>
      </c>
      <c r="G269" s="1557">
        <f t="shared" si="133"/>
        <v>0.5</v>
      </c>
      <c r="H269" s="1557">
        <f t="shared" si="133"/>
        <v>0.83333333333333337</v>
      </c>
      <c r="I269" s="1557">
        <f t="shared" si="133"/>
        <v>0.5</v>
      </c>
      <c r="J269" s="1557">
        <f t="shared" si="133"/>
        <v>0.33333333333333331</v>
      </c>
      <c r="K269" s="1557">
        <f t="shared" si="133"/>
        <v>0.66666666666666663</v>
      </c>
      <c r="L269" s="1557">
        <f t="shared" si="133"/>
        <v>0.33333333333333331</v>
      </c>
      <c r="M269" s="1557">
        <f t="shared" si="133"/>
        <v>0.625</v>
      </c>
      <c r="N269" s="1557">
        <f t="shared" si="133"/>
        <v>0.75</v>
      </c>
      <c r="O269" s="1557">
        <f t="shared" si="133"/>
        <v>1</v>
      </c>
      <c r="P269" s="1557" t="e">
        <f t="shared" si="133"/>
        <v>#REF!</v>
      </c>
      <c r="Q269" s="1557">
        <f t="shared" si="133"/>
        <v>0.625</v>
      </c>
      <c r="R269" s="1557">
        <f t="shared" si="133"/>
        <v>0.5</v>
      </c>
      <c r="S269" s="1557">
        <f t="shared" si="133"/>
        <v>0.5</v>
      </c>
      <c r="T269" s="1557">
        <f t="shared" si="133"/>
        <v>0.875</v>
      </c>
      <c r="U269" s="1557">
        <f t="shared" ref="U269:X269" si="134">U267/U268</f>
        <v>0.75</v>
      </c>
      <c r="V269" s="1557">
        <f t="shared" si="134"/>
        <v>0.375</v>
      </c>
      <c r="W269" s="1557">
        <f t="shared" si="134"/>
        <v>0.625</v>
      </c>
      <c r="X269" s="1557" t="e">
        <f t="shared" si="134"/>
        <v>#DIV/0!</v>
      </c>
      <c r="Y269" s="1557"/>
      <c r="Z269" s="1557"/>
      <c r="AA269" s="1557" t="e">
        <f>AA267/AA268</f>
        <v>#DIV/0!</v>
      </c>
    </row>
    <row r="270" spans="1:27">
      <c r="A270" s="3570"/>
      <c r="B270" s="2884"/>
      <c r="C270" s="3565" t="s">
        <v>133</v>
      </c>
      <c r="D270" s="3535">
        <f>COUNTA(A119:A123)</f>
        <v>5</v>
      </c>
      <c r="E270" s="1556">
        <f>COUNTIF(E119:E123,"&gt;=5")</f>
        <v>0</v>
      </c>
      <c r="F270" s="1556">
        <f t="shared" ref="F270:AA270" si="135">COUNTIF(F119:F123,"&gt;=5")</f>
        <v>0</v>
      </c>
      <c r="G270" s="1556">
        <f t="shared" si="135"/>
        <v>0</v>
      </c>
      <c r="H270" s="1556">
        <f t="shared" si="135"/>
        <v>0</v>
      </c>
      <c r="I270" s="1556">
        <f t="shared" si="135"/>
        <v>0</v>
      </c>
      <c r="J270" s="1556">
        <f t="shared" si="135"/>
        <v>4</v>
      </c>
      <c r="K270" s="1556">
        <f t="shared" si="135"/>
        <v>5</v>
      </c>
      <c r="L270" s="1556">
        <f t="shared" si="135"/>
        <v>5</v>
      </c>
      <c r="M270" s="1556">
        <f t="shared" si="135"/>
        <v>4</v>
      </c>
      <c r="N270" s="1556">
        <f t="shared" si="135"/>
        <v>4</v>
      </c>
      <c r="O270" s="1734">
        <f>COUNTIF(O119:O123,"&gt;=5")</f>
        <v>5</v>
      </c>
      <c r="P270" s="1556">
        <f>COUNTIF(P119:P123,"&gt;=5")</f>
        <v>5</v>
      </c>
      <c r="Q270" s="1556">
        <f t="shared" si="135"/>
        <v>2</v>
      </c>
      <c r="R270" s="1556">
        <f t="shared" si="135"/>
        <v>2</v>
      </c>
      <c r="S270" s="1556">
        <f t="shared" si="135"/>
        <v>5</v>
      </c>
      <c r="T270" s="1556">
        <f t="shared" si="135"/>
        <v>4</v>
      </c>
      <c r="U270" s="3001">
        <f t="shared" ref="U270:X270" si="136">COUNTIF(U119:U123,"&gt;=5")</f>
        <v>3</v>
      </c>
      <c r="V270" s="3001">
        <f t="shared" si="136"/>
        <v>2</v>
      </c>
      <c r="W270" s="3001">
        <f t="shared" si="136"/>
        <v>3</v>
      </c>
      <c r="X270" s="3001">
        <f t="shared" si="136"/>
        <v>0</v>
      </c>
      <c r="Y270" s="2840"/>
      <c r="Z270" s="2840"/>
      <c r="AA270" s="1556">
        <f t="shared" si="135"/>
        <v>0</v>
      </c>
    </row>
    <row r="271" spans="1:27" s="1096" customFormat="1">
      <c r="A271" s="3570"/>
      <c r="B271" s="2884"/>
      <c r="C271" s="3566"/>
      <c r="D271" s="3536"/>
      <c r="E271" s="1558">
        <f>COUNT(E119:E123)</f>
        <v>0</v>
      </c>
      <c r="F271" s="1558">
        <f t="shared" ref="F271:AA271" si="137">COUNT(F119:F123)</f>
        <v>0</v>
      </c>
      <c r="G271" s="1558">
        <f t="shared" si="137"/>
        <v>0</v>
      </c>
      <c r="H271" s="1558">
        <f t="shared" si="137"/>
        <v>0</v>
      </c>
      <c r="I271" s="1558">
        <f t="shared" si="137"/>
        <v>0</v>
      </c>
      <c r="J271" s="1558">
        <f t="shared" si="137"/>
        <v>5</v>
      </c>
      <c r="K271" s="1558">
        <f t="shared" si="137"/>
        <v>5</v>
      </c>
      <c r="L271" s="1558">
        <f t="shared" si="137"/>
        <v>5</v>
      </c>
      <c r="M271" s="1558">
        <f t="shared" si="137"/>
        <v>5</v>
      </c>
      <c r="N271" s="1558">
        <f t="shared" si="137"/>
        <v>5</v>
      </c>
      <c r="O271" s="1735">
        <f>COUNT(O119:O123)</f>
        <v>5</v>
      </c>
      <c r="P271" s="1558">
        <f>COUNT(P119:P123)</f>
        <v>5</v>
      </c>
      <c r="Q271" s="1558">
        <f t="shared" si="137"/>
        <v>5</v>
      </c>
      <c r="R271" s="1558">
        <f t="shared" si="137"/>
        <v>5</v>
      </c>
      <c r="S271" s="1558">
        <f t="shared" si="137"/>
        <v>5</v>
      </c>
      <c r="T271" s="1558">
        <f t="shared" si="137"/>
        <v>5</v>
      </c>
      <c r="U271" s="3002">
        <f t="shared" ref="U271:X271" si="138">COUNT(U119:U123)</f>
        <v>5</v>
      </c>
      <c r="V271" s="3002">
        <f t="shared" si="138"/>
        <v>4</v>
      </c>
      <c r="W271" s="3002">
        <f t="shared" si="138"/>
        <v>5</v>
      </c>
      <c r="X271" s="3002">
        <f t="shared" si="138"/>
        <v>0</v>
      </c>
      <c r="Y271" s="2841"/>
      <c r="Z271" s="2841"/>
      <c r="AA271" s="1558">
        <f t="shared" si="137"/>
        <v>0</v>
      </c>
    </row>
    <row r="272" spans="1:27" s="1096" customFormat="1">
      <c r="A272" s="3570"/>
      <c r="B272" s="2884"/>
      <c r="C272" s="3567"/>
      <c r="D272" s="3537"/>
      <c r="E272" s="1557" t="e">
        <f t="shared" ref="E272:T272" si="139">E270/E271</f>
        <v>#DIV/0!</v>
      </c>
      <c r="F272" s="1557" t="e">
        <f t="shared" si="139"/>
        <v>#DIV/0!</v>
      </c>
      <c r="G272" s="1557" t="e">
        <f t="shared" si="139"/>
        <v>#DIV/0!</v>
      </c>
      <c r="H272" s="1557" t="e">
        <f t="shared" si="139"/>
        <v>#DIV/0!</v>
      </c>
      <c r="I272" s="1557" t="e">
        <f t="shared" si="139"/>
        <v>#DIV/0!</v>
      </c>
      <c r="J272" s="1557">
        <f t="shared" si="139"/>
        <v>0.8</v>
      </c>
      <c r="K272" s="1557">
        <f t="shared" si="139"/>
        <v>1</v>
      </c>
      <c r="L272" s="1557">
        <f t="shared" si="139"/>
        <v>1</v>
      </c>
      <c r="M272" s="1557">
        <f t="shared" si="139"/>
        <v>0.8</v>
      </c>
      <c r="N272" s="1557">
        <f t="shared" si="139"/>
        <v>0.8</v>
      </c>
      <c r="O272" s="1557">
        <f t="shared" si="139"/>
        <v>1</v>
      </c>
      <c r="P272" s="1557">
        <f t="shared" si="139"/>
        <v>1</v>
      </c>
      <c r="Q272" s="1557">
        <f t="shared" si="139"/>
        <v>0.4</v>
      </c>
      <c r="R272" s="1557">
        <f t="shared" si="139"/>
        <v>0.4</v>
      </c>
      <c r="S272" s="1557">
        <f t="shared" si="139"/>
        <v>1</v>
      </c>
      <c r="T272" s="1557">
        <f t="shared" si="139"/>
        <v>0.8</v>
      </c>
      <c r="U272" s="1557">
        <f t="shared" ref="U272:X272" si="140">U270/U271</f>
        <v>0.6</v>
      </c>
      <c r="V272" s="1557">
        <f t="shared" si="140"/>
        <v>0.5</v>
      </c>
      <c r="W272" s="1557">
        <f t="shared" si="140"/>
        <v>0.6</v>
      </c>
      <c r="X272" s="1557" t="e">
        <f t="shared" si="140"/>
        <v>#DIV/0!</v>
      </c>
      <c r="Y272" s="1557"/>
      <c r="Z272" s="1557"/>
      <c r="AA272" s="1557" t="e">
        <f>AA270/AA271</f>
        <v>#DIV/0!</v>
      </c>
    </row>
    <row r="273" spans="1:27">
      <c r="A273" s="3570"/>
      <c r="B273" s="2884"/>
      <c r="C273" s="3565" t="s">
        <v>70</v>
      </c>
      <c r="D273" s="3535">
        <f>COUNTA(A124:A128)</f>
        <v>5</v>
      </c>
      <c r="E273" s="1556">
        <f>COUNTIF(E124:E128,"&gt;=5")</f>
        <v>3</v>
      </c>
      <c r="F273" s="1556">
        <f t="shared" ref="F273:AA273" si="141">COUNTIF(F124:F128,"&gt;=5")</f>
        <v>2</v>
      </c>
      <c r="G273" s="1556">
        <f t="shared" si="141"/>
        <v>5</v>
      </c>
      <c r="H273" s="1556">
        <f t="shared" si="141"/>
        <v>4</v>
      </c>
      <c r="I273" s="1556">
        <f t="shared" si="141"/>
        <v>3</v>
      </c>
      <c r="J273" s="1556">
        <f t="shared" si="141"/>
        <v>4</v>
      </c>
      <c r="K273" s="1556">
        <f t="shared" si="141"/>
        <v>4</v>
      </c>
      <c r="L273" s="1556">
        <f t="shared" si="141"/>
        <v>4</v>
      </c>
      <c r="M273" s="1556">
        <f t="shared" si="141"/>
        <v>4</v>
      </c>
      <c r="N273" s="1556">
        <f t="shared" si="141"/>
        <v>3</v>
      </c>
      <c r="O273" s="1734">
        <f>COUNTIF(O124:O128,"&gt;=5")</f>
        <v>5</v>
      </c>
      <c r="P273" s="1556">
        <f>COUNTIF(P124:P128,"&gt;=5")</f>
        <v>4</v>
      </c>
      <c r="Q273" s="1556">
        <f t="shared" si="141"/>
        <v>3</v>
      </c>
      <c r="R273" s="1556">
        <f t="shared" si="141"/>
        <v>3</v>
      </c>
      <c r="S273" s="1556">
        <f t="shared" si="141"/>
        <v>5</v>
      </c>
      <c r="T273" s="1556">
        <f t="shared" si="141"/>
        <v>4</v>
      </c>
      <c r="U273" s="3001">
        <f t="shared" ref="U273:X273" si="142">COUNTIF(U124:U128,"&gt;=5")</f>
        <v>3</v>
      </c>
      <c r="V273" s="3001">
        <f t="shared" si="142"/>
        <v>3</v>
      </c>
      <c r="W273" s="3001">
        <f t="shared" si="142"/>
        <v>3</v>
      </c>
      <c r="X273" s="3001">
        <f t="shared" si="142"/>
        <v>0</v>
      </c>
      <c r="Y273" s="2840"/>
      <c r="Z273" s="2840"/>
      <c r="AA273" s="1556">
        <f t="shared" si="141"/>
        <v>0</v>
      </c>
    </row>
    <row r="274" spans="1:27" s="1096" customFormat="1">
      <c r="A274" s="3570"/>
      <c r="B274" s="2884"/>
      <c r="C274" s="3566"/>
      <c r="D274" s="3536"/>
      <c r="E274" s="1558">
        <f>COUNT(E124:E128)</f>
        <v>5</v>
      </c>
      <c r="F274" s="1558">
        <f t="shared" ref="F274:AA274" si="143">COUNT(F124:F128)</f>
        <v>5</v>
      </c>
      <c r="G274" s="1558">
        <f t="shared" si="143"/>
        <v>5</v>
      </c>
      <c r="H274" s="1558">
        <f t="shared" si="143"/>
        <v>5</v>
      </c>
      <c r="I274" s="1558">
        <f t="shared" si="143"/>
        <v>5</v>
      </c>
      <c r="J274" s="1558">
        <f t="shared" si="143"/>
        <v>5</v>
      </c>
      <c r="K274" s="1558">
        <f t="shared" si="143"/>
        <v>5</v>
      </c>
      <c r="L274" s="1558">
        <f t="shared" si="143"/>
        <v>5</v>
      </c>
      <c r="M274" s="1558">
        <f t="shared" si="143"/>
        <v>5</v>
      </c>
      <c r="N274" s="1558">
        <f t="shared" si="143"/>
        <v>5</v>
      </c>
      <c r="O274" s="1735">
        <f>COUNT(O124:O128)</f>
        <v>5</v>
      </c>
      <c r="P274" s="1558">
        <f>COUNT(P124:P128)</f>
        <v>5</v>
      </c>
      <c r="Q274" s="1558">
        <f t="shared" si="143"/>
        <v>5</v>
      </c>
      <c r="R274" s="1558">
        <f t="shared" si="143"/>
        <v>5</v>
      </c>
      <c r="S274" s="1558">
        <f t="shared" si="143"/>
        <v>5</v>
      </c>
      <c r="T274" s="1558">
        <f t="shared" si="143"/>
        <v>5</v>
      </c>
      <c r="U274" s="3002">
        <f t="shared" ref="U274:X274" si="144">COUNT(U124:U128)</f>
        <v>5</v>
      </c>
      <c r="V274" s="3002">
        <f t="shared" si="144"/>
        <v>5</v>
      </c>
      <c r="W274" s="3002">
        <f t="shared" si="144"/>
        <v>5</v>
      </c>
      <c r="X274" s="3002">
        <f t="shared" si="144"/>
        <v>0</v>
      </c>
      <c r="Y274" s="2841"/>
      <c r="Z274" s="2841"/>
      <c r="AA274" s="1558">
        <f t="shared" si="143"/>
        <v>0</v>
      </c>
    </row>
    <row r="275" spans="1:27" s="1096" customFormat="1">
      <c r="A275" s="3571"/>
      <c r="B275" s="2885"/>
      <c r="C275" s="3567"/>
      <c r="D275" s="3537"/>
      <c r="E275" s="1557">
        <f t="shared" ref="E275:T275" si="145">E273/E274</f>
        <v>0.6</v>
      </c>
      <c r="F275" s="1557">
        <f t="shared" si="145"/>
        <v>0.4</v>
      </c>
      <c r="G275" s="1557">
        <f t="shared" si="145"/>
        <v>1</v>
      </c>
      <c r="H275" s="1557">
        <f t="shared" si="145"/>
        <v>0.8</v>
      </c>
      <c r="I275" s="1557">
        <f t="shared" si="145"/>
        <v>0.6</v>
      </c>
      <c r="J275" s="1557">
        <f t="shared" si="145"/>
        <v>0.8</v>
      </c>
      <c r="K275" s="1557">
        <f t="shared" si="145"/>
        <v>0.8</v>
      </c>
      <c r="L275" s="1557">
        <f t="shared" si="145"/>
        <v>0.8</v>
      </c>
      <c r="M275" s="1557">
        <f t="shared" si="145"/>
        <v>0.8</v>
      </c>
      <c r="N275" s="1557">
        <f t="shared" si="145"/>
        <v>0.6</v>
      </c>
      <c r="O275" s="1557">
        <f t="shared" si="145"/>
        <v>1</v>
      </c>
      <c r="P275" s="1557">
        <f t="shared" si="145"/>
        <v>0.8</v>
      </c>
      <c r="Q275" s="1557">
        <f t="shared" si="145"/>
        <v>0.6</v>
      </c>
      <c r="R275" s="1557">
        <f t="shared" si="145"/>
        <v>0.6</v>
      </c>
      <c r="S275" s="1557">
        <f t="shared" si="145"/>
        <v>1</v>
      </c>
      <c r="T275" s="1557">
        <f t="shared" si="145"/>
        <v>0.8</v>
      </c>
      <c r="U275" s="1557">
        <f t="shared" ref="U275:X275" si="146">U273/U274</f>
        <v>0.6</v>
      </c>
      <c r="V275" s="1557">
        <f t="shared" si="146"/>
        <v>0.6</v>
      </c>
      <c r="W275" s="1557">
        <f t="shared" si="146"/>
        <v>0.6</v>
      </c>
      <c r="X275" s="1557" t="e">
        <f t="shared" si="146"/>
        <v>#DIV/0!</v>
      </c>
      <c r="Y275" s="1557"/>
      <c r="Z275" s="1557"/>
      <c r="AA275" s="1557" t="e">
        <f>AA273/AA274</f>
        <v>#DIV/0!</v>
      </c>
    </row>
    <row r="276" spans="1:27">
      <c r="A276" s="3572" t="s">
        <v>291</v>
      </c>
      <c r="B276" s="3573"/>
      <c r="C276" s="3574"/>
      <c r="D276" s="1104">
        <f>SUM(D228:D273)</f>
        <v>84</v>
      </c>
      <c r="E276" s="1104">
        <f>SUM(E228,E231,E234,E237,E240,E243,E246,E249,E252,E255,E258,E261,E264,E267,E270,E273)</f>
        <v>23</v>
      </c>
      <c r="F276" s="1104">
        <f t="shared" ref="F276:AA276" si="147">SUM(F228,F231,F234,F237,F240,F243,F246,F249,F252,F255,F258,F261,F264,F267,F270,F273)</f>
        <v>12</v>
      </c>
      <c r="G276" s="1104">
        <f t="shared" si="147"/>
        <v>29</v>
      </c>
      <c r="H276" s="1104">
        <f t="shared" si="147"/>
        <v>36</v>
      </c>
      <c r="I276" s="1104">
        <f t="shared" si="147"/>
        <v>35</v>
      </c>
      <c r="J276" s="1104">
        <f t="shared" si="147"/>
        <v>21</v>
      </c>
      <c r="K276" s="1104">
        <f t="shared" si="147"/>
        <v>22</v>
      </c>
      <c r="L276" s="1104">
        <f t="shared" si="147"/>
        <v>19</v>
      </c>
      <c r="M276" s="1104">
        <f t="shared" si="147"/>
        <v>24</v>
      </c>
      <c r="N276" s="1104">
        <f t="shared" si="147"/>
        <v>23</v>
      </c>
      <c r="O276" s="1104">
        <f t="shared" si="147"/>
        <v>28</v>
      </c>
      <c r="P276" s="1104" t="e">
        <f t="shared" si="147"/>
        <v>#REF!</v>
      </c>
      <c r="Q276" s="1104">
        <f t="shared" si="147"/>
        <v>16</v>
      </c>
      <c r="R276" s="1104">
        <f t="shared" si="147"/>
        <v>15</v>
      </c>
      <c r="S276" s="1104">
        <f t="shared" si="147"/>
        <v>22</v>
      </c>
      <c r="T276" s="1104">
        <f t="shared" si="147"/>
        <v>20</v>
      </c>
      <c r="U276" s="1104">
        <f t="shared" ref="U276:X276" si="148">SUM(U228,U231,U234,U237,U240,U243,U246,U249,U252,U255,U258,U261,U264,U267,U270,U273)</f>
        <v>17</v>
      </c>
      <c r="V276" s="1104">
        <f t="shared" si="148"/>
        <v>12</v>
      </c>
      <c r="W276" s="1104">
        <f t="shared" si="148"/>
        <v>17</v>
      </c>
      <c r="X276" s="1104">
        <f t="shared" si="148"/>
        <v>1</v>
      </c>
      <c r="Y276" s="1104"/>
      <c r="Z276" s="1104"/>
      <c r="AA276" s="1104">
        <f t="shared" si="147"/>
        <v>7</v>
      </c>
    </row>
    <row r="277" spans="1:27" s="1106" customFormat="1">
      <c r="A277" s="3575"/>
      <c r="B277" s="3576"/>
      <c r="C277" s="3577"/>
      <c r="D277" s="1375" t="s">
        <v>305</v>
      </c>
      <c r="E277" s="1104">
        <f>SUM(E229,E232,E235,E238,E241,E244,E247,E250,E253,E256,E259,E262,E265,E268,E271,E274)</f>
        <v>73</v>
      </c>
      <c r="F277" s="1104">
        <f t="shared" ref="F277:AA277" si="149">SUM(F229,F232,F235,F238,F241,F244,F247,F250,F253,F256,F259,F262,F265,F268,F271,F274)</f>
        <v>74</v>
      </c>
      <c r="G277" s="1104">
        <f t="shared" si="149"/>
        <v>74</v>
      </c>
      <c r="H277" s="1104">
        <f t="shared" si="149"/>
        <v>74</v>
      </c>
      <c r="I277" s="1104">
        <f t="shared" si="149"/>
        <v>74</v>
      </c>
      <c r="J277" s="1104">
        <f t="shared" si="149"/>
        <v>79</v>
      </c>
      <c r="K277" s="1104">
        <f t="shared" si="149"/>
        <v>79</v>
      </c>
      <c r="L277" s="1104">
        <f t="shared" si="149"/>
        <v>79</v>
      </c>
      <c r="M277" s="1104">
        <f t="shared" si="149"/>
        <v>80</v>
      </c>
      <c r="N277" s="1104">
        <f t="shared" si="149"/>
        <v>84</v>
      </c>
      <c r="O277" s="1104">
        <f t="shared" si="149"/>
        <v>84</v>
      </c>
      <c r="P277" s="1104">
        <f t="shared" si="149"/>
        <v>16</v>
      </c>
      <c r="Q277" s="1104">
        <f t="shared" si="149"/>
        <v>79</v>
      </c>
      <c r="R277" s="1104">
        <f t="shared" si="149"/>
        <v>79</v>
      </c>
      <c r="S277" s="1104">
        <f t="shared" si="149"/>
        <v>79</v>
      </c>
      <c r="T277" s="1104">
        <f t="shared" si="149"/>
        <v>81</v>
      </c>
      <c r="U277" s="1104">
        <f t="shared" ref="U277:X277" si="150">SUM(U229,U232,U235,U238,U241,U244,U247,U250,U253,U256,U259,U262,U265,U268,U271,U274)</f>
        <v>63</v>
      </c>
      <c r="V277" s="1104">
        <f t="shared" si="150"/>
        <v>62</v>
      </c>
      <c r="W277" s="1104">
        <f t="shared" si="150"/>
        <v>62</v>
      </c>
      <c r="X277" s="1104">
        <f t="shared" si="150"/>
        <v>60</v>
      </c>
      <c r="Y277" s="1104"/>
      <c r="Z277" s="1104"/>
      <c r="AA277" s="1104">
        <f t="shared" si="149"/>
        <v>59</v>
      </c>
    </row>
    <row r="278" spans="1:27" s="4" customFormat="1">
      <c r="A278" s="3578"/>
      <c r="B278" s="3579"/>
      <c r="C278" s="3580"/>
      <c r="D278" s="1100" t="s">
        <v>302</v>
      </c>
      <c r="E278" s="1105">
        <f>E276/D276</f>
        <v>0.27380952380952384</v>
      </c>
      <c r="F278" s="1105">
        <f>F276/D276</f>
        <v>0.14285714285714285</v>
      </c>
      <c r="G278" s="1105">
        <f>G276/D276</f>
        <v>0.34523809523809523</v>
      </c>
      <c r="H278" s="1105">
        <f>H276/D276</f>
        <v>0.42857142857142855</v>
      </c>
      <c r="I278" s="1105">
        <f>I276/D276</f>
        <v>0.41666666666666669</v>
      </c>
      <c r="J278" s="1105">
        <f>J276/D276</f>
        <v>0.25</v>
      </c>
      <c r="K278" s="1105">
        <f>K276/D276</f>
        <v>0.26190476190476192</v>
      </c>
      <c r="L278" s="1105">
        <f>L276/D276</f>
        <v>0.22619047619047619</v>
      </c>
      <c r="M278" s="1105">
        <f>M276/D276</f>
        <v>0.2857142857142857</v>
      </c>
      <c r="N278" s="1105">
        <f>N276/D276</f>
        <v>0.27380952380952384</v>
      </c>
      <c r="O278" s="1105">
        <f>O276/D276</f>
        <v>0.33333333333333331</v>
      </c>
      <c r="P278" s="1105" t="e">
        <f>P276/D276</f>
        <v>#REF!</v>
      </c>
      <c r="Q278" s="1105">
        <f>Q276/D276</f>
        <v>0.19047619047619047</v>
      </c>
      <c r="R278" s="1105">
        <f>R276/D276</f>
        <v>0.17857142857142858</v>
      </c>
      <c r="S278" s="1105">
        <f>S276/D276</f>
        <v>0.26190476190476192</v>
      </c>
      <c r="T278" s="1105">
        <f>T276/D276</f>
        <v>0.23809523809523808</v>
      </c>
      <c r="U278" s="1105">
        <f t="shared" ref="U278" si="151">U276/F276</f>
        <v>1.4166666666666667</v>
      </c>
      <c r="V278" s="1105">
        <f t="shared" ref="V278" si="152">V276/F276</f>
        <v>1</v>
      </c>
      <c r="W278" s="1105">
        <f t="shared" ref="W278" si="153">W276/H276</f>
        <v>0.47222222222222221</v>
      </c>
      <c r="X278" s="1105">
        <f t="shared" ref="X278" si="154">X276/H276</f>
        <v>2.7777777777777776E-2</v>
      </c>
      <c r="Y278" s="1105"/>
      <c r="Z278" s="1105"/>
      <c r="AA278" s="1105">
        <f>AA276/D276</f>
        <v>8.3333333333333329E-2</v>
      </c>
    </row>
    <row r="279" spans="1:27">
      <c r="D279" s="1375"/>
      <c r="E279" s="1096"/>
      <c r="F279" s="1096"/>
      <c r="G279" s="1096"/>
      <c r="H279" s="1096"/>
      <c r="I279" s="1096"/>
      <c r="J279" s="1096"/>
      <c r="K279" s="1096"/>
      <c r="L279" s="1096"/>
      <c r="M279" s="1096"/>
      <c r="N279" s="1096"/>
      <c r="O279" s="1096"/>
      <c r="P279" s="1096"/>
      <c r="Q279" s="1096"/>
      <c r="R279" s="1096"/>
      <c r="S279" s="1096"/>
      <c r="T279" s="1096"/>
      <c r="AA279" s="1096"/>
    </row>
  </sheetData>
  <sortState ref="D128:Q141">
    <sortCondition ref="D128:D141"/>
  </sortState>
  <mergeCells count="97">
    <mergeCell ref="B78:B86"/>
    <mergeCell ref="B71:B77"/>
    <mergeCell ref="B49:B52"/>
    <mergeCell ref="B53:B55"/>
    <mergeCell ref="B56:B58"/>
    <mergeCell ref="B59:B61"/>
    <mergeCell ref="B62:B64"/>
    <mergeCell ref="D252:D254"/>
    <mergeCell ref="D234:D236"/>
    <mergeCell ref="D237:D239"/>
    <mergeCell ref="D240:D242"/>
    <mergeCell ref="D243:D245"/>
    <mergeCell ref="D246:D248"/>
    <mergeCell ref="D249:D251"/>
    <mergeCell ref="D255:D257"/>
    <mergeCell ref="D273:D275"/>
    <mergeCell ref="D258:D260"/>
    <mergeCell ref="D261:D263"/>
    <mergeCell ref="D264:D266"/>
    <mergeCell ref="D267:D269"/>
    <mergeCell ref="D270:D272"/>
    <mergeCell ref="A228:A254"/>
    <mergeCell ref="A255:A263"/>
    <mergeCell ref="A264:A275"/>
    <mergeCell ref="A276:C278"/>
    <mergeCell ref="C228:C230"/>
    <mergeCell ref="C231:C233"/>
    <mergeCell ref="C234:C236"/>
    <mergeCell ref="C237:C239"/>
    <mergeCell ref="C240:C242"/>
    <mergeCell ref="C243:C245"/>
    <mergeCell ref="C246:C248"/>
    <mergeCell ref="C270:C272"/>
    <mergeCell ref="C249:C251"/>
    <mergeCell ref="C252:C254"/>
    <mergeCell ref="C255:C257"/>
    <mergeCell ref="C258:C260"/>
    <mergeCell ref="C261:C263"/>
    <mergeCell ref="C264:C266"/>
    <mergeCell ref="C267:C269"/>
    <mergeCell ref="C273:C275"/>
    <mergeCell ref="AL21:AR21"/>
    <mergeCell ref="O163:R164"/>
    <mergeCell ref="O208:R209"/>
    <mergeCell ref="O102:R103"/>
    <mergeCell ref="O142:R143"/>
    <mergeCell ref="G142:J143"/>
    <mergeCell ref="G163:J164"/>
    <mergeCell ref="G208:J209"/>
    <mergeCell ref="C135:C137"/>
    <mergeCell ref="G102:J103"/>
    <mergeCell ref="D228:D230"/>
    <mergeCell ref="D231:D233"/>
    <mergeCell ref="AL19:AR19"/>
    <mergeCell ref="AL20:AR20"/>
    <mergeCell ref="AL15:AR15"/>
    <mergeCell ref="AL16:AR16"/>
    <mergeCell ref="AL17:AR17"/>
    <mergeCell ref="AL18:AR18"/>
    <mergeCell ref="F5:N5"/>
    <mergeCell ref="G6:M6"/>
    <mergeCell ref="E2:O3"/>
    <mergeCell ref="BN15:BO15"/>
    <mergeCell ref="O12:R13"/>
    <mergeCell ref="I8:L8"/>
    <mergeCell ref="E8:H8"/>
    <mergeCell ref="G12:J13"/>
    <mergeCell ref="Q8:T8"/>
    <mergeCell ref="M8:P8"/>
    <mergeCell ref="U8:X8"/>
    <mergeCell ref="Y8:AB8"/>
    <mergeCell ref="AC8:AF8"/>
    <mergeCell ref="E225:AA225"/>
    <mergeCell ref="A225:A227"/>
    <mergeCell ref="C225:C227"/>
    <mergeCell ref="D225:D227"/>
    <mergeCell ref="E226:H226"/>
    <mergeCell ref="I226:L226"/>
    <mergeCell ref="M226:P226"/>
    <mergeCell ref="Q226:T226"/>
    <mergeCell ref="U226:X226"/>
    <mergeCell ref="Y103:AB103"/>
    <mergeCell ref="AC103:AF103"/>
    <mergeCell ref="Y69:AB69"/>
    <mergeCell ref="AC69:AF69"/>
    <mergeCell ref="A8:A9"/>
    <mergeCell ref="D8:D9"/>
    <mergeCell ref="B15:B18"/>
    <mergeCell ref="B19:B21"/>
    <mergeCell ref="B22:B24"/>
    <mergeCell ref="B25:B29"/>
    <mergeCell ref="B30:B34"/>
    <mergeCell ref="B35:B37"/>
    <mergeCell ref="B38:B42"/>
    <mergeCell ref="B43:B45"/>
    <mergeCell ref="B46:B48"/>
    <mergeCell ref="B87:B96"/>
  </mergeCells>
  <conditionalFormatting sqref="E70:F70 M46:M64 M28:P45 M27:O27 M26:P26 M25:O25 M15:P24 Q127 E15:L64 E145:O147 E149:O158 E148:N148 Q105:AB126 R145:Z158 U105:X128 U68:X96 E105:P128 Q145:Q147 Q149:Q158 Q15:AB64 E211:AB219 E166:AB203 E71:AB96 K70:AB70 S127:AB127 Q128:AB128 E68:X69 Y68:Z68 AC87:AC96">
    <cfRule type="cellIs" dxfId="252" priority="136" operator="greaterThanOrEqual">
      <formula>5</formula>
    </cfRule>
  </conditionalFormatting>
  <conditionalFormatting sqref="N68:N69 N46:P64 R127">
    <cfRule type="cellIs" dxfId="251" priority="114" operator="lessThanOrEqual">
      <formula>0.4</formula>
    </cfRule>
  </conditionalFormatting>
  <conditionalFormatting sqref="E15">
    <cfRule type="cellIs" dxfId="250" priority="112" operator="greaterThan">
      <formula>6.3</formula>
    </cfRule>
  </conditionalFormatting>
  <conditionalFormatting sqref="M27:O27 M25:O25 M28:P64 M26:P26 M15:P24 E15:L64 Q15:AB64">
    <cfRule type="cellIs" dxfId="249" priority="71" operator="lessThan">
      <formula>5</formula>
    </cfRule>
    <cfRule type="cellIs" dxfId="248" priority="72" operator="greaterThan">
      <formula>5</formula>
    </cfRule>
    <cfRule type="cellIs" dxfId="247" priority="111" operator="greaterThan">
      <formula>5</formula>
    </cfRule>
  </conditionalFormatting>
  <conditionalFormatting sqref="I19:I20 E71:P96">
    <cfRule type="cellIs" dxfId="246" priority="110" operator="greaterThan">
      <formula>5</formula>
    </cfRule>
  </conditionalFormatting>
  <conditionalFormatting sqref="E105:P128">
    <cfRule type="cellIs" dxfId="245" priority="107" operator="greaterThan">
      <formula>4.9</formula>
    </cfRule>
    <cfRule type="cellIs" dxfId="244" priority="108" operator="greaterThan">
      <formula>5</formula>
    </cfRule>
  </conditionalFormatting>
  <conditionalFormatting sqref="M28:P64 M27:O27 M26:P26 M25:O25 M15:P24 E15:L64 E145:O147 E149:O158 E148:N148 Q145:Q147 Q149:Q158">
    <cfRule type="cellIs" dxfId="243" priority="106" operator="greaterThan">
      <formula>4.9</formula>
    </cfRule>
  </conditionalFormatting>
  <conditionalFormatting sqref="E127:Q127 U105:X128 E166:AB203 E71:AB96 S127:AB127 E128:AB128 E105:AB126 AC87:AC96">
    <cfRule type="cellIs" dxfId="242" priority="69" operator="lessThan">
      <formula>5</formula>
    </cfRule>
    <cfRule type="cellIs" dxfId="241" priority="70" operator="greaterThan">
      <formula>5</formula>
    </cfRule>
  </conditionalFormatting>
  <conditionalFormatting sqref="E145:Z158 E211:AB219">
    <cfRule type="cellIs" dxfId="240" priority="64" operator="greaterThan">
      <formula>5</formula>
    </cfRule>
    <cfRule type="cellIs" dxfId="239" priority="65" operator="lessThan">
      <formula>5</formula>
    </cfRule>
    <cfRule type="cellIs" dxfId="238" priority="66" operator="greaterThan">
      <formula>5</formula>
    </cfRule>
  </conditionalFormatting>
  <conditionalFormatting sqref="P25:P27">
    <cfRule type="cellIs" dxfId="237" priority="55" operator="lessThan">
      <formula>5</formula>
    </cfRule>
    <cfRule type="cellIs" dxfId="236" priority="56" operator="greaterThan">
      <formula>5</formula>
    </cfRule>
    <cfRule type="cellIs" dxfId="235" priority="57" operator="lessThan">
      <formula>5</formula>
    </cfRule>
    <cfRule type="cellIs" dxfId="234" priority="58" operator="greaterThan">
      <formula>5</formula>
    </cfRule>
  </conditionalFormatting>
  <conditionalFormatting sqref="R127">
    <cfRule type="cellIs" dxfId="233" priority="27" operator="lessThan">
      <formula>0.4</formula>
    </cfRule>
    <cfRule type="cellIs" dxfId="232" priority="28" operator="greaterThan">
      <formula>0.4</formula>
    </cfRule>
  </conditionalFormatting>
  <conditionalFormatting sqref="AC15:AF64 AC68:AD68 AC70:AF96">
    <cfRule type="cellIs" dxfId="231" priority="9" operator="greaterThanOrEqual">
      <formula>5</formula>
    </cfRule>
  </conditionalFormatting>
  <conditionalFormatting sqref="AC15:AF64">
    <cfRule type="cellIs" dxfId="230" priority="6" operator="lessThan">
      <formula>5</formula>
    </cfRule>
    <cfRule type="cellIs" dxfId="229" priority="7" operator="greaterThan">
      <formula>5</formula>
    </cfRule>
    <cfRule type="cellIs" dxfId="228" priority="8" operator="greaterThan">
      <formula>5</formula>
    </cfRule>
  </conditionalFormatting>
  <conditionalFormatting sqref="AC71:AF96">
    <cfRule type="cellIs" dxfId="227" priority="4" operator="lessThan">
      <formula>5</formula>
    </cfRule>
    <cfRule type="cellIs" dxfId="226" priority="5" operator="greaterThan">
      <formula>5</formula>
    </cfRule>
  </conditionalFormatting>
  <conditionalFormatting sqref="AC105:AF128">
    <cfRule type="cellIs" dxfId="225" priority="3" operator="greaterThanOrEqual">
      <formula>5</formula>
    </cfRule>
  </conditionalFormatting>
  <conditionalFormatting sqref="AC105:AF128">
    <cfRule type="cellIs" dxfId="224" priority="1" operator="lessThan">
      <formula>5</formula>
    </cfRule>
    <cfRule type="cellIs" dxfId="223" priority="2" operator="greaterThan">
      <formula>5</formula>
    </cfRule>
  </conditionalFormatting>
  <pageMargins left="0.17" right="0.17" top="0.17499999999999999" bottom="0.17499999999999999" header="0.3" footer="0.3"/>
  <pageSetup paperSize="9" scale="90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I272"/>
  <sheetViews>
    <sheetView topLeftCell="G1" zoomScale="60" zoomScaleNormal="60" workbookViewId="0">
      <pane ySplit="1" topLeftCell="A80" activePane="bottomLeft" state="frozen"/>
      <selection pane="bottomLeft" activeCell="AB125" sqref="AB125"/>
    </sheetView>
  </sheetViews>
  <sheetFormatPr defaultRowHeight="15"/>
  <cols>
    <col min="1" max="1" width="20.5703125" customWidth="1"/>
    <col min="2" max="2" width="10.42578125" style="11" customWidth="1"/>
    <col min="3" max="3" width="40.85546875" customWidth="1"/>
    <col min="4" max="9" width="11.42578125" bestFit="1" customWidth="1"/>
    <col min="10" max="10" width="11.42578125" style="5" bestFit="1" customWidth="1"/>
    <col min="11" max="13" width="11.42578125" bestFit="1" customWidth="1"/>
    <col min="14" max="14" width="11.42578125" style="3" bestFit="1" customWidth="1"/>
    <col min="15" max="15" width="10.28515625" bestFit="1" customWidth="1"/>
    <col min="16" max="17" width="11.42578125" bestFit="1" customWidth="1"/>
    <col min="18" max="19" width="10.28515625" bestFit="1" customWidth="1"/>
    <col min="20" max="22" width="10.28515625" style="2837" bestFit="1" customWidth="1"/>
    <col min="23" max="23" width="11.42578125" style="2837" bestFit="1" customWidth="1"/>
    <col min="24" max="25" width="11.42578125" bestFit="1" customWidth="1"/>
    <col min="26" max="27" width="10.140625" bestFit="1" customWidth="1"/>
    <col min="28" max="31" width="10.140625" style="3486" customWidth="1"/>
  </cols>
  <sheetData>
    <row r="1" spans="1:191" ht="15" customHeight="1">
      <c r="A1" s="752"/>
      <c r="B1" s="1012"/>
      <c r="C1" s="752"/>
      <c r="D1" s="752"/>
      <c r="E1" s="762"/>
      <c r="F1" s="762"/>
      <c r="G1" s="762"/>
      <c r="H1" s="762"/>
      <c r="I1" s="762"/>
      <c r="J1" s="762"/>
      <c r="K1" s="762"/>
      <c r="L1" s="762"/>
      <c r="M1" s="762"/>
      <c r="N1" s="752"/>
      <c r="O1" s="726"/>
      <c r="P1" s="726"/>
      <c r="Q1" s="726"/>
      <c r="R1" s="726"/>
      <c r="S1" s="726"/>
      <c r="T1" s="726"/>
      <c r="U1" s="726"/>
      <c r="V1" s="726"/>
      <c r="W1" s="726"/>
      <c r="X1" s="764"/>
    </row>
    <row r="2" spans="1:191" ht="15" customHeight="1">
      <c r="A2" s="752"/>
      <c r="B2" s="1012"/>
      <c r="C2" s="752"/>
      <c r="D2" s="3544" t="s">
        <v>264</v>
      </c>
      <c r="E2" s="3544"/>
      <c r="F2" s="3544"/>
      <c r="G2" s="3544"/>
      <c r="H2" s="3544"/>
      <c r="I2" s="3544"/>
      <c r="J2" s="3544"/>
      <c r="K2" s="3544"/>
      <c r="L2" s="3544"/>
      <c r="M2" s="3544"/>
      <c r="N2" s="3544"/>
      <c r="O2" s="726"/>
      <c r="P2" s="726"/>
      <c r="Q2" s="726"/>
      <c r="R2" s="726"/>
      <c r="S2" s="726"/>
      <c r="T2" s="726"/>
      <c r="U2" s="726"/>
      <c r="V2" s="726"/>
      <c r="W2" s="726"/>
      <c r="X2" s="764"/>
    </row>
    <row r="3" spans="1:191" ht="15" customHeight="1">
      <c r="A3" s="752"/>
      <c r="B3" s="1012"/>
      <c r="C3" s="752"/>
      <c r="D3" s="3544"/>
      <c r="E3" s="3544"/>
      <c r="F3" s="3544"/>
      <c r="G3" s="3544"/>
      <c r="H3" s="3544"/>
      <c r="I3" s="3544"/>
      <c r="J3" s="3544"/>
      <c r="K3" s="3544"/>
      <c r="L3" s="3544"/>
      <c r="M3" s="3544"/>
      <c r="N3" s="3544"/>
      <c r="O3" s="726"/>
      <c r="P3" s="726"/>
      <c r="Q3" s="726"/>
      <c r="R3" s="726"/>
      <c r="S3" s="726"/>
      <c r="T3" s="726"/>
      <c r="U3" s="726"/>
      <c r="V3" s="726"/>
      <c r="W3" s="726"/>
      <c r="X3" s="764"/>
    </row>
    <row r="4" spans="1:191" ht="15.75" thickBot="1">
      <c r="A4" s="752"/>
      <c r="B4" s="1012"/>
      <c r="C4" s="752"/>
      <c r="D4" s="752"/>
      <c r="E4" s="752"/>
      <c r="F4" s="752"/>
      <c r="G4" s="752"/>
      <c r="H4" s="752"/>
      <c r="I4" s="752"/>
      <c r="J4" s="726"/>
      <c r="K4" s="726"/>
      <c r="L4" s="726"/>
      <c r="M4" s="726"/>
      <c r="N4" s="752"/>
      <c r="O4" s="726"/>
      <c r="P4" s="726"/>
      <c r="Q4" s="726"/>
      <c r="R4" s="726"/>
      <c r="S4" s="726"/>
      <c r="T4" s="726"/>
      <c r="U4" s="726"/>
      <c r="V4" s="726"/>
      <c r="W4" s="726"/>
      <c r="X4" s="764"/>
    </row>
    <row r="5" spans="1:191" ht="15" customHeight="1" thickBot="1">
      <c r="A5" s="750"/>
      <c r="B5" s="1017"/>
      <c r="C5" s="750"/>
      <c r="D5" s="750"/>
      <c r="E5" s="3538" t="s">
        <v>196</v>
      </c>
      <c r="F5" s="3539"/>
      <c r="G5" s="3539"/>
      <c r="H5" s="3539"/>
      <c r="I5" s="3539"/>
      <c r="J5" s="3539"/>
      <c r="K5" s="3539"/>
      <c r="L5" s="3539"/>
      <c r="M5" s="3540"/>
      <c r="N5" s="752"/>
      <c r="O5" s="726"/>
      <c r="P5" s="726"/>
      <c r="Q5" s="726"/>
      <c r="R5" s="726"/>
      <c r="S5" s="726"/>
      <c r="T5" s="726"/>
      <c r="U5" s="726"/>
      <c r="V5" s="726"/>
      <c r="W5" s="726"/>
      <c r="X5" s="764"/>
    </row>
    <row r="6" spans="1:191" ht="15.75" thickBot="1">
      <c r="A6" s="751"/>
      <c r="B6" s="1018"/>
      <c r="C6" s="751"/>
      <c r="D6" s="753"/>
      <c r="E6" s="752"/>
      <c r="F6" s="3589" t="s">
        <v>230</v>
      </c>
      <c r="G6" s="3590"/>
      <c r="H6" s="3590"/>
      <c r="I6" s="3590"/>
      <c r="J6" s="3590"/>
      <c r="K6" s="3590"/>
      <c r="L6" s="3591"/>
      <c r="M6" s="726"/>
      <c r="N6" s="752"/>
      <c r="O6" s="726"/>
      <c r="P6" s="726"/>
      <c r="Q6" s="726"/>
      <c r="R6" s="726"/>
      <c r="S6" s="726"/>
      <c r="T6" s="726"/>
      <c r="U6" s="726"/>
      <c r="V6" s="726"/>
      <c r="W6" s="726"/>
      <c r="X6" s="764"/>
    </row>
    <row r="7" spans="1:191" ht="15.75" thickBot="1">
      <c r="A7" s="116"/>
      <c r="B7" s="580"/>
      <c r="C7" s="116"/>
      <c r="D7" s="237"/>
      <c r="E7" s="237"/>
      <c r="F7" s="3589" t="s">
        <v>425</v>
      </c>
      <c r="G7" s="3590"/>
      <c r="H7" s="3590"/>
      <c r="I7" s="3590"/>
      <c r="J7" s="3590"/>
      <c r="K7" s="3590"/>
      <c r="L7" s="3591"/>
      <c r="M7" s="107"/>
      <c r="N7" s="116"/>
      <c r="O7" s="107"/>
      <c r="P7" s="107"/>
      <c r="Q7" s="107"/>
      <c r="R7" s="107"/>
      <c r="S7" s="107"/>
      <c r="T7" s="107"/>
      <c r="U7" s="107"/>
      <c r="V7" s="107"/>
      <c r="W7" s="107"/>
      <c r="X7" s="767"/>
      <c r="Y7" s="79"/>
      <c r="Z7" s="2425"/>
    </row>
    <row r="8" spans="1:191" ht="15" customHeight="1" thickBot="1">
      <c r="A8" s="3519" t="s">
        <v>0</v>
      </c>
      <c r="B8" s="1006"/>
      <c r="C8" s="3587" t="s">
        <v>1</v>
      </c>
      <c r="D8" s="3550">
        <v>2011</v>
      </c>
      <c r="E8" s="3551"/>
      <c r="F8" s="3551"/>
      <c r="G8" s="3552"/>
      <c r="H8" s="3547">
        <v>2012</v>
      </c>
      <c r="I8" s="3548"/>
      <c r="J8" s="3548"/>
      <c r="K8" s="3549"/>
      <c r="L8" s="967">
        <v>2013</v>
      </c>
      <c r="M8" s="968"/>
      <c r="N8" s="968"/>
      <c r="O8" s="969"/>
      <c r="P8" s="3516">
        <v>2014</v>
      </c>
      <c r="Q8" s="3517"/>
      <c r="R8" s="3517"/>
      <c r="S8" s="3518"/>
      <c r="T8" s="3516">
        <v>2015</v>
      </c>
      <c r="U8" s="3517"/>
      <c r="V8" s="3517"/>
      <c r="W8" s="3518"/>
      <c r="X8" s="3584">
        <v>2016</v>
      </c>
      <c r="Y8" s="3585"/>
      <c r="Z8" s="3585"/>
      <c r="AA8" s="3586"/>
      <c r="AB8" s="3584">
        <v>2017</v>
      </c>
      <c r="AC8" s="3585"/>
      <c r="AD8" s="3585"/>
      <c r="AE8" s="3586"/>
    </row>
    <row r="9" spans="1:191" ht="15.75" thickBot="1">
      <c r="A9" s="3520"/>
      <c r="B9" s="1007"/>
      <c r="C9" s="3588"/>
      <c r="D9" s="720" t="s">
        <v>2</v>
      </c>
      <c r="E9" s="721" t="s">
        <v>3</v>
      </c>
      <c r="F9" s="725" t="s">
        <v>4</v>
      </c>
      <c r="G9" s="722" t="s">
        <v>5</v>
      </c>
      <c r="H9" s="723" t="s">
        <v>2</v>
      </c>
      <c r="I9" s="721" t="s">
        <v>3</v>
      </c>
      <c r="J9" s="725" t="s">
        <v>4</v>
      </c>
      <c r="K9" s="724" t="s">
        <v>5</v>
      </c>
      <c r="L9" s="723" t="s">
        <v>2</v>
      </c>
      <c r="M9" s="721" t="s">
        <v>3</v>
      </c>
      <c r="N9" s="2036" t="s">
        <v>4</v>
      </c>
      <c r="O9" s="724" t="s">
        <v>5</v>
      </c>
      <c r="P9" s="723" t="s">
        <v>2</v>
      </c>
      <c r="Q9" s="721" t="s">
        <v>3</v>
      </c>
      <c r="R9" s="725" t="s">
        <v>4</v>
      </c>
      <c r="S9" s="724" t="s">
        <v>5</v>
      </c>
      <c r="T9" s="2842" t="s">
        <v>2</v>
      </c>
      <c r="U9" s="2843" t="s">
        <v>3</v>
      </c>
      <c r="V9" s="2844" t="s">
        <v>4</v>
      </c>
      <c r="W9" s="724" t="s">
        <v>5</v>
      </c>
      <c r="X9" s="3098" t="s">
        <v>2</v>
      </c>
      <c r="Y9" s="3208" t="s">
        <v>3</v>
      </c>
      <c r="Z9" s="3209" t="s">
        <v>4</v>
      </c>
      <c r="AA9" s="3210" t="s">
        <v>5</v>
      </c>
      <c r="AB9" s="3098" t="s">
        <v>2</v>
      </c>
      <c r="AC9" s="3493" t="s">
        <v>3</v>
      </c>
      <c r="AD9" s="3494" t="s">
        <v>4</v>
      </c>
      <c r="AE9" s="3495" t="s">
        <v>5</v>
      </c>
    </row>
    <row r="10" spans="1:191">
      <c r="A10" s="113"/>
      <c r="B10" s="113"/>
      <c r="C10" s="194"/>
      <c r="D10" s="765"/>
      <c r="E10" s="194"/>
      <c r="F10" s="194"/>
      <c r="G10" s="194"/>
      <c r="H10" s="194"/>
      <c r="I10" s="765"/>
      <c r="J10" s="192"/>
      <c r="K10" s="120"/>
      <c r="L10" s="107"/>
      <c r="M10" s="107"/>
      <c r="N10" s="116"/>
      <c r="O10" s="107"/>
      <c r="P10" s="107"/>
      <c r="Q10" s="107"/>
      <c r="R10" s="107"/>
      <c r="S10" s="107"/>
      <c r="T10" s="107"/>
      <c r="U10" s="107"/>
      <c r="V10" s="107"/>
      <c r="W10" s="107"/>
      <c r="X10" s="767"/>
      <c r="Y10" s="194"/>
      <c r="Z10" s="194"/>
      <c r="AA10" s="194"/>
      <c r="AB10" s="194"/>
      <c r="AC10" s="194"/>
      <c r="AD10" s="194"/>
      <c r="AE10" s="194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</row>
    <row r="11" spans="1:191" ht="15.75" thickBot="1">
      <c r="A11" s="113"/>
      <c r="B11" s="113"/>
      <c r="C11" s="194"/>
      <c r="D11" s="765"/>
      <c r="E11" s="194"/>
      <c r="F11" s="194"/>
      <c r="G11" s="194"/>
      <c r="H11" s="194"/>
      <c r="I11" s="765"/>
      <c r="J11" s="192"/>
      <c r="K11" s="120"/>
      <c r="L11" s="107"/>
      <c r="M11" s="107"/>
      <c r="N11" s="116"/>
      <c r="O11" s="107"/>
      <c r="P11" s="107"/>
      <c r="Q11" s="107"/>
      <c r="R11" s="107"/>
      <c r="S11" s="107"/>
      <c r="T11" s="107"/>
      <c r="U11" s="107"/>
      <c r="V11" s="107"/>
      <c r="W11" s="107"/>
      <c r="X11" s="767"/>
      <c r="Y11" s="194"/>
      <c r="Z11" s="194"/>
      <c r="AA11" s="194"/>
      <c r="AB11" s="194"/>
      <c r="AC11" s="194"/>
      <c r="AD11" s="194"/>
      <c r="AE11" s="194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</row>
    <row r="12" spans="1:191" ht="15" customHeight="1" thickBot="1">
      <c r="A12" s="1370" t="s">
        <v>125</v>
      </c>
      <c r="B12" s="1371" t="s">
        <v>284</v>
      </c>
      <c r="C12" s="542" t="s">
        <v>168</v>
      </c>
      <c r="D12" s="355">
        <v>10</v>
      </c>
      <c r="E12" s="355">
        <v>10</v>
      </c>
      <c r="F12" s="355">
        <v>10</v>
      </c>
      <c r="G12" s="543">
        <v>10</v>
      </c>
      <c r="H12" s="360">
        <v>10</v>
      </c>
      <c r="I12" s="355">
        <v>10</v>
      </c>
      <c r="J12" s="355">
        <v>10</v>
      </c>
      <c r="K12" s="356">
        <v>10</v>
      </c>
      <c r="L12" s="360">
        <v>10</v>
      </c>
      <c r="M12" s="355">
        <v>10</v>
      </c>
      <c r="N12" s="355">
        <v>10</v>
      </c>
      <c r="O12" s="2493">
        <v>10</v>
      </c>
      <c r="P12" s="547">
        <v>10</v>
      </c>
      <c r="Q12" s="355">
        <v>10</v>
      </c>
      <c r="R12" s="355">
        <v>10</v>
      </c>
      <c r="S12" s="356">
        <v>10</v>
      </c>
      <c r="T12" s="547">
        <v>10</v>
      </c>
      <c r="U12" s="355">
        <v>10</v>
      </c>
      <c r="V12" s="355">
        <v>10</v>
      </c>
      <c r="W12" s="356">
        <v>10</v>
      </c>
      <c r="X12" s="3118"/>
      <c r="Y12" s="355">
        <v>10</v>
      </c>
      <c r="Z12" s="355">
        <v>7</v>
      </c>
      <c r="AA12" s="355">
        <v>7</v>
      </c>
      <c r="AB12" s="355">
        <v>7</v>
      </c>
      <c r="AC12" s="355">
        <v>7</v>
      </c>
      <c r="AD12" s="355">
        <v>7</v>
      </c>
      <c r="AE12" s="355">
        <v>7</v>
      </c>
      <c r="AF12" s="26"/>
      <c r="AH12" s="26"/>
      <c r="AI12" s="26"/>
      <c r="AJ12" s="26"/>
      <c r="AK12" s="35"/>
      <c r="AL12" s="35"/>
      <c r="AM12" s="35"/>
      <c r="AN12" s="13"/>
      <c r="AO12" s="35"/>
      <c r="AP12" s="61"/>
      <c r="AQ12" s="61"/>
      <c r="AR12" s="61"/>
      <c r="AS12" s="144"/>
      <c r="AT12" s="144"/>
      <c r="AU12" s="13"/>
      <c r="AV12" s="61"/>
      <c r="AW12" s="61"/>
      <c r="AX12" s="61"/>
      <c r="AY12" s="61"/>
      <c r="AZ12" s="61"/>
      <c r="BA12" s="61"/>
      <c r="BB12" s="144"/>
      <c r="BC12" s="144"/>
      <c r="BD12" s="144"/>
      <c r="BE12" s="13"/>
      <c r="BF12" s="61"/>
      <c r="BG12" s="61"/>
      <c r="BH12" s="61"/>
      <c r="BI12" s="61"/>
      <c r="BJ12" s="61"/>
      <c r="BK12" s="144"/>
      <c r="BL12" s="144"/>
      <c r="BM12" s="13"/>
      <c r="BN12" s="61"/>
      <c r="BO12" s="61"/>
      <c r="BP12" s="61"/>
      <c r="BQ12" s="61"/>
      <c r="BR12" s="61"/>
      <c r="BS12" s="61"/>
      <c r="BT12" s="144"/>
      <c r="BU12" s="144"/>
      <c r="BV12" s="144"/>
      <c r="BW12" s="13"/>
      <c r="BX12" s="61"/>
      <c r="BY12" s="61"/>
      <c r="BZ12" s="61"/>
      <c r="CA12" s="61"/>
      <c r="CB12" s="61"/>
      <c r="CC12" s="144"/>
      <c r="CD12" s="144"/>
      <c r="CE12" s="144"/>
      <c r="CF12" s="144"/>
      <c r="CG12" s="13"/>
      <c r="CH12" s="61"/>
      <c r="CI12" s="61"/>
      <c r="CJ12" s="61"/>
      <c r="CK12" s="61"/>
      <c r="CL12" s="144"/>
      <c r="CM12" s="144"/>
      <c r="CN12" s="144"/>
      <c r="CO12" s="13"/>
      <c r="CP12" s="61"/>
      <c r="CQ12" s="61"/>
      <c r="CR12" s="61"/>
      <c r="CS12" s="61"/>
      <c r="CT12" s="144"/>
      <c r="CU12" s="144"/>
      <c r="CV12" s="144"/>
      <c r="CW12" s="144"/>
      <c r="CX12" s="144"/>
      <c r="CY12" s="13"/>
      <c r="CZ12" s="61"/>
      <c r="DA12" s="61"/>
      <c r="DB12" s="144"/>
      <c r="DC12" s="61"/>
      <c r="DD12" s="144"/>
      <c r="DE12" s="144"/>
      <c r="DF12" s="144"/>
      <c r="DG12" s="13"/>
      <c r="DH12" s="61"/>
      <c r="DI12" s="61"/>
      <c r="DJ12" s="61"/>
      <c r="DK12" s="61"/>
      <c r="DL12" s="61"/>
      <c r="DM12" s="133"/>
      <c r="DN12" s="133"/>
      <c r="DO12" s="133"/>
      <c r="DP12" s="13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</row>
    <row r="13" spans="1:191">
      <c r="A13" s="1023" t="s">
        <v>16</v>
      </c>
      <c r="B13" s="995"/>
      <c r="C13" s="1111" t="s">
        <v>20</v>
      </c>
      <c r="D13" s="1149">
        <v>3.66</v>
      </c>
      <c r="E13" s="1149">
        <v>1</v>
      </c>
      <c r="F13" s="1149">
        <v>4</v>
      </c>
      <c r="G13" s="1200">
        <v>3</v>
      </c>
      <c r="H13" s="1201">
        <v>2</v>
      </c>
      <c r="I13" s="1149">
        <v>5</v>
      </c>
      <c r="J13" s="1150">
        <v>3</v>
      </c>
      <c r="K13" s="1202">
        <v>4</v>
      </c>
      <c r="L13" s="1117">
        <v>4</v>
      </c>
      <c r="M13" s="1118">
        <v>10</v>
      </c>
      <c r="N13" s="1269">
        <v>2</v>
      </c>
      <c r="O13" s="1207">
        <v>14</v>
      </c>
      <c r="P13" s="1117">
        <v>6</v>
      </c>
      <c r="Q13" s="1119">
        <v>2</v>
      </c>
      <c r="R13" s="1119">
        <v>3.01</v>
      </c>
      <c r="S13" s="1120">
        <v>5</v>
      </c>
      <c r="T13" s="1117"/>
      <c r="U13" s="1119"/>
      <c r="V13" s="1119"/>
      <c r="W13" s="1120">
        <v>6</v>
      </c>
      <c r="X13" s="966">
        <v>5</v>
      </c>
      <c r="Y13" s="1149">
        <v>2</v>
      </c>
      <c r="Z13" s="1149">
        <v>6</v>
      </c>
      <c r="AA13" s="1200">
        <v>5.5</v>
      </c>
      <c r="AB13" s="1200">
        <v>3</v>
      </c>
      <c r="AC13" s="1200"/>
      <c r="AD13" s="1200"/>
      <c r="AE13" s="1200"/>
      <c r="AF13" s="67"/>
      <c r="AG13" s="67"/>
      <c r="AO13" s="36"/>
      <c r="AP13" s="61"/>
      <c r="AQ13" s="61"/>
      <c r="AR13" s="61"/>
      <c r="AS13" s="61"/>
      <c r="AT13" s="61"/>
      <c r="AU13" s="67"/>
      <c r="AV13" s="67"/>
      <c r="AW13" s="61"/>
      <c r="AX13" s="61"/>
      <c r="AY13" s="61"/>
      <c r="AZ13" s="61"/>
      <c r="BA13" s="61"/>
      <c r="BB13" s="61"/>
      <c r="BC13" s="61"/>
      <c r="BD13" s="49"/>
      <c r="BE13" s="61"/>
      <c r="BF13" s="61"/>
      <c r="BG13" s="61"/>
      <c r="BH13" s="61"/>
      <c r="BI13" s="61"/>
      <c r="BJ13" s="67"/>
      <c r="BK13" s="67"/>
      <c r="BL13" s="49"/>
      <c r="BM13" s="61"/>
      <c r="BN13" s="61"/>
      <c r="BO13" s="61"/>
      <c r="BP13" s="61"/>
      <c r="BQ13" s="61"/>
      <c r="BR13" s="61"/>
      <c r="BS13" s="49"/>
      <c r="BT13" s="61"/>
      <c r="BU13" s="61"/>
      <c r="BV13" s="61"/>
      <c r="BW13" s="61"/>
      <c r="BX13" s="61"/>
      <c r="BY13" s="67"/>
      <c r="BZ13" s="67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7"/>
      <c r="CN13" s="67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7"/>
      <c r="DE13" s="67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7"/>
      <c r="DT13" s="67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7"/>
      <c r="EI13" s="67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7"/>
      <c r="EW13" s="67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7"/>
      <c r="FL13" s="67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7"/>
      <c r="GA13" s="67"/>
      <c r="GB13" s="61"/>
      <c r="GC13" s="61"/>
      <c r="GD13" s="61"/>
      <c r="GE13" s="61"/>
      <c r="GF13" s="61"/>
      <c r="GG13" s="61"/>
      <c r="GH13" s="61"/>
      <c r="GI13" s="61"/>
    </row>
    <row r="14" spans="1:191">
      <c r="A14" s="1199" t="s">
        <v>16</v>
      </c>
      <c r="B14" s="996"/>
      <c r="C14" s="1121" t="s">
        <v>17</v>
      </c>
      <c r="D14" s="1151">
        <v>2.33</v>
      </c>
      <c r="E14" s="1151">
        <v>5</v>
      </c>
      <c r="F14" s="1151">
        <v>3</v>
      </c>
      <c r="G14" s="1155">
        <v>3</v>
      </c>
      <c r="H14" s="1156">
        <v>3</v>
      </c>
      <c r="I14" s="1151">
        <v>2</v>
      </c>
      <c r="J14" s="1152">
        <v>2</v>
      </c>
      <c r="K14" s="1204">
        <v>5</v>
      </c>
      <c r="L14" s="1125">
        <v>3</v>
      </c>
      <c r="M14" s="1126">
        <v>10</v>
      </c>
      <c r="N14" s="1274">
        <v>2</v>
      </c>
      <c r="O14" s="2490">
        <v>17</v>
      </c>
      <c r="P14" s="1183">
        <v>4</v>
      </c>
      <c r="Q14" s="1127">
        <v>5</v>
      </c>
      <c r="R14" s="1127">
        <v>4</v>
      </c>
      <c r="S14" s="1128">
        <v>5</v>
      </c>
      <c r="T14" s="1183"/>
      <c r="U14" s="1127"/>
      <c r="V14" s="1127"/>
      <c r="W14" s="1128">
        <v>5</v>
      </c>
      <c r="X14" s="966"/>
      <c r="Y14" s="1151" t="s">
        <v>336</v>
      </c>
      <c r="Z14" s="1151" t="s">
        <v>336</v>
      </c>
      <c r="AA14" s="1155"/>
      <c r="AB14" s="1155" t="s">
        <v>336</v>
      </c>
      <c r="AC14" s="1155"/>
      <c r="AD14" s="1155"/>
      <c r="AE14" s="1155"/>
      <c r="AF14" s="26"/>
      <c r="AM14" s="26"/>
      <c r="AN14" s="26"/>
      <c r="AO14" s="3195"/>
      <c r="AP14" s="61"/>
      <c r="AQ14" s="61"/>
      <c r="AR14" s="61"/>
      <c r="AS14" s="61"/>
      <c r="AT14" s="61"/>
      <c r="AU14" s="61"/>
      <c r="AV14" s="49"/>
      <c r="AW14" s="61"/>
      <c r="AX14" s="61"/>
      <c r="AY14" s="61"/>
      <c r="AZ14" s="61"/>
      <c r="BA14" s="61"/>
      <c r="BB14" s="61"/>
      <c r="BC14" s="61"/>
      <c r="BD14" s="49"/>
      <c r="BE14" s="61"/>
      <c r="BF14" s="61"/>
      <c r="BG14" s="61"/>
      <c r="BH14" s="61"/>
      <c r="BI14" s="61"/>
      <c r="BJ14" s="61"/>
      <c r="BK14" s="69"/>
      <c r="BL14" s="69"/>
      <c r="BM14" s="61"/>
      <c r="BN14" s="61"/>
      <c r="BO14" s="61"/>
      <c r="BP14" s="61"/>
      <c r="BQ14" s="61"/>
      <c r="BR14" s="61"/>
      <c r="BS14" s="69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</row>
    <row r="15" spans="1:191" ht="15" customHeight="1">
      <c r="A15" s="1199" t="s">
        <v>16</v>
      </c>
      <c r="B15" s="996"/>
      <c r="C15" s="1121" t="s">
        <v>18</v>
      </c>
      <c r="D15" s="1151">
        <v>3.66</v>
      </c>
      <c r="E15" s="1151">
        <v>6</v>
      </c>
      <c r="F15" s="1151">
        <v>4</v>
      </c>
      <c r="G15" s="1155">
        <v>6</v>
      </c>
      <c r="H15" s="1156">
        <v>1</v>
      </c>
      <c r="I15" s="1151">
        <v>3</v>
      </c>
      <c r="J15" s="1152">
        <v>2</v>
      </c>
      <c r="K15" s="1204">
        <v>5</v>
      </c>
      <c r="L15" s="1125">
        <v>6</v>
      </c>
      <c r="M15" s="1126">
        <v>4</v>
      </c>
      <c r="N15" s="1274">
        <v>2</v>
      </c>
      <c r="O15" s="2490">
        <v>2</v>
      </c>
      <c r="P15" s="1183">
        <v>4</v>
      </c>
      <c r="Q15" s="1127">
        <v>11</v>
      </c>
      <c r="R15" s="1127">
        <v>3</v>
      </c>
      <c r="S15" s="1128">
        <v>5</v>
      </c>
      <c r="T15" s="1183"/>
      <c r="U15" s="1127"/>
      <c r="V15" s="1127"/>
      <c r="W15" s="1128">
        <v>8</v>
      </c>
      <c r="X15" s="109">
        <v>4</v>
      </c>
      <c r="Y15" s="1151">
        <v>2</v>
      </c>
      <c r="Z15" s="1151">
        <v>17</v>
      </c>
      <c r="AA15" s="1155">
        <v>6.75</v>
      </c>
      <c r="AB15" s="1155">
        <v>3</v>
      </c>
      <c r="AC15" s="1155"/>
      <c r="AD15" s="1155"/>
      <c r="AE15" s="1155"/>
      <c r="AF15" s="13"/>
      <c r="AM15" s="26"/>
      <c r="AN15" s="31"/>
      <c r="AO15" s="3196"/>
      <c r="AP15" s="73"/>
      <c r="AQ15" s="61"/>
      <c r="AR15" s="73"/>
      <c r="AS15" s="73"/>
      <c r="AT15" s="73"/>
      <c r="AU15" s="13"/>
      <c r="AV15" s="61"/>
      <c r="AW15" s="13"/>
      <c r="AX15" s="61"/>
      <c r="AY15" s="61"/>
      <c r="AZ15" s="73"/>
      <c r="BA15" s="73"/>
      <c r="BB15" s="13"/>
      <c r="BC15" s="61"/>
      <c r="BD15" s="61"/>
      <c r="BE15" s="81"/>
      <c r="BF15" s="61"/>
      <c r="BG15" s="73"/>
      <c r="BH15" s="73"/>
      <c r="BI15" s="73"/>
      <c r="BJ15" s="13"/>
      <c r="BK15" s="61"/>
      <c r="BL15" s="73"/>
      <c r="BM15" s="73"/>
      <c r="BN15" s="73"/>
      <c r="BO15" s="13"/>
      <c r="BP15" s="61"/>
      <c r="BQ15" s="61"/>
      <c r="BR15" s="61"/>
      <c r="BS15" s="69"/>
      <c r="BT15" s="61"/>
      <c r="BU15" s="61"/>
      <c r="BV15" s="73"/>
      <c r="BW15" s="73"/>
      <c r="BX15" s="73"/>
      <c r="BY15" s="13"/>
      <c r="BZ15" s="73"/>
      <c r="CA15" s="61"/>
      <c r="CB15" s="73"/>
      <c r="CC15" s="73"/>
      <c r="CD15" s="73"/>
      <c r="CE15" s="73"/>
      <c r="CF15" s="13"/>
      <c r="CG15" s="61"/>
      <c r="CH15" s="61"/>
      <c r="CI15" s="73"/>
      <c r="CJ15" s="61"/>
      <c r="CK15" s="73"/>
      <c r="CL15" s="73"/>
      <c r="CM15" s="13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73"/>
      <c r="CZ15" s="73"/>
      <c r="DA15" s="73"/>
      <c r="DB15" s="73"/>
      <c r="DC15" s="73"/>
      <c r="DD15" s="13"/>
      <c r="DE15" s="73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73"/>
      <c r="DQ15" s="73"/>
      <c r="DR15" s="73"/>
      <c r="DS15" s="13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73"/>
      <c r="EF15" s="73"/>
      <c r="EG15" s="73"/>
      <c r="EH15" s="13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73"/>
      <c r="EU15" s="73"/>
      <c r="EV15" s="13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73"/>
      <c r="FI15" s="73"/>
      <c r="FJ15" s="73"/>
      <c r="FK15" s="13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13"/>
      <c r="FX15" s="13"/>
      <c r="FY15" s="13"/>
      <c r="FZ15" s="13"/>
      <c r="GA15" s="61"/>
      <c r="GB15" s="61"/>
      <c r="GC15" s="61"/>
      <c r="GD15" s="61"/>
      <c r="GE15" s="61"/>
      <c r="GF15" s="61"/>
      <c r="GG15" s="61"/>
      <c r="GH15" s="61"/>
      <c r="GI15" s="61"/>
    </row>
    <row r="16" spans="1:191" s="726" customFormat="1" ht="15.75" thickBot="1">
      <c r="A16" s="2324" t="s">
        <v>16</v>
      </c>
      <c r="B16" s="2325">
        <v>3</v>
      </c>
      <c r="C16" s="2326" t="s">
        <v>21</v>
      </c>
      <c r="D16" s="2327">
        <v>9.66</v>
      </c>
      <c r="E16" s="2327">
        <v>3</v>
      </c>
      <c r="F16" s="2327">
        <v>4</v>
      </c>
      <c r="G16" s="2328">
        <v>4.5</v>
      </c>
      <c r="H16" s="2329">
        <v>2</v>
      </c>
      <c r="I16" s="2327">
        <v>9.33</v>
      </c>
      <c r="J16" s="2327">
        <v>2</v>
      </c>
      <c r="K16" s="2330">
        <v>2</v>
      </c>
      <c r="L16" s="2331">
        <v>2</v>
      </c>
      <c r="M16" s="2332">
        <v>2</v>
      </c>
      <c r="N16" s="2333">
        <v>2</v>
      </c>
      <c r="O16" s="2491">
        <v>2</v>
      </c>
      <c r="P16" s="2334">
        <v>3</v>
      </c>
      <c r="Q16" s="2335">
        <v>6</v>
      </c>
      <c r="R16" s="2335">
        <v>4.71</v>
      </c>
      <c r="S16" s="2336">
        <v>4</v>
      </c>
      <c r="T16" s="2334"/>
      <c r="U16" s="2335"/>
      <c r="V16" s="2335"/>
      <c r="W16" s="2336">
        <v>9</v>
      </c>
      <c r="X16" s="2337">
        <v>4</v>
      </c>
      <c r="Y16" s="2327">
        <v>3</v>
      </c>
      <c r="Z16" s="2327">
        <v>4</v>
      </c>
      <c r="AA16" s="2328">
        <v>3.5</v>
      </c>
      <c r="AB16" s="2328">
        <v>3</v>
      </c>
      <c r="AC16" s="2328"/>
      <c r="AD16" s="2328"/>
      <c r="AE16" s="2328"/>
      <c r="AF16" s="2338"/>
      <c r="AM16" s="2339"/>
      <c r="AN16" s="2340"/>
      <c r="AO16" s="2337"/>
      <c r="AP16" s="2340"/>
      <c r="AQ16" s="2339"/>
      <c r="AR16" s="2337"/>
      <c r="AS16" s="2337"/>
      <c r="AT16" s="2337"/>
      <c r="AU16" s="2338"/>
      <c r="AV16" s="754"/>
      <c r="AW16" s="2341"/>
      <c r="AX16" s="754"/>
      <c r="AY16" s="2339"/>
      <c r="AZ16" s="2340"/>
      <c r="BA16" s="2340"/>
      <c r="BB16" s="2341"/>
      <c r="BC16" s="754"/>
      <c r="BD16" s="2339"/>
      <c r="BE16" s="2337"/>
      <c r="BF16" s="2339"/>
      <c r="BG16" s="2337"/>
      <c r="BH16" s="2337"/>
      <c r="BI16" s="2337"/>
      <c r="BJ16" s="2338"/>
      <c r="BK16" s="2339"/>
      <c r="BL16" s="2337"/>
      <c r="BM16" s="2340"/>
      <c r="BN16" s="2340"/>
      <c r="BO16" s="2341"/>
      <c r="BP16" s="754"/>
      <c r="BQ16" s="754"/>
      <c r="BR16" s="754"/>
      <c r="BS16" s="2342"/>
      <c r="BT16" s="2339"/>
      <c r="BU16" s="2339"/>
      <c r="BV16" s="2337"/>
      <c r="BW16" s="2337"/>
      <c r="BX16" s="2337"/>
      <c r="BY16" s="2338"/>
      <c r="BZ16" s="2337"/>
      <c r="CA16" s="754"/>
      <c r="CB16" s="2337"/>
      <c r="CC16" s="2340"/>
      <c r="CD16" s="2340"/>
      <c r="CE16" s="2340"/>
      <c r="CF16" s="2341"/>
      <c r="CG16" s="754"/>
      <c r="CH16" s="2339"/>
      <c r="CI16" s="2337"/>
      <c r="CJ16" s="2339"/>
      <c r="CK16" s="2337"/>
      <c r="CL16" s="2337"/>
      <c r="CM16" s="2338"/>
      <c r="CN16" s="754"/>
      <c r="CO16" s="754"/>
      <c r="CP16" s="754"/>
      <c r="CQ16" s="754"/>
      <c r="CR16" s="754"/>
      <c r="CS16" s="754"/>
      <c r="CT16" s="754"/>
      <c r="CU16" s="754"/>
      <c r="CV16" s="754"/>
      <c r="CW16" s="754"/>
      <c r="CX16" s="2339"/>
      <c r="CY16" s="2337"/>
      <c r="CZ16" s="2337"/>
      <c r="DA16" s="2337"/>
      <c r="DB16" s="2337"/>
      <c r="DC16" s="2337"/>
      <c r="DD16" s="2338"/>
      <c r="DE16" s="2340"/>
      <c r="DF16" s="754"/>
      <c r="DG16" s="754"/>
      <c r="DH16" s="754"/>
      <c r="DI16" s="754"/>
      <c r="DJ16" s="754"/>
      <c r="DK16" s="754"/>
      <c r="DL16" s="754"/>
      <c r="DM16" s="754"/>
      <c r="DN16" s="754"/>
      <c r="DO16" s="2339"/>
      <c r="DP16" s="2337"/>
      <c r="DQ16" s="2337"/>
      <c r="DR16" s="2337"/>
      <c r="DS16" s="2338"/>
      <c r="DT16" s="754"/>
      <c r="DU16" s="754"/>
      <c r="DV16" s="754"/>
      <c r="DW16" s="754"/>
      <c r="DX16" s="754"/>
      <c r="DY16" s="754"/>
      <c r="DZ16" s="754"/>
      <c r="EA16" s="754"/>
      <c r="EB16" s="754"/>
      <c r="EC16" s="754"/>
      <c r="ED16" s="2339"/>
      <c r="EE16" s="2337"/>
      <c r="EF16" s="2337"/>
      <c r="EG16" s="2337"/>
      <c r="EH16" s="2338"/>
      <c r="EI16" s="754"/>
      <c r="EJ16" s="754"/>
      <c r="EK16" s="754"/>
      <c r="EL16" s="754"/>
      <c r="EM16" s="754"/>
      <c r="EN16" s="754"/>
      <c r="EO16" s="754"/>
      <c r="EP16" s="754"/>
      <c r="EQ16" s="754"/>
      <c r="ER16" s="754"/>
      <c r="ES16" s="2339"/>
      <c r="ET16" s="2337"/>
      <c r="EU16" s="2337"/>
      <c r="EV16" s="2338"/>
      <c r="EW16" s="754"/>
      <c r="EX16" s="754"/>
      <c r="EY16" s="754"/>
      <c r="EZ16" s="754"/>
      <c r="FA16" s="754"/>
      <c r="FB16" s="754"/>
      <c r="FC16" s="754"/>
      <c r="FD16" s="754"/>
      <c r="FE16" s="754"/>
      <c r="FF16" s="754"/>
      <c r="FG16" s="2339"/>
      <c r="FH16" s="2337"/>
      <c r="FI16" s="2337"/>
      <c r="FJ16" s="2337"/>
      <c r="FK16" s="2338"/>
      <c r="FL16" s="754"/>
      <c r="FM16" s="754"/>
      <c r="FN16" s="754"/>
      <c r="FO16" s="754"/>
      <c r="FP16" s="754"/>
      <c r="FQ16" s="754"/>
      <c r="FR16" s="754"/>
      <c r="FS16" s="754"/>
      <c r="FT16" s="754"/>
      <c r="FU16" s="754"/>
      <c r="FV16" s="2339"/>
      <c r="FW16" s="2337"/>
      <c r="FX16" s="2337"/>
      <c r="FY16" s="2337"/>
      <c r="FZ16" s="2338"/>
      <c r="GA16" s="754"/>
      <c r="GB16" s="754"/>
      <c r="GC16" s="754"/>
      <c r="GD16" s="754"/>
      <c r="GE16" s="754"/>
      <c r="GF16" s="754"/>
      <c r="GG16" s="754"/>
      <c r="GH16" s="754"/>
      <c r="GI16" s="754"/>
    </row>
    <row r="17" spans="1:191">
      <c r="A17" s="1023" t="s">
        <v>131</v>
      </c>
      <c r="B17" s="995"/>
      <c r="C17" s="1111" t="s">
        <v>33</v>
      </c>
      <c r="D17" s="1149">
        <v>10.5</v>
      </c>
      <c r="E17" s="1149">
        <v>6.33</v>
      </c>
      <c r="F17" s="1149">
        <v>3.67</v>
      </c>
      <c r="G17" s="1200">
        <v>4</v>
      </c>
      <c r="H17" s="1201">
        <v>15</v>
      </c>
      <c r="I17" s="1149">
        <v>10.33</v>
      </c>
      <c r="J17" s="1150">
        <v>9.33</v>
      </c>
      <c r="K17" s="1202">
        <v>13.66</v>
      </c>
      <c r="L17" s="1117">
        <v>22.33</v>
      </c>
      <c r="M17" s="1118">
        <v>47.33</v>
      </c>
      <c r="N17" s="1269">
        <v>7</v>
      </c>
      <c r="O17" s="2489">
        <v>7.5</v>
      </c>
      <c r="P17" s="1203">
        <v>19</v>
      </c>
      <c r="Q17" s="1119">
        <v>11</v>
      </c>
      <c r="R17" s="1119">
        <v>24</v>
      </c>
      <c r="S17" s="1120">
        <v>18</v>
      </c>
      <c r="T17" s="1203">
        <v>44</v>
      </c>
      <c r="U17" s="1119">
        <v>51</v>
      </c>
      <c r="V17" s="1119">
        <v>16</v>
      </c>
      <c r="W17" s="1120">
        <v>25.67</v>
      </c>
      <c r="X17" s="119">
        <v>25</v>
      </c>
      <c r="Y17" s="1149">
        <v>51.5</v>
      </c>
      <c r="Z17" s="1149">
        <v>18</v>
      </c>
      <c r="AA17" s="1200">
        <v>28</v>
      </c>
      <c r="AB17" s="1200">
        <v>23.67</v>
      </c>
      <c r="AC17" s="1200"/>
      <c r="AD17" s="1200"/>
      <c r="AE17" s="1200"/>
      <c r="AF17" s="77"/>
      <c r="AM17" s="26"/>
      <c r="AN17" s="16"/>
      <c r="AO17" s="74"/>
      <c r="AP17" s="49"/>
      <c r="AQ17" s="78"/>
      <c r="AR17" s="74"/>
      <c r="AS17" s="74"/>
      <c r="AT17" s="74"/>
      <c r="AU17" s="77"/>
      <c r="AV17" s="61"/>
      <c r="AW17" s="14"/>
      <c r="AX17" s="61"/>
      <c r="AY17" s="61"/>
      <c r="AZ17" s="49"/>
      <c r="BA17" s="49"/>
      <c r="BB17" s="14"/>
      <c r="BC17" s="14"/>
      <c r="BD17" s="61"/>
      <c r="BE17" s="74"/>
      <c r="BF17" s="78"/>
      <c r="BG17" s="74"/>
      <c r="BH17" s="74"/>
      <c r="BI17" s="74"/>
      <c r="BJ17" s="77"/>
      <c r="BK17" s="61"/>
      <c r="BL17" s="74"/>
      <c r="BM17" s="49"/>
      <c r="BN17" s="49"/>
      <c r="BO17" s="14"/>
      <c r="BP17" s="61"/>
      <c r="BQ17" s="61"/>
      <c r="BR17" s="61"/>
      <c r="BS17" s="14"/>
      <c r="BT17" s="61"/>
      <c r="BU17" s="78"/>
      <c r="BV17" s="74"/>
      <c r="BW17" s="74"/>
      <c r="BX17" s="74"/>
      <c r="BY17" s="77"/>
      <c r="BZ17" s="74"/>
      <c r="CA17" s="61"/>
      <c r="CB17" s="74"/>
      <c r="CC17" s="49"/>
      <c r="CD17" s="49"/>
      <c r="CE17" s="49"/>
      <c r="CF17" s="14"/>
      <c r="CG17" s="61"/>
      <c r="CH17" s="61"/>
      <c r="CI17" s="74"/>
      <c r="CJ17" s="78"/>
      <c r="CK17" s="74"/>
      <c r="CL17" s="74"/>
      <c r="CM17" s="77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78"/>
      <c r="CY17" s="74"/>
      <c r="CZ17" s="74"/>
      <c r="DA17" s="74"/>
      <c r="DB17" s="74"/>
      <c r="DC17" s="74"/>
      <c r="DD17" s="77"/>
      <c r="DE17" s="49"/>
      <c r="DF17" s="61"/>
      <c r="DG17" s="61"/>
      <c r="DH17" s="61"/>
      <c r="DI17" s="61"/>
      <c r="DJ17" s="61"/>
      <c r="DK17" s="61"/>
      <c r="DL17" s="61"/>
      <c r="DM17" s="61"/>
      <c r="DN17" s="61"/>
      <c r="DO17" s="78"/>
      <c r="DP17" s="74"/>
      <c r="DQ17" s="74"/>
      <c r="DR17" s="74"/>
      <c r="DS17" s="77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78"/>
      <c r="EE17" s="74"/>
      <c r="EF17" s="74"/>
      <c r="EG17" s="74"/>
      <c r="EH17" s="77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78"/>
      <c r="ET17" s="74"/>
      <c r="EU17" s="74"/>
      <c r="EV17" s="77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78"/>
      <c r="FH17" s="74"/>
      <c r="FI17" s="74"/>
      <c r="FJ17" s="74"/>
      <c r="FK17" s="77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78"/>
      <c r="FW17" s="74"/>
      <c r="FX17" s="74"/>
      <c r="FY17" s="74"/>
      <c r="FZ17" s="77"/>
      <c r="GA17" s="61"/>
      <c r="GB17" s="61"/>
      <c r="GC17" s="61"/>
      <c r="GD17" s="61"/>
      <c r="GE17" s="61"/>
      <c r="GF17" s="61"/>
      <c r="GG17" s="61"/>
      <c r="GH17" s="61"/>
      <c r="GI17" s="61"/>
    </row>
    <row r="18" spans="1:191">
      <c r="A18" s="1199" t="s">
        <v>131</v>
      </c>
      <c r="B18" s="996">
        <f>COUNTA(C18:C20)</f>
        <v>3</v>
      </c>
      <c r="C18" s="1121" t="s">
        <v>25</v>
      </c>
      <c r="D18" s="1151">
        <v>8</v>
      </c>
      <c r="E18" s="1151">
        <v>6</v>
      </c>
      <c r="F18" s="1151">
        <v>4.67</v>
      </c>
      <c r="G18" s="1155">
        <v>2.67</v>
      </c>
      <c r="H18" s="1156">
        <v>10.66</v>
      </c>
      <c r="I18" s="1151">
        <v>8</v>
      </c>
      <c r="J18" s="1152">
        <v>7.66</v>
      </c>
      <c r="K18" s="1204">
        <v>14.33</v>
      </c>
      <c r="L18" s="1125">
        <v>13.33</v>
      </c>
      <c r="M18" s="1126">
        <v>10</v>
      </c>
      <c r="N18" s="1274">
        <v>9</v>
      </c>
      <c r="O18" s="2490">
        <v>6</v>
      </c>
      <c r="P18" s="1046">
        <v>21.33</v>
      </c>
      <c r="Q18" s="1127">
        <v>11</v>
      </c>
      <c r="R18" s="1127">
        <v>27</v>
      </c>
      <c r="S18" s="1128">
        <v>16</v>
      </c>
      <c r="T18" s="1046">
        <v>49.3</v>
      </c>
      <c r="U18" s="1127">
        <v>39</v>
      </c>
      <c r="V18" s="1127">
        <v>17</v>
      </c>
      <c r="W18" s="1128">
        <v>22.33</v>
      </c>
      <c r="X18" s="119">
        <v>40.33</v>
      </c>
      <c r="Y18" s="1151">
        <v>50</v>
      </c>
      <c r="Z18" s="1151">
        <v>10.67</v>
      </c>
      <c r="AA18" s="1155">
        <v>27.13</v>
      </c>
      <c r="AB18" s="1155">
        <v>22</v>
      </c>
      <c r="AC18" s="1155"/>
      <c r="AD18" s="1155"/>
      <c r="AE18" s="1155"/>
      <c r="AF18" s="77"/>
      <c r="AM18" s="26"/>
      <c r="AN18" s="16"/>
      <c r="AO18" s="74"/>
      <c r="AP18" s="49"/>
      <c r="AQ18" s="78"/>
      <c r="AR18" s="74"/>
      <c r="AS18" s="74"/>
      <c r="AT18" s="74"/>
      <c r="AU18" s="77"/>
      <c r="AV18" s="61"/>
      <c r="AW18" s="14"/>
      <c r="AX18" s="61"/>
      <c r="AY18" s="61"/>
      <c r="AZ18" s="49"/>
      <c r="BA18" s="49"/>
      <c r="BB18" s="14"/>
      <c r="BC18" s="61"/>
      <c r="BD18" s="61"/>
      <c r="BE18" s="74"/>
      <c r="BF18" s="78"/>
      <c r="BG18" s="74"/>
      <c r="BH18" s="74"/>
      <c r="BI18" s="74"/>
      <c r="BJ18" s="77"/>
      <c r="BK18" s="61"/>
      <c r="BL18" s="74"/>
      <c r="BM18" s="49"/>
      <c r="BN18" s="49"/>
      <c r="BO18" s="14"/>
      <c r="BP18" s="61"/>
      <c r="BQ18" s="61"/>
      <c r="BR18" s="61"/>
      <c r="BS18" s="61"/>
      <c r="BT18" s="61"/>
      <c r="BU18" s="78"/>
      <c r="BV18" s="74"/>
      <c r="BW18" s="74"/>
      <c r="BX18" s="74"/>
      <c r="BY18" s="77"/>
      <c r="BZ18" s="74"/>
      <c r="CA18" s="61"/>
      <c r="CB18" s="74"/>
      <c r="CC18" s="49"/>
      <c r="CD18" s="49"/>
      <c r="CE18" s="49"/>
      <c r="CF18" s="14"/>
      <c r="CG18" s="61"/>
      <c r="CH18" s="61"/>
      <c r="CI18" s="74"/>
      <c r="CJ18" s="78"/>
      <c r="CK18" s="74"/>
      <c r="CL18" s="74"/>
      <c r="CM18" s="77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78"/>
      <c r="CY18" s="74"/>
      <c r="CZ18" s="74"/>
      <c r="DA18" s="74"/>
      <c r="DB18" s="74"/>
      <c r="DC18" s="74"/>
      <c r="DD18" s="77"/>
      <c r="DE18" s="49"/>
      <c r="DF18" s="61"/>
      <c r="DG18" s="61"/>
      <c r="DH18" s="61"/>
      <c r="DI18" s="61"/>
      <c r="DJ18" s="61"/>
      <c r="DK18" s="61"/>
      <c r="DL18" s="61"/>
      <c r="DM18" s="61"/>
      <c r="DN18" s="61"/>
      <c r="DO18" s="78"/>
      <c r="DP18" s="74"/>
      <c r="DQ18" s="74"/>
      <c r="DR18" s="74"/>
      <c r="DS18" s="77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78"/>
      <c r="EE18" s="74"/>
      <c r="EF18" s="74"/>
      <c r="EG18" s="74"/>
      <c r="EH18" s="77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78"/>
      <c r="ET18" s="74"/>
      <c r="EU18" s="74"/>
      <c r="EV18" s="77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78"/>
      <c r="FH18" s="74"/>
      <c r="FI18" s="74"/>
      <c r="FJ18" s="74"/>
      <c r="FK18" s="77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78"/>
      <c r="FW18" s="74"/>
      <c r="FX18" s="74"/>
      <c r="FY18" s="74"/>
      <c r="FZ18" s="77"/>
      <c r="GA18" s="61"/>
      <c r="GB18" s="61"/>
      <c r="GC18" s="61"/>
      <c r="GD18" s="61"/>
      <c r="GE18" s="61"/>
      <c r="GF18" s="61"/>
      <c r="GG18" s="61"/>
      <c r="GH18" s="61"/>
      <c r="GI18" s="61"/>
    </row>
    <row r="19" spans="1:191" ht="15.75" thickBot="1">
      <c r="A19" s="1205" t="s">
        <v>131</v>
      </c>
      <c r="B19" s="997"/>
      <c r="C19" s="1129" t="s">
        <v>31</v>
      </c>
      <c r="D19" s="1130">
        <v>9.5</v>
      </c>
      <c r="E19" s="1130">
        <v>9</v>
      </c>
      <c r="F19" s="1130">
        <v>5</v>
      </c>
      <c r="G19" s="1131">
        <v>3</v>
      </c>
      <c r="H19" s="1132">
        <v>8.33</v>
      </c>
      <c r="I19" s="1130">
        <v>9</v>
      </c>
      <c r="J19" s="1133">
        <v>9</v>
      </c>
      <c r="K19" s="1206">
        <v>13.33</v>
      </c>
      <c r="L19" s="1135">
        <v>11</v>
      </c>
      <c r="M19" s="1136">
        <v>7.67</v>
      </c>
      <c r="N19" s="1365">
        <v>7</v>
      </c>
      <c r="O19" s="2488">
        <v>6.5</v>
      </c>
      <c r="P19" s="886">
        <v>20.329999999999998</v>
      </c>
      <c r="Q19" s="633">
        <v>13</v>
      </c>
      <c r="R19" s="633">
        <v>13</v>
      </c>
      <c r="S19" s="634">
        <v>18</v>
      </c>
      <c r="T19" s="886">
        <v>32.67</v>
      </c>
      <c r="U19" s="633">
        <v>33</v>
      </c>
      <c r="V19" s="633">
        <v>15</v>
      </c>
      <c r="W19" s="634">
        <v>36.67</v>
      </c>
      <c r="X19" s="119">
        <v>37.67</v>
      </c>
      <c r="Y19" s="1130">
        <v>69.5</v>
      </c>
      <c r="Z19" s="1130">
        <v>9.67</v>
      </c>
      <c r="AA19" s="1131">
        <v>32.71</v>
      </c>
      <c r="AB19" s="1131">
        <v>52.33</v>
      </c>
      <c r="AC19" s="1131"/>
      <c r="AD19" s="1131"/>
      <c r="AE19" s="1131"/>
      <c r="AF19" s="77"/>
      <c r="AM19" s="26"/>
      <c r="AN19" s="16"/>
      <c r="AO19" s="74"/>
      <c r="AP19" s="49"/>
      <c r="AQ19" s="78"/>
      <c r="AR19" s="74"/>
      <c r="AS19" s="74"/>
      <c r="AT19" s="74"/>
      <c r="AU19" s="77"/>
      <c r="AV19" s="61"/>
      <c r="AW19" s="14"/>
      <c r="AX19" s="61"/>
      <c r="AY19" s="61"/>
      <c r="AZ19" s="49"/>
      <c r="BA19" s="49"/>
      <c r="BB19" s="14"/>
      <c r="BC19" s="61"/>
      <c r="BD19" s="61"/>
      <c r="BE19" s="74"/>
      <c r="BF19" s="78"/>
      <c r="BG19" s="74"/>
      <c r="BH19" s="74"/>
      <c r="BI19" s="74"/>
      <c r="BJ19" s="77"/>
      <c r="BK19" s="61"/>
      <c r="BL19" s="74"/>
      <c r="BM19" s="49"/>
      <c r="BN19" s="49"/>
      <c r="BO19" s="14"/>
      <c r="BP19" s="61"/>
      <c r="BQ19" s="61"/>
      <c r="BR19" s="61"/>
      <c r="BS19" s="61"/>
      <c r="BT19" s="61"/>
      <c r="BU19" s="78"/>
      <c r="BV19" s="74"/>
      <c r="BW19" s="74"/>
      <c r="BX19" s="74"/>
      <c r="BY19" s="77"/>
      <c r="BZ19" s="74"/>
      <c r="CA19" s="61"/>
      <c r="CB19" s="74"/>
      <c r="CC19" s="49"/>
      <c r="CD19" s="49"/>
      <c r="CE19" s="49"/>
      <c r="CF19" s="14"/>
      <c r="CG19" s="61"/>
      <c r="CH19" s="61"/>
      <c r="CI19" s="74"/>
      <c r="CJ19" s="78"/>
      <c r="CK19" s="74"/>
      <c r="CL19" s="74"/>
      <c r="CM19" s="77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78"/>
      <c r="CY19" s="74"/>
      <c r="CZ19" s="74"/>
      <c r="DA19" s="74"/>
      <c r="DB19" s="74"/>
      <c r="DC19" s="74"/>
      <c r="DD19" s="77"/>
      <c r="DE19" s="49"/>
      <c r="DF19" s="61"/>
      <c r="DG19" s="61"/>
      <c r="DH19" s="61"/>
      <c r="DI19" s="61"/>
      <c r="DJ19" s="61"/>
      <c r="DK19" s="61"/>
      <c r="DL19" s="61"/>
      <c r="DM19" s="61"/>
      <c r="DN19" s="61"/>
      <c r="DO19" s="78"/>
      <c r="DP19" s="74"/>
      <c r="DQ19" s="74"/>
      <c r="DR19" s="74"/>
      <c r="DS19" s="77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78"/>
      <c r="EE19" s="74"/>
      <c r="EF19" s="74"/>
      <c r="EG19" s="74"/>
      <c r="EH19" s="77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78"/>
      <c r="ET19" s="74"/>
      <c r="EU19" s="74"/>
      <c r="EV19" s="77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78"/>
      <c r="FH19" s="74"/>
      <c r="FI19" s="74"/>
      <c r="FJ19" s="74"/>
      <c r="FK19" s="77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78"/>
      <c r="FW19" s="74"/>
      <c r="FX19" s="74"/>
      <c r="FY19" s="74"/>
      <c r="FZ19" s="77"/>
      <c r="GA19" s="61"/>
      <c r="GB19" s="61"/>
      <c r="GC19" s="61"/>
      <c r="GD19" s="61"/>
      <c r="GE19" s="61"/>
      <c r="GF19" s="61"/>
      <c r="GG19" s="61"/>
      <c r="GH19" s="61"/>
      <c r="GI19" s="61"/>
    </row>
    <row r="20" spans="1:191" ht="15" customHeight="1">
      <c r="A20" s="1023" t="s">
        <v>185</v>
      </c>
      <c r="B20" s="995"/>
      <c r="C20" s="1111" t="s">
        <v>129</v>
      </c>
      <c r="D20" s="1149">
        <v>17</v>
      </c>
      <c r="E20" s="1149">
        <v>29</v>
      </c>
      <c r="F20" s="1149">
        <v>9</v>
      </c>
      <c r="G20" s="1200">
        <v>1</v>
      </c>
      <c r="H20" s="1201">
        <v>8</v>
      </c>
      <c r="I20" s="1149">
        <v>11</v>
      </c>
      <c r="J20" s="1150">
        <v>4</v>
      </c>
      <c r="K20" s="1202">
        <v>7</v>
      </c>
      <c r="L20" s="1117"/>
      <c r="M20" s="1118">
        <v>14</v>
      </c>
      <c r="N20" s="1269">
        <v>10</v>
      </c>
      <c r="O20" s="2489">
        <v>2</v>
      </c>
      <c r="P20" s="1203"/>
      <c r="Q20" s="1119">
        <v>11</v>
      </c>
      <c r="R20" s="1119">
        <v>26</v>
      </c>
      <c r="S20" s="1120">
        <v>17</v>
      </c>
      <c r="T20" s="1203"/>
      <c r="U20" s="1119"/>
      <c r="V20" s="1119"/>
      <c r="W20" s="1120">
        <v>44</v>
      </c>
      <c r="X20" s="119">
        <v>18</v>
      </c>
      <c r="Y20" s="1149">
        <v>34</v>
      </c>
      <c r="Z20" s="1149">
        <v>20</v>
      </c>
      <c r="AA20" s="1200">
        <v>26</v>
      </c>
      <c r="AB20" s="1200">
        <v>23</v>
      </c>
      <c r="AC20" s="1200"/>
      <c r="AD20" s="1200"/>
      <c r="AE20" s="1200"/>
      <c r="AF20" s="77"/>
      <c r="AM20" s="26"/>
      <c r="AN20" s="17"/>
      <c r="AO20" s="74"/>
      <c r="AP20" s="69"/>
      <c r="AQ20" s="78"/>
      <c r="AR20" s="74"/>
      <c r="AS20" s="74"/>
      <c r="AT20" s="74"/>
      <c r="AU20" s="77"/>
      <c r="AV20" s="61"/>
      <c r="AW20" s="14"/>
      <c r="AX20" s="61"/>
      <c r="AY20" s="61"/>
      <c r="AZ20" s="49"/>
      <c r="BA20" s="49"/>
      <c r="BB20" s="14"/>
      <c r="BC20" s="61"/>
      <c r="BD20" s="61"/>
      <c r="BE20" s="74"/>
      <c r="BF20" s="78"/>
      <c r="BG20" s="74"/>
      <c r="BH20" s="74"/>
      <c r="BI20" s="74"/>
      <c r="BJ20" s="77"/>
      <c r="BK20" s="61"/>
      <c r="BL20" s="74"/>
      <c r="BM20" s="69"/>
      <c r="BN20" s="69"/>
      <c r="BO20" s="14"/>
      <c r="BP20" s="61"/>
      <c r="BQ20" s="61"/>
      <c r="BR20" s="61"/>
      <c r="BS20" s="61"/>
      <c r="BT20" s="61"/>
      <c r="BU20" s="78"/>
      <c r="BV20" s="74"/>
      <c r="BW20" s="74"/>
      <c r="BX20" s="74"/>
      <c r="BY20" s="77"/>
      <c r="BZ20" s="74"/>
      <c r="CA20" s="61"/>
      <c r="CB20" s="74"/>
      <c r="CC20" s="49"/>
      <c r="CD20" s="49"/>
      <c r="CE20" s="49"/>
      <c r="CF20" s="14"/>
      <c r="CG20" s="61"/>
      <c r="CH20" s="61"/>
      <c r="CI20" s="74"/>
      <c r="CJ20" s="78"/>
      <c r="CK20" s="74"/>
      <c r="CL20" s="74"/>
      <c r="CM20" s="77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78"/>
      <c r="CY20" s="74"/>
      <c r="CZ20" s="74"/>
      <c r="DA20" s="74"/>
      <c r="DB20" s="74"/>
      <c r="DC20" s="74"/>
      <c r="DD20" s="77"/>
      <c r="DE20" s="69"/>
      <c r="DF20" s="61"/>
      <c r="DG20" s="61"/>
      <c r="DH20" s="61"/>
      <c r="DI20" s="61"/>
      <c r="DJ20" s="61"/>
      <c r="DK20" s="61"/>
      <c r="DL20" s="61"/>
      <c r="DM20" s="61"/>
      <c r="DN20" s="61"/>
      <c r="DO20" s="78"/>
      <c r="DP20" s="74"/>
      <c r="DQ20" s="74"/>
      <c r="DR20" s="74"/>
      <c r="DS20" s="77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78"/>
      <c r="EE20" s="74"/>
      <c r="EF20" s="74"/>
      <c r="EG20" s="74"/>
      <c r="EH20" s="77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78"/>
      <c r="ET20" s="74"/>
      <c r="EU20" s="74"/>
      <c r="EV20" s="77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78"/>
      <c r="FH20" s="74"/>
      <c r="FI20" s="74"/>
      <c r="FJ20" s="74"/>
      <c r="FK20" s="77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78"/>
      <c r="FW20" s="74"/>
      <c r="FX20" s="74"/>
      <c r="FY20" s="74"/>
      <c r="FZ20" s="77"/>
      <c r="GA20" s="61"/>
      <c r="GB20" s="61"/>
      <c r="GC20" s="61"/>
      <c r="GD20" s="61"/>
      <c r="GE20" s="61"/>
      <c r="GF20" s="61"/>
      <c r="GG20" s="61"/>
      <c r="GH20" s="61"/>
      <c r="GI20" s="61"/>
    </row>
    <row r="21" spans="1:191">
      <c r="A21" s="1199" t="s">
        <v>185</v>
      </c>
      <c r="B21" s="996"/>
      <c r="C21" s="1121" t="s">
        <v>128</v>
      </c>
      <c r="D21" s="1151">
        <v>11</v>
      </c>
      <c r="E21" s="1151">
        <v>21</v>
      </c>
      <c r="F21" s="1151">
        <v>10</v>
      </c>
      <c r="G21" s="1155">
        <v>7</v>
      </c>
      <c r="H21" s="1156">
        <v>6</v>
      </c>
      <c r="I21" s="1151">
        <v>11</v>
      </c>
      <c r="J21" s="1152">
        <v>5</v>
      </c>
      <c r="K21" s="1204">
        <v>7</v>
      </c>
      <c r="L21" s="1125"/>
      <c r="M21" s="1126">
        <v>11</v>
      </c>
      <c r="N21" s="1274">
        <v>7</v>
      </c>
      <c r="O21" s="2490">
        <v>2</v>
      </c>
      <c r="P21" s="1046"/>
      <c r="Q21" s="1127">
        <v>15</v>
      </c>
      <c r="R21" s="1127">
        <v>21</v>
      </c>
      <c r="S21" s="1128">
        <v>12</v>
      </c>
      <c r="T21" s="1046"/>
      <c r="U21" s="1127"/>
      <c r="V21" s="1127"/>
      <c r="W21" s="1128">
        <v>22</v>
      </c>
      <c r="X21" s="119">
        <v>18</v>
      </c>
      <c r="Y21" s="1151">
        <v>41</v>
      </c>
      <c r="Z21" s="1151">
        <v>23</v>
      </c>
      <c r="AA21" s="1155">
        <v>24.25</v>
      </c>
      <c r="AB21" s="1155">
        <v>15</v>
      </c>
      <c r="AC21" s="1155"/>
      <c r="AD21" s="1155"/>
      <c r="AE21" s="1155"/>
      <c r="AF21" s="77"/>
      <c r="AM21" s="26"/>
      <c r="AN21" s="17"/>
      <c r="AO21" s="74"/>
      <c r="AP21" s="69"/>
      <c r="AQ21" s="78"/>
      <c r="AR21" s="74"/>
      <c r="AS21" s="74"/>
      <c r="AT21" s="74"/>
      <c r="AU21" s="77"/>
      <c r="AV21" s="61"/>
      <c r="AW21" s="14"/>
      <c r="AX21" s="61"/>
      <c r="AY21" s="61"/>
      <c r="AZ21" s="82"/>
      <c r="BA21" s="82"/>
      <c r="BB21" s="14"/>
      <c r="BC21" s="61"/>
      <c r="BD21" s="61"/>
      <c r="BE21" s="74"/>
      <c r="BF21" s="78"/>
      <c r="BG21" s="74"/>
      <c r="BH21" s="74"/>
      <c r="BI21" s="74"/>
      <c r="BJ21" s="77"/>
      <c r="BK21" s="61"/>
      <c r="BL21" s="74"/>
      <c r="BM21" s="69"/>
      <c r="BN21" s="69"/>
      <c r="BO21" s="14"/>
      <c r="BP21" s="61"/>
      <c r="BQ21" s="61"/>
      <c r="BR21" s="61"/>
      <c r="BS21" s="61"/>
      <c r="BT21" s="61"/>
      <c r="BU21" s="78"/>
      <c r="BV21" s="74"/>
      <c r="BW21" s="74"/>
      <c r="BX21" s="74"/>
      <c r="BY21" s="77"/>
      <c r="BZ21" s="74"/>
      <c r="CA21" s="61"/>
      <c r="CB21" s="74"/>
      <c r="CC21" s="69"/>
      <c r="CD21" s="69"/>
      <c r="CE21" s="82"/>
      <c r="CF21" s="14"/>
      <c r="CG21" s="61"/>
      <c r="CH21" s="61"/>
      <c r="CI21" s="74"/>
      <c r="CJ21" s="78"/>
      <c r="CK21" s="74"/>
      <c r="CL21" s="74"/>
      <c r="CM21" s="77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78"/>
      <c r="CY21" s="74"/>
      <c r="CZ21" s="74"/>
      <c r="DA21" s="74"/>
      <c r="DB21" s="74"/>
      <c r="DC21" s="74"/>
      <c r="DD21" s="77"/>
      <c r="DE21" s="69"/>
      <c r="DF21" s="61"/>
      <c r="DG21" s="61"/>
      <c r="DH21" s="61"/>
      <c r="DI21" s="61"/>
      <c r="DJ21" s="61"/>
      <c r="DK21" s="61"/>
      <c r="DL21" s="61"/>
      <c r="DM21" s="61"/>
      <c r="DN21" s="61"/>
      <c r="DO21" s="78"/>
      <c r="DP21" s="74"/>
      <c r="DQ21" s="74"/>
      <c r="DR21" s="74"/>
      <c r="DS21" s="77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78"/>
      <c r="EE21" s="74"/>
      <c r="EF21" s="74"/>
      <c r="EG21" s="74"/>
      <c r="EH21" s="77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78"/>
      <c r="ET21" s="74"/>
      <c r="EU21" s="74"/>
      <c r="EV21" s="77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78"/>
      <c r="FH21" s="74"/>
      <c r="FI21" s="74"/>
      <c r="FJ21" s="74"/>
      <c r="FK21" s="77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78"/>
      <c r="FW21" s="74"/>
      <c r="FX21" s="74"/>
      <c r="FY21" s="74"/>
      <c r="FZ21" s="77"/>
      <c r="GA21" s="61"/>
      <c r="GB21" s="61"/>
      <c r="GC21" s="61"/>
      <c r="GD21" s="61"/>
      <c r="GE21" s="61"/>
      <c r="GF21" s="61"/>
      <c r="GG21" s="61"/>
      <c r="GH21" s="61"/>
      <c r="GI21" s="61"/>
    </row>
    <row r="22" spans="1:191" ht="15.75" thickBot="1">
      <c r="A22" s="1205" t="s">
        <v>185</v>
      </c>
      <c r="B22" s="997">
        <f>COUNTA(C22:C24)</f>
        <v>3</v>
      </c>
      <c r="C22" s="1129" t="s">
        <v>19</v>
      </c>
      <c r="D22" s="1130">
        <v>9</v>
      </c>
      <c r="E22" s="1130">
        <v>22</v>
      </c>
      <c r="F22" s="1130">
        <v>10</v>
      </c>
      <c r="G22" s="1131">
        <v>5</v>
      </c>
      <c r="H22" s="1132">
        <v>10</v>
      </c>
      <c r="I22" s="1130">
        <v>8</v>
      </c>
      <c r="J22" s="1133">
        <v>5</v>
      </c>
      <c r="K22" s="1206">
        <v>12</v>
      </c>
      <c r="L22" s="1135"/>
      <c r="M22" s="1136">
        <v>11</v>
      </c>
      <c r="N22" s="1365">
        <v>14</v>
      </c>
      <c r="O22" s="2488">
        <v>2</v>
      </c>
      <c r="P22" s="886"/>
      <c r="Q22" s="633">
        <v>63</v>
      </c>
      <c r="R22" s="633">
        <v>24</v>
      </c>
      <c r="S22" s="634">
        <v>25</v>
      </c>
      <c r="T22" s="886"/>
      <c r="U22" s="633"/>
      <c r="V22" s="633"/>
      <c r="W22" s="634">
        <v>26</v>
      </c>
      <c r="X22" s="119">
        <v>8</v>
      </c>
      <c r="Y22" s="1130">
        <v>24</v>
      </c>
      <c r="Z22" s="1130">
        <v>27</v>
      </c>
      <c r="AA22" s="1131">
        <v>29.5</v>
      </c>
      <c r="AB22" s="1131">
        <v>21</v>
      </c>
      <c r="AC22" s="1131"/>
      <c r="AD22" s="1131"/>
      <c r="AE22" s="1131"/>
      <c r="AF22" s="77"/>
      <c r="AM22" s="26"/>
      <c r="AN22" s="30"/>
      <c r="AO22" s="74"/>
      <c r="AP22" s="30"/>
      <c r="AQ22" s="78"/>
      <c r="AR22" s="74"/>
      <c r="AS22" s="74"/>
      <c r="AT22" s="74"/>
      <c r="AU22" s="77"/>
      <c r="AV22" s="61"/>
      <c r="AW22" s="14"/>
      <c r="AX22" s="61"/>
      <c r="AY22" s="61"/>
      <c r="AZ22" s="30"/>
      <c r="BA22" s="30"/>
      <c r="BB22" s="14"/>
      <c r="BC22" s="61"/>
      <c r="BD22" s="61"/>
      <c r="BE22" s="63"/>
      <c r="BF22" s="78"/>
      <c r="BG22" s="74"/>
      <c r="BH22" s="74"/>
      <c r="BI22" s="74"/>
      <c r="BJ22" s="77"/>
      <c r="BK22" s="61"/>
      <c r="BL22" s="63"/>
      <c r="BM22" s="30"/>
      <c r="BN22" s="30"/>
      <c r="BO22" s="14"/>
      <c r="BP22" s="61"/>
      <c r="BQ22" s="61"/>
      <c r="BR22" s="61"/>
      <c r="BS22" s="61"/>
      <c r="BT22" s="61"/>
      <c r="BU22" s="78"/>
      <c r="BV22" s="74"/>
      <c r="BW22" s="74"/>
      <c r="BX22" s="74"/>
      <c r="BY22" s="77"/>
      <c r="BZ22" s="74"/>
      <c r="CA22" s="61"/>
      <c r="CB22" s="63"/>
      <c r="CC22" s="30"/>
      <c r="CD22" s="30"/>
      <c r="CE22" s="30"/>
      <c r="CF22" s="14"/>
      <c r="CG22" s="61"/>
      <c r="CH22" s="61"/>
      <c r="CI22" s="63"/>
      <c r="CJ22" s="78"/>
      <c r="CK22" s="74"/>
      <c r="CL22" s="74"/>
      <c r="CM22" s="77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78"/>
      <c r="CY22" s="74"/>
      <c r="CZ22" s="74"/>
      <c r="DA22" s="74"/>
      <c r="DB22" s="74"/>
      <c r="DC22" s="74"/>
      <c r="DD22" s="77"/>
      <c r="DE22" s="30"/>
      <c r="DF22" s="61"/>
      <c r="DG22" s="61"/>
      <c r="DH22" s="61"/>
      <c r="DI22" s="61"/>
      <c r="DJ22" s="61"/>
      <c r="DK22" s="61"/>
      <c r="DL22" s="61"/>
      <c r="DM22" s="61"/>
      <c r="DN22" s="61"/>
      <c r="DO22" s="78"/>
      <c r="DP22" s="74"/>
      <c r="DQ22" s="74"/>
      <c r="DR22" s="74"/>
      <c r="DS22" s="77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78"/>
      <c r="EE22" s="74"/>
      <c r="EF22" s="74"/>
      <c r="EG22" s="74"/>
      <c r="EH22" s="77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78"/>
      <c r="ET22" s="74"/>
      <c r="EU22" s="74"/>
      <c r="EV22" s="77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78"/>
      <c r="FH22" s="74"/>
      <c r="FI22" s="74"/>
      <c r="FJ22" s="74"/>
      <c r="FK22" s="77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78"/>
      <c r="FW22" s="74"/>
      <c r="FX22" s="74"/>
      <c r="FY22" s="74"/>
      <c r="FZ22" s="77"/>
      <c r="GA22" s="61"/>
      <c r="GB22" s="61"/>
      <c r="GC22" s="61"/>
      <c r="GD22" s="61"/>
      <c r="GE22" s="61"/>
      <c r="GF22" s="61"/>
      <c r="GG22" s="61"/>
      <c r="GH22" s="61"/>
      <c r="GI22" s="61"/>
    </row>
    <row r="23" spans="1:191">
      <c r="A23" s="1023" t="s">
        <v>132</v>
      </c>
      <c r="B23" s="995">
        <f>COUNTA(C23:C27)</f>
        <v>5</v>
      </c>
      <c r="C23" s="1111" t="s">
        <v>20</v>
      </c>
      <c r="D23" s="1149">
        <v>23.67</v>
      </c>
      <c r="E23" s="1149">
        <v>21.67</v>
      </c>
      <c r="F23" s="1149">
        <v>6.5</v>
      </c>
      <c r="G23" s="1200">
        <v>33</v>
      </c>
      <c r="H23" s="1201">
        <v>24</v>
      </c>
      <c r="I23" s="1149">
        <v>24</v>
      </c>
      <c r="J23" s="1150">
        <v>23.33</v>
      </c>
      <c r="K23" s="1202">
        <v>48.66</v>
      </c>
      <c r="L23" s="1117">
        <v>25.67</v>
      </c>
      <c r="M23" s="1118">
        <v>89.33</v>
      </c>
      <c r="N23" s="1269">
        <v>9</v>
      </c>
      <c r="O23" s="2492">
        <v>9.33</v>
      </c>
      <c r="P23" s="2051">
        <v>17.670000000000002</v>
      </c>
      <c r="Q23" s="1210">
        <v>40.33</v>
      </c>
      <c r="R23" s="1210">
        <v>18</v>
      </c>
      <c r="S23" s="1211">
        <v>28</v>
      </c>
      <c r="T23" s="2051">
        <v>38.33</v>
      </c>
      <c r="U23" s="1210">
        <v>54</v>
      </c>
      <c r="V23" s="1210">
        <v>33</v>
      </c>
      <c r="W23" s="1211">
        <v>55.67</v>
      </c>
      <c r="X23" s="302">
        <v>42</v>
      </c>
      <c r="Y23" s="1149">
        <v>157</v>
      </c>
      <c r="Z23" s="1149">
        <v>19.329999999999998</v>
      </c>
      <c r="AA23" s="1200">
        <v>68.08</v>
      </c>
      <c r="AB23" s="1200">
        <v>33</v>
      </c>
      <c r="AC23" s="1200"/>
      <c r="AD23" s="1200"/>
      <c r="AE23" s="1200"/>
      <c r="AF23" s="77"/>
      <c r="AM23" s="26"/>
      <c r="AN23" s="14"/>
      <c r="AO23" s="14"/>
      <c r="AP23" s="14"/>
      <c r="AQ23" s="78"/>
      <c r="AR23" s="14"/>
      <c r="AS23" s="14"/>
      <c r="AT23" s="14"/>
      <c r="AU23" s="61"/>
      <c r="AV23" s="61"/>
      <c r="AW23" s="14"/>
      <c r="AX23" s="61"/>
      <c r="AY23" s="61"/>
      <c r="AZ23" s="14"/>
      <c r="BA23" s="14"/>
      <c r="BB23" s="14"/>
      <c r="BC23" s="61"/>
      <c r="BD23" s="61"/>
      <c r="BE23" s="14"/>
      <c r="BF23" s="78"/>
      <c r="BG23" s="14"/>
      <c r="BH23" s="14"/>
      <c r="BI23" s="14"/>
      <c r="BJ23" s="61"/>
      <c r="BK23" s="61"/>
      <c r="BL23" s="14"/>
      <c r="BM23" s="14"/>
      <c r="BN23" s="61"/>
      <c r="BO23" s="14"/>
      <c r="BP23" s="61"/>
      <c r="BQ23" s="61"/>
      <c r="BR23" s="61"/>
      <c r="BS23" s="61"/>
      <c r="BT23" s="61"/>
      <c r="BU23" s="78"/>
      <c r="BV23" s="14"/>
      <c r="BW23" s="14"/>
      <c r="BX23" s="14"/>
      <c r="BY23" s="61"/>
      <c r="BZ23" s="61"/>
      <c r="CA23" s="61"/>
      <c r="CB23" s="14"/>
      <c r="CC23" s="14"/>
      <c r="CD23" s="61"/>
      <c r="CE23" s="61"/>
      <c r="CF23" s="61"/>
      <c r="CG23" s="61"/>
      <c r="CH23" s="61"/>
      <c r="CI23" s="14"/>
      <c r="CJ23" s="78"/>
      <c r="CK23" s="14"/>
      <c r="CL23" s="14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78"/>
      <c r="CY23" s="14"/>
      <c r="CZ23" s="14"/>
      <c r="DA23" s="14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78"/>
      <c r="DP23" s="14"/>
      <c r="DQ23" s="14"/>
      <c r="DR23" s="14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  <c r="ED23" s="78"/>
      <c r="EE23" s="14"/>
      <c r="EF23" s="14"/>
      <c r="EG23" s="14"/>
      <c r="EH23" s="61"/>
      <c r="EI23" s="61"/>
      <c r="EJ23" s="61"/>
      <c r="EK23" s="61"/>
      <c r="EL23" s="61"/>
      <c r="EM23" s="61"/>
      <c r="EN23" s="61"/>
      <c r="EO23" s="61"/>
      <c r="EP23" s="61"/>
      <c r="EQ23" s="61"/>
      <c r="ER23" s="61"/>
      <c r="ES23" s="78"/>
      <c r="ET23" s="61"/>
      <c r="EU23" s="61"/>
      <c r="EV23" s="61"/>
      <c r="EW23" s="61"/>
      <c r="EX23" s="61"/>
      <c r="EY23" s="61"/>
      <c r="EZ23" s="61"/>
      <c r="FA23" s="61"/>
      <c r="FB23" s="61"/>
      <c r="FC23" s="61"/>
      <c r="FD23" s="61"/>
      <c r="FE23" s="61"/>
      <c r="FF23" s="61"/>
      <c r="FG23" s="78"/>
      <c r="FH23" s="14"/>
      <c r="FI23" s="14"/>
      <c r="FJ23" s="14"/>
      <c r="FK23" s="61"/>
      <c r="FL23" s="61"/>
      <c r="FM23" s="61"/>
      <c r="FN23" s="61"/>
      <c r="FO23" s="61"/>
      <c r="FP23" s="61"/>
      <c r="FQ23" s="61"/>
      <c r="FR23" s="61"/>
      <c r="FS23" s="61"/>
      <c r="FT23" s="61"/>
      <c r="FU23" s="61"/>
      <c r="FV23" s="78"/>
      <c r="FW23" s="14"/>
      <c r="FX23" s="14"/>
      <c r="FY23" s="14"/>
      <c r="FZ23" s="61"/>
      <c r="GA23" s="61"/>
      <c r="GB23" s="61"/>
      <c r="GC23" s="61"/>
      <c r="GD23" s="61"/>
      <c r="GE23" s="61"/>
      <c r="GF23" s="61"/>
      <c r="GG23" s="61"/>
      <c r="GH23" s="61"/>
      <c r="GI23" s="61"/>
    </row>
    <row r="24" spans="1:191">
      <c r="A24" s="1199" t="s">
        <v>132</v>
      </c>
      <c r="B24" s="996"/>
      <c r="C24" s="1121" t="s">
        <v>30</v>
      </c>
      <c r="D24" s="1151">
        <v>37</v>
      </c>
      <c r="E24" s="1151">
        <v>13.33</v>
      </c>
      <c r="F24" s="1151">
        <v>4.5</v>
      </c>
      <c r="G24" s="1155">
        <v>17.670000000000002</v>
      </c>
      <c r="H24" s="1156">
        <v>40.33</v>
      </c>
      <c r="I24" s="1151">
        <v>24.67</v>
      </c>
      <c r="J24" s="1152">
        <v>11</v>
      </c>
      <c r="K24" s="1204">
        <v>43</v>
      </c>
      <c r="L24" s="1125">
        <v>56</v>
      </c>
      <c r="M24" s="1126">
        <v>70.33</v>
      </c>
      <c r="N24" s="1274">
        <v>8</v>
      </c>
      <c r="O24" s="2490">
        <v>22</v>
      </c>
      <c r="P24" s="1183">
        <v>31.67</v>
      </c>
      <c r="Q24" s="1127">
        <v>49.33</v>
      </c>
      <c r="R24" s="1127">
        <v>24</v>
      </c>
      <c r="S24" s="1128">
        <v>28</v>
      </c>
      <c r="T24" s="1183">
        <v>37.32</v>
      </c>
      <c r="U24" s="1127">
        <v>63</v>
      </c>
      <c r="V24" s="1127">
        <v>19</v>
      </c>
      <c r="W24" s="1128">
        <v>24.67</v>
      </c>
      <c r="X24" s="120">
        <v>35.33</v>
      </c>
      <c r="Y24" s="1151">
        <v>108</v>
      </c>
      <c r="Z24" s="1151">
        <v>33.67</v>
      </c>
      <c r="AA24" s="1155">
        <v>55.63</v>
      </c>
      <c r="AB24" s="1155">
        <v>41.33</v>
      </c>
      <c r="AC24" s="1155"/>
      <c r="AD24" s="1155"/>
      <c r="AE24" s="1155"/>
      <c r="AF24" s="61"/>
      <c r="AH24" s="26"/>
      <c r="AI24" s="26"/>
      <c r="AJ24" s="26"/>
      <c r="AK24" s="26"/>
      <c r="AL24" s="26"/>
      <c r="AM24" s="26"/>
      <c r="AN24" s="26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  <c r="EV24" s="61"/>
      <c r="EW24" s="61"/>
      <c r="EX24" s="61"/>
      <c r="EY24" s="61"/>
      <c r="EZ24" s="61"/>
      <c r="FA24" s="61"/>
      <c r="FB24" s="61"/>
      <c r="FC24" s="61"/>
      <c r="FD24" s="61"/>
      <c r="FE24" s="61"/>
      <c r="FF24" s="61"/>
      <c r="FG24" s="61"/>
      <c r="FH24" s="61"/>
      <c r="FI24" s="61"/>
      <c r="FJ24" s="61"/>
      <c r="FK24" s="61"/>
      <c r="FL24" s="61"/>
      <c r="FM24" s="61"/>
      <c r="FN24" s="61"/>
      <c r="FO24" s="61"/>
      <c r="FP24" s="61"/>
      <c r="FQ24" s="61"/>
      <c r="FR24" s="61"/>
      <c r="FS24" s="61"/>
      <c r="FT24" s="61"/>
      <c r="FU24" s="61"/>
      <c r="FV24" s="61"/>
      <c r="FW24" s="61"/>
      <c r="FX24" s="61"/>
      <c r="FY24" s="61"/>
      <c r="FZ24" s="61"/>
      <c r="GA24" s="61"/>
      <c r="GB24" s="61"/>
      <c r="GC24" s="61"/>
      <c r="GD24" s="61"/>
      <c r="GE24" s="61"/>
      <c r="GF24" s="61"/>
      <c r="GG24" s="61"/>
      <c r="GH24" s="61"/>
      <c r="GI24" s="61"/>
    </row>
    <row r="25" spans="1:191">
      <c r="A25" s="1199" t="s">
        <v>132</v>
      </c>
      <c r="B25" s="996"/>
      <c r="C25" s="1121" t="s">
        <v>26</v>
      </c>
      <c r="D25" s="1151">
        <v>43.33</v>
      </c>
      <c r="E25" s="1151">
        <v>16.329999999999998</v>
      </c>
      <c r="F25" s="1151">
        <v>163.5</v>
      </c>
      <c r="G25" s="1155">
        <v>62</v>
      </c>
      <c r="H25" s="1156">
        <v>141</v>
      </c>
      <c r="I25" s="1151">
        <v>27</v>
      </c>
      <c r="J25" s="1152">
        <v>14</v>
      </c>
      <c r="K25" s="1204">
        <v>44</v>
      </c>
      <c r="L25" s="1125">
        <v>42</v>
      </c>
      <c r="M25" s="1126">
        <v>65</v>
      </c>
      <c r="N25" s="1274">
        <v>10</v>
      </c>
      <c r="O25" s="2490">
        <v>43</v>
      </c>
      <c r="P25" s="1183">
        <v>30</v>
      </c>
      <c r="Q25" s="1127">
        <v>44.33</v>
      </c>
      <c r="R25" s="1127">
        <v>21</v>
      </c>
      <c r="S25" s="1128">
        <v>28</v>
      </c>
      <c r="T25" s="1183">
        <v>46</v>
      </c>
      <c r="U25" s="1127">
        <v>69</v>
      </c>
      <c r="V25" s="1127">
        <v>39</v>
      </c>
      <c r="W25" s="1128">
        <v>28.67</v>
      </c>
      <c r="X25" s="120">
        <v>56</v>
      </c>
      <c r="Y25" s="1151">
        <v>92.5</v>
      </c>
      <c r="Z25" s="1151">
        <v>25</v>
      </c>
      <c r="AA25" s="1155">
        <v>55</v>
      </c>
      <c r="AB25" s="1155">
        <v>37.67</v>
      </c>
      <c r="AC25" s="1155"/>
      <c r="AD25" s="1155"/>
      <c r="AE25" s="1155"/>
      <c r="AF25" s="61"/>
      <c r="AH25" s="26"/>
      <c r="AI25" s="26"/>
      <c r="AJ25" s="26"/>
      <c r="AK25" s="26"/>
      <c r="AL25" s="26"/>
      <c r="AM25" s="26"/>
      <c r="AN25" s="26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  <c r="EK25" s="61"/>
      <c r="EL25" s="61"/>
      <c r="EM25" s="61"/>
      <c r="EN25" s="61"/>
      <c r="EO25" s="61"/>
      <c r="EP25" s="61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1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1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1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1"/>
      <c r="GI25" s="61"/>
    </row>
    <row r="26" spans="1:191">
      <c r="A26" s="1199" t="s">
        <v>132</v>
      </c>
      <c r="B26" s="996"/>
      <c r="C26" s="1121" t="s">
        <v>22</v>
      </c>
      <c r="D26" s="1151">
        <v>13.33</v>
      </c>
      <c r="E26" s="1151">
        <v>8.33</v>
      </c>
      <c r="F26" s="1151">
        <v>6.5</v>
      </c>
      <c r="G26" s="1155">
        <v>6.67</v>
      </c>
      <c r="H26" s="1156">
        <v>20.3</v>
      </c>
      <c r="I26" s="1151">
        <v>11</v>
      </c>
      <c r="J26" s="1152">
        <v>28</v>
      </c>
      <c r="K26" s="1204">
        <v>34</v>
      </c>
      <c r="L26" s="1125">
        <v>14</v>
      </c>
      <c r="M26" s="1126">
        <v>52</v>
      </c>
      <c r="N26" s="1274">
        <v>5</v>
      </c>
      <c r="O26" s="2490">
        <v>9.33</v>
      </c>
      <c r="P26" s="1183">
        <v>15.67</v>
      </c>
      <c r="Q26" s="1127">
        <v>8</v>
      </c>
      <c r="R26" s="1127">
        <v>8</v>
      </c>
      <c r="S26" s="1128">
        <v>17</v>
      </c>
      <c r="T26" s="1183">
        <v>24</v>
      </c>
      <c r="U26" s="1127">
        <v>28</v>
      </c>
      <c r="V26" s="1127">
        <v>17</v>
      </c>
      <c r="W26" s="1128">
        <v>17</v>
      </c>
      <c r="X26" s="120">
        <v>26.33</v>
      </c>
      <c r="Y26" s="1151">
        <v>54</v>
      </c>
      <c r="Z26" s="1151">
        <v>13.67</v>
      </c>
      <c r="AA26" s="1155">
        <v>27.25</v>
      </c>
      <c r="AB26" s="1155">
        <v>18.329999999999998</v>
      </c>
      <c r="AC26" s="1155"/>
      <c r="AD26" s="1155"/>
      <c r="AE26" s="1155"/>
      <c r="AH26" s="26"/>
      <c r="AI26" s="26"/>
      <c r="AJ26" s="26"/>
      <c r="AK26" s="26"/>
      <c r="AL26" s="26"/>
      <c r="AM26" s="26"/>
      <c r="AN26" s="26"/>
      <c r="AO26" s="26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  <c r="EV26" s="61"/>
      <c r="EW26" s="61"/>
      <c r="EX26" s="61"/>
      <c r="EY26" s="61"/>
      <c r="EZ26" s="61"/>
      <c r="FA26" s="61"/>
      <c r="FB26" s="61"/>
      <c r="FC26" s="61"/>
      <c r="FD26" s="61"/>
      <c r="FE26" s="61"/>
      <c r="FF26" s="61"/>
      <c r="FG26" s="61"/>
      <c r="FH26" s="61"/>
      <c r="FI26" s="61"/>
      <c r="FJ26" s="61"/>
      <c r="FK26" s="61"/>
      <c r="FL26" s="61"/>
      <c r="FM26" s="61"/>
      <c r="FN26" s="61"/>
      <c r="FO26" s="61"/>
      <c r="FP26" s="61"/>
      <c r="FQ26" s="61"/>
      <c r="FR26" s="61"/>
      <c r="FS26" s="61"/>
      <c r="FT26" s="61"/>
      <c r="FU26" s="61"/>
      <c r="FV26" s="61"/>
      <c r="FW26" s="61"/>
      <c r="FX26" s="61"/>
      <c r="FY26" s="61"/>
      <c r="FZ26" s="61"/>
      <c r="GA26" s="61"/>
      <c r="GB26" s="61"/>
      <c r="GC26" s="61"/>
      <c r="GD26" s="61"/>
      <c r="GE26" s="61"/>
      <c r="GF26" s="61"/>
      <c r="GG26" s="61"/>
      <c r="GH26" s="61"/>
      <c r="GI26" s="61"/>
    </row>
    <row r="27" spans="1:191" ht="15.75" thickBot="1">
      <c r="A27" s="1205" t="s">
        <v>132</v>
      </c>
      <c r="B27" s="997"/>
      <c r="C27" s="1129" t="s">
        <v>12</v>
      </c>
      <c r="D27" s="1130">
        <v>21.67</v>
      </c>
      <c r="E27" s="1130">
        <v>11.33</v>
      </c>
      <c r="F27" s="1130">
        <v>7</v>
      </c>
      <c r="G27" s="1131">
        <v>7.67</v>
      </c>
      <c r="H27" s="1132">
        <v>22.33</v>
      </c>
      <c r="I27" s="1130">
        <v>14</v>
      </c>
      <c r="J27" s="1133">
        <v>10.67</v>
      </c>
      <c r="K27" s="1206">
        <v>32</v>
      </c>
      <c r="L27" s="1135">
        <v>20.67</v>
      </c>
      <c r="M27" s="1136">
        <v>16</v>
      </c>
      <c r="N27" s="1365">
        <v>9</v>
      </c>
      <c r="O27" s="2488">
        <v>10</v>
      </c>
      <c r="P27" s="1184">
        <v>26.67</v>
      </c>
      <c r="Q27" s="633">
        <v>15.67</v>
      </c>
      <c r="R27" s="633">
        <v>8</v>
      </c>
      <c r="S27" s="634">
        <v>16</v>
      </c>
      <c r="T27" s="1184">
        <v>25.64</v>
      </c>
      <c r="U27" s="633">
        <v>37</v>
      </c>
      <c r="V27" s="633">
        <v>16</v>
      </c>
      <c r="W27" s="634">
        <v>23</v>
      </c>
      <c r="X27" s="120">
        <v>31.33</v>
      </c>
      <c r="Y27" s="1130">
        <v>50</v>
      </c>
      <c r="Z27" s="1130">
        <v>11.67</v>
      </c>
      <c r="AA27" s="1131">
        <v>29.5</v>
      </c>
      <c r="AB27" s="1131">
        <v>26.33</v>
      </c>
      <c r="AC27" s="1131"/>
      <c r="AD27" s="1131"/>
      <c r="AE27" s="1131"/>
      <c r="AH27" s="26"/>
      <c r="AI27" s="26"/>
      <c r="AJ27" s="26"/>
      <c r="AK27" s="26"/>
      <c r="AL27" s="26"/>
      <c r="AM27" s="26"/>
      <c r="AN27" s="26"/>
      <c r="AO27" s="26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  <c r="ED27" s="61"/>
      <c r="EE27" s="61"/>
      <c r="EF27" s="61"/>
      <c r="EG27" s="61"/>
      <c r="EH27" s="61"/>
      <c r="EI27" s="61"/>
      <c r="EJ27" s="61"/>
      <c r="EK27" s="61"/>
      <c r="EL27" s="61"/>
      <c r="EM27" s="61"/>
      <c r="EN27" s="61"/>
      <c r="EO27" s="61"/>
      <c r="EP27" s="61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1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1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1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1"/>
      <c r="GI27" s="61"/>
    </row>
    <row r="28" spans="1:191">
      <c r="A28" s="1023" t="s">
        <v>63</v>
      </c>
      <c r="B28" s="995"/>
      <c r="C28" s="1111" t="s">
        <v>38</v>
      </c>
      <c r="D28" s="1149">
        <v>92.67</v>
      </c>
      <c r="E28" s="1149">
        <v>24</v>
      </c>
      <c r="F28" s="1149">
        <v>36.67</v>
      </c>
      <c r="G28" s="1200">
        <v>71.33</v>
      </c>
      <c r="H28" s="1201">
        <v>67.66</v>
      </c>
      <c r="I28" s="1149">
        <v>47.67</v>
      </c>
      <c r="J28" s="1150">
        <v>41.33</v>
      </c>
      <c r="K28" s="1202">
        <v>86.66</v>
      </c>
      <c r="L28" s="1117">
        <v>59.33</v>
      </c>
      <c r="M28" s="1118">
        <v>114</v>
      </c>
      <c r="N28" s="1269">
        <v>30.33</v>
      </c>
      <c r="O28" s="2489">
        <v>70.33</v>
      </c>
      <c r="P28" s="1203">
        <v>70.33</v>
      </c>
      <c r="Q28" s="1119">
        <v>43</v>
      </c>
      <c r="R28" s="1119">
        <v>29</v>
      </c>
      <c r="S28" s="1120">
        <v>52</v>
      </c>
      <c r="T28" s="1203">
        <v>74.5</v>
      </c>
      <c r="U28" s="1119">
        <v>70</v>
      </c>
      <c r="V28" s="1119">
        <v>37</v>
      </c>
      <c r="W28" s="1120">
        <v>74.67</v>
      </c>
      <c r="X28" s="120">
        <v>114.33</v>
      </c>
      <c r="Y28" s="1149">
        <v>94</v>
      </c>
      <c r="Z28" s="1149">
        <v>101</v>
      </c>
      <c r="AA28" s="1200">
        <v>97.21</v>
      </c>
      <c r="AB28" s="1200">
        <v>106.67</v>
      </c>
      <c r="AC28" s="1200"/>
      <c r="AD28" s="1200"/>
      <c r="AE28" s="1200"/>
      <c r="AO28" s="26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  <c r="EV28" s="61"/>
      <c r="EW28" s="61"/>
      <c r="EX28" s="61"/>
      <c r="EY28" s="61"/>
      <c r="EZ28" s="61"/>
      <c r="FA28" s="61"/>
      <c r="FB28" s="61"/>
      <c r="FC28" s="61"/>
      <c r="FD28" s="61"/>
      <c r="FE28" s="61"/>
      <c r="FF28" s="61"/>
      <c r="FG28" s="61"/>
      <c r="FH28" s="61"/>
      <c r="FI28" s="61"/>
      <c r="FJ28" s="61"/>
      <c r="FK28" s="61"/>
      <c r="FL28" s="61"/>
      <c r="FM28" s="61"/>
      <c r="FN28" s="61"/>
      <c r="FO28" s="61"/>
      <c r="FP28" s="61"/>
      <c r="FQ28" s="61"/>
      <c r="FR28" s="61"/>
      <c r="FS28" s="61"/>
      <c r="FT28" s="61"/>
      <c r="FU28" s="61"/>
      <c r="FV28" s="61"/>
      <c r="FW28" s="61"/>
      <c r="FX28" s="61"/>
      <c r="FY28" s="61"/>
      <c r="FZ28" s="61"/>
      <c r="GA28" s="61"/>
      <c r="GB28" s="61"/>
      <c r="GC28" s="61"/>
      <c r="GD28" s="61"/>
      <c r="GE28" s="61"/>
      <c r="GF28" s="61"/>
      <c r="GG28" s="61"/>
      <c r="GH28" s="61"/>
      <c r="GI28" s="61"/>
    </row>
    <row r="29" spans="1:191">
      <c r="A29" s="1199" t="s">
        <v>63</v>
      </c>
      <c r="B29" s="996">
        <f>COUNTA(C29:C33)</f>
        <v>5</v>
      </c>
      <c r="C29" s="1121" t="s">
        <v>20</v>
      </c>
      <c r="D29" s="1151">
        <v>98</v>
      </c>
      <c r="E29" s="1151">
        <v>60.5</v>
      </c>
      <c r="F29" s="1151">
        <v>29.67</v>
      </c>
      <c r="G29" s="1155">
        <v>61.33</v>
      </c>
      <c r="H29" s="1156">
        <v>90</v>
      </c>
      <c r="I29" s="1151">
        <v>53</v>
      </c>
      <c r="J29" s="1152">
        <v>49</v>
      </c>
      <c r="K29" s="1204">
        <v>118.66</v>
      </c>
      <c r="L29" s="1125">
        <v>113</v>
      </c>
      <c r="M29" s="1126">
        <v>44</v>
      </c>
      <c r="N29" s="1274">
        <v>1.0900000000000001</v>
      </c>
      <c r="O29" s="2490">
        <v>84</v>
      </c>
      <c r="P29" s="1183">
        <v>133</v>
      </c>
      <c r="Q29" s="1127">
        <v>34</v>
      </c>
      <c r="R29" s="1127">
        <v>13</v>
      </c>
      <c r="S29" s="1128">
        <v>44</v>
      </c>
      <c r="T29" s="1183">
        <v>80.67</v>
      </c>
      <c r="U29" s="1127">
        <v>66</v>
      </c>
      <c r="V29" s="1127">
        <v>38</v>
      </c>
      <c r="W29" s="1128">
        <v>73.67</v>
      </c>
      <c r="X29" s="120">
        <v>123</v>
      </c>
      <c r="Y29" s="1151">
        <v>64</v>
      </c>
      <c r="Z29" s="1151">
        <v>85.33</v>
      </c>
      <c r="AA29" s="1155">
        <v>88.08</v>
      </c>
      <c r="AB29" s="1155">
        <v>128.33000000000001</v>
      </c>
      <c r="AC29" s="1155"/>
      <c r="AD29" s="1155"/>
      <c r="AE29" s="1155"/>
      <c r="AO29" s="26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  <c r="EE29" s="61"/>
      <c r="EF29" s="61"/>
      <c r="EG29" s="61"/>
      <c r="EH29" s="61"/>
      <c r="EI29" s="61"/>
      <c r="EJ29" s="61"/>
      <c r="EK29" s="61"/>
      <c r="EL29" s="61"/>
      <c r="EM29" s="61"/>
      <c r="EN29" s="61"/>
      <c r="EO29" s="61"/>
      <c r="EP29" s="61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1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1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1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1"/>
      <c r="GI29" s="61"/>
    </row>
    <row r="30" spans="1:191">
      <c r="A30" s="1199" t="s">
        <v>63</v>
      </c>
      <c r="B30" s="996"/>
      <c r="C30" s="1121" t="s">
        <v>34</v>
      </c>
      <c r="D30" s="1151">
        <v>43.33</v>
      </c>
      <c r="E30" s="1151">
        <v>18</v>
      </c>
      <c r="F30" s="1151">
        <v>8.67</v>
      </c>
      <c r="G30" s="1155">
        <v>14.33</v>
      </c>
      <c r="H30" s="1156">
        <v>30.33</v>
      </c>
      <c r="I30" s="1151">
        <v>31</v>
      </c>
      <c r="J30" s="1152">
        <v>20</v>
      </c>
      <c r="K30" s="1204">
        <v>83</v>
      </c>
      <c r="L30" s="1125">
        <v>60</v>
      </c>
      <c r="M30" s="1126">
        <v>37.67</v>
      </c>
      <c r="N30" s="1274">
        <v>1.65</v>
      </c>
      <c r="O30" s="2490">
        <v>41</v>
      </c>
      <c r="P30" s="1046">
        <v>55.67</v>
      </c>
      <c r="Q30" s="1127">
        <v>32</v>
      </c>
      <c r="R30" s="1127">
        <v>20</v>
      </c>
      <c r="S30" s="1128">
        <v>21</v>
      </c>
      <c r="T30" s="1046">
        <v>80.5</v>
      </c>
      <c r="U30" s="1127">
        <v>49</v>
      </c>
      <c r="V30" s="1127">
        <v>20</v>
      </c>
      <c r="W30" s="1128">
        <v>69</v>
      </c>
      <c r="X30" s="120">
        <v>84.67</v>
      </c>
      <c r="Y30" s="1151">
        <v>138</v>
      </c>
      <c r="Z30" s="1151">
        <v>25.67</v>
      </c>
      <c r="AA30" s="1155">
        <v>70.709999999999994</v>
      </c>
      <c r="AB30" s="1155">
        <v>64.33</v>
      </c>
      <c r="AC30" s="1155"/>
      <c r="AD30" s="1155"/>
      <c r="AE30" s="1155"/>
      <c r="AO30" s="26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  <c r="EV30" s="61"/>
      <c r="EW30" s="61"/>
      <c r="EX30" s="61"/>
      <c r="EY30" s="61"/>
      <c r="EZ30" s="61"/>
      <c r="FA30" s="61"/>
      <c r="FB30" s="61"/>
      <c r="FC30" s="61"/>
      <c r="FD30" s="61"/>
      <c r="FE30" s="61"/>
      <c r="FF30" s="61"/>
      <c r="FG30" s="61"/>
      <c r="FH30" s="61"/>
      <c r="FI30" s="61"/>
      <c r="FJ30" s="61"/>
      <c r="FK30" s="61"/>
      <c r="FL30" s="61"/>
      <c r="FM30" s="61"/>
      <c r="FN30" s="61"/>
      <c r="FO30" s="61"/>
      <c r="FP30" s="61"/>
      <c r="FQ30" s="61"/>
      <c r="FR30" s="61"/>
      <c r="FS30" s="61"/>
      <c r="FT30" s="61"/>
      <c r="FU30" s="61"/>
      <c r="FV30" s="61"/>
      <c r="FW30" s="61"/>
      <c r="FX30" s="61"/>
      <c r="FY30" s="61"/>
      <c r="FZ30" s="61"/>
      <c r="GA30" s="61"/>
      <c r="GB30" s="61"/>
      <c r="GC30" s="61"/>
      <c r="GD30" s="61"/>
      <c r="GE30" s="61"/>
      <c r="GF30" s="61"/>
      <c r="GG30" s="61"/>
      <c r="GH30" s="61"/>
      <c r="GI30" s="61"/>
    </row>
    <row r="31" spans="1:191">
      <c r="A31" s="1199" t="s">
        <v>63</v>
      </c>
      <c r="B31" s="996"/>
      <c r="C31" s="1121" t="s">
        <v>26</v>
      </c>
      <c r="D31" s="1151">
        <v>68</v>
      </c>
      <c r="E31" s="1151">
        <v>21</v>
      </c>
      <c r="F31" s="1151">
        <v>21.33</v>
      </c>
      <c r="G31" s="1155">
        <v>56</v>
      </c>
      <c r="H31" s="1156">
        <v>55.33</v>
      </c>
      <c r="I31" s="1151">
        <v>37.33</v>
      </c>
      <c r="J31" s="1152">
        <v>25</v>
      </c>
      <c r="K31" s="1204">
        <v>100.33</v>
      </c>
      <c r="L31" s="1125">
        <v>54</v>
      </c>
      <c r="M31" s="1126">
        <v>36.33</v>
      </c>
      <c r="N31" s="1274">
        <v>35</v>
      </c>
      <c r="O31" s="2490">
        <v>112.67</v>
      </c>
      <c r="P31" s="1046">
        <v>88.67</v>
      </c>
      <c r="Q31" s="1127">
        <v>29</v>
      </c>
      <c r="R31" s="1127">
        <v>17</v>
      </c>
      <c r="S31" s="1128">
        <v>53</v>
      </c>
      <c r="T31" s="1046">
        <v>104</v>
      </c>
      <c r="U31" s="1127">
        <v>66</v>
      </c>
      <c r="V31" s="1127">
        <v>50</v>
      </c>
      <c r="W31" s="1128">
        <v>77</v>
      </c>
      <c r="X31" s="120">
        <v>125.33</v>
      </c>
      <c r="Y31" s="1151">
        <v>125</v>
      </c>
      <c r="Z31" s="1151">
        <v>86.67</v>
      </c>
      <c r="AA31" s="1155">
        <v>107.75</v>
      </c>
      <c r="AB31" s="1155">
        <v>119.67</v>
      </c>
      <c r="AC31" s="1155"/>
      <c r="AD31" s="1155"/>
      <c r="AE31" s="1155"/>
      <c r="AO31" s="26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  <c r="ED31" s="61"/>
      <c r="EE31" s="61"/>
      <c r="EF31" s="61"/>
      <c r="EG31" s="61"/>
      <c r="EH31" s="61"/>
      <c r="EI31" s="61"/>
      <c r="EJ31" s="61"/>
      <c r="EK31" s="61"/>
      <c r="EL31" s="61"/>
      <c r="EM31" s="61"/>
      <c r="EN31" s="61"/>
      <c r="EO31" s="61"/>
      <c r="EP31" s="61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1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1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1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1"/>
      <c r="GI31" s="61"/>
    </row>
    <row r="32" spans="1:191" ht="15.75" thickBot="1">
      <c r="A32" s="1205" t="s">
        <v>63</v>
      </c>
      <c r="B32" s="997"/>
      <c r="C32" s="1129" t="s">
        <v>39</v>
      </c>
      <c r="D32" s="1130">
        <v>60.33</v>
      </c>
      <c r="E32" s="1130">
        <v>51</v>
      </c>
      <c r="F32" s="1130">
        <v>21.67</v>
      </c>
      <c r="G32" s="1131">
        <v>51</v>
      </c>
      <c r="H32" s="1132">
        <v>37.659999999999997</v>
      </c>
      <c r="I32" s="1130">
        <v>36.67</v>
      </c>
      <c r="J32" s="1133">
        <v>21.67</v>
      </c>
      <c r="K32" s="1206">
        <v>81.33</v>
      </c>
      <c r="L32" s="1135">
        <v>44</v>
      </c>
      <c r="M32" s="1136">
        <v>33.33</v>
      </c>
      <c r="N32" s="1365">
        <v>31.66</v>
      </c>
      <c r="O32" s="2488">
        <v>72</v>
      </c>
      <c r="P32" s="886">
        <v>64.33</v>
      </c>
      <c r="Q32" s="633">
        <v>19</v>
      </c>
      <c r="R32" s="633">
        <v>32</v>
      </c>
      <c r="S32" s="634">
        <v>56</v>
      </c>
      <c r="T32" s="886">
        <v>87.33</v>
      </c>
      <c r="U32" s="633">
        <v>56</v>
      </c>
      <c r="V32" s="633">
        <v>33</v>
      </c>
      <c r="W32" s="634">
        <v>88</v>
      </c>
      <c r="X32" s="120">
        <v>101.67</v>
      </c>
      <c r="Y32" s="1130">
        <v>123</v>
      </c>
      <c r="Z32" s="1130">
        <v>73.33</v>
      </c>
      <c r="AA32" s="1131">
        <v>94.38</v>
      </c>
      <c r="AB32" s="1131">
        <v>103.67</v>
      </c>
      <c r="AC32" s="1131"/>
      <c r="AD32" s="1131"/>
      <c r="AE32" s="1131"/>
      <c r="AO32" s="26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</row>
    <row r="33" spans="1:191" s="79" customFormat="1">
      <c r="A33" s="1008" t="s">
        <v>23</v>
      </c>
      <c r="B33" s="2319"/>
      <c r="C33" s="2320" t="s">
        <v>27</v>
      </c>
      <c r="D33" s="1150">
        <v>18</v>
      </c>
      <c r="E33" s="1150"/>
      <c r="F33" s="1150">
        <v>6.33</v>
      </c>
      <c r="G33" s="2321">
        <v>16.5</v>
      </c>
      <c r="H33" s="2322">
        <v>10.66</v>
      </c>
      <c r="I33" s="1150">
        <v>12.67</v>
      </c>
      <c r="J33" s="1150">
        <v>5</v>
      </c>
      <c r="K33" s="2323">
        <v>9.66</v>
      </c>
      <c r="L33" s="1117">
        <v>11.33</v>
      </c>
      <c r="M33" s="1118">
        <v>17.670000000000002</v>
      </c>
      <c r="N33" s="1269">
        <v>3</v>
      </c>
      <c r="O33" s="2489">
        <v>21.5</v>
      </c>
      <c r="P33" s="1203">
        <v>1.1299999999999999</v>
      </c>
      <c r="Q33" s="1119">
        <v>9</v>
      </c>
      <c r="R33" s="1119">
        <v>28</v>
      </c>
      <c r="S33" s="1120">
        <v>22</v>
      </c>
      <c r="T33" s="1203"/>
      <c r="U33" s="1119"/>
      <c r="V33" s="1119"/>
      <c r="W33" s="1120">
        <v>30</v>
      </c>
      <c r="X33" s="61">
        <v>14.67</v>
      </c>
      <c r="Y33" s="1150">
        <v>16</v>
      </c>
      <c r="Z33" s="1150">
        <v>27.33</v>
      </c>
      <c r="AA33" s="2321">
        <v>18.5</v>
      </c>
      <c r="AB33" s="2321">
        <v>45.67</v>
      </c>
      <c r="AC33" s="2321"/>
      <c r="AD33" s="2321"/>
      <c r="AE33" s="232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  <c r="ED33" s="61"/>
      <c r="EE33" s="61"/>
      <c r="EF33" s="61"/>
      <c r="EG33" s="61"/>
      <c r="EH33" s="61"/>
      <c r="EI33" s="61"/>
      <c r="EJ33" s="61"/>
      <c r="EK33" s="61"/>
      <c r="EL33" s="61"/>
      <c r="EM33" s="61"/>
      <c r="EN33" s="61"/>
      <c r="EO33" s="61"/>
      <c r="EP33" s="61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1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1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1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1"/>
      <c r="GI33" s="61"/>
    </row>
    <row r="34" spans="1:191">
      <c r="A34" s="1199" t="s">
        <v>23</v>
      </c>
      <c r="B34" s="996"/>
      <c r="C34" s="1121" t="s">
        <v>24</v>
      </c>
      <c r="D34" s="1151">
        <v>23.33</v>
      </c>
      <c r="E34" s="1151">
        <v>13.33</v>
      </c>
      <c r="F34" s="1151">
        <v>11</v>
      </c>
      <c r="G34" s="1155">
        <v>16.5</v>
      </c>
      <c r="H34" s="1156">
        <v>9</v>
      </c>
      <c r="I34" s="1151">
        <v>18.329999999999998</v>
      </c>
      <c r="J34" s="1152">
        <v>5.66</v>
      </c>
      <c r="K34" s="1204">
        <v>9.33</v>
      </c>
      <c r="L34" s="1125">
        <v>13</v>
      </c>
      <c r="M34" s="1126">
        <v>14.67</v>
      </c>
      <c r="N34" s="1274">
        <v>12</v>
      </c>
      <c r="O34" s="2490">
        <v>10</v>
      </c>
      <c r="P34" s="1046">
        <v>10.33</v>
      </c>
      <c r="Q34" s="1127">
        <v>13</v>
      </c>
      <c r="R34" s="1127">
        <v>11</v>
      </c>
      <c r="S34" s="1128">
        <v>24</v>
      </c>
      <c r="T34" s="1046"/>
      <c r="U34" s="1127"/>
      <c r="V34" s="1127"/>
      <c r="W34" s="1128">
        <v>39.67</v>
      </c>
      <c r="X34" s="120">
        <v>25</v>
      </c>
      <c r="Y34" s="1151">
        <v>61.5</v>
      </c>
      <c r="Z34" s="1151">
        <v>36.67</v>
      </c>
      <c r="AA34" s="1155">
        <v>41.04</v>
      </c>
      <c r="AB34" s="1155">
        <v>60.67</v>
      </c>
      <c r="AC34" s="1155"/>
      <c r="AD34" s="1155"/>
      <c r="AE34" s="1155"/>
      <c r="AO34" s="26"/>
    </row>
    <row r="35" spans="1:191" ht="15.75" thickBot="1">
      <c r="A35" s="1205" t="s">
        <v>23</v>
      </c>
      <c r="B35" s="997">
        <f>COUNTA(C35:C37)</f>
        <v>3</v>
      </c>
      <c r="C35" s="1129" t="s">
        <v>32</v>
      </c>
      <c r="D35" s="1130">
        <v>23</v>
      </c>
      <c r="E35" s="1130">
        <v>9.33</v>
      </c>
      <c r="F35" s="1130">
        <v>13</v>
      </c>
      <c r="G35" s="1131">
        <v>30</v>
      </c>
      <c r="H35" s="1132">
        <v>16</v>
      </c>
      <c r="I35" s="1130">
        <v>17</v>
      </c>
      <c r="J35" s="1133">
        <v>5.33</v>
      </c>
      <c r="K35" s="1206">
        <v>9</v>
      </c>
      <c r="L35" s="1135">
        <v>11</v>
      </c>
      <c r="M35" s="1136">
        <v>7</v>
      </c>
      <c r="N35" s="1365">
        <v>7</v>
      </c>
      <c r="O35" s="2488">
        <v>4.5</v>
      </c>
      <c r="P35" s="886">
        <v>0.96</v>
      </c>
      <c r="Q35" s="633">
        <v>9</v>
      </c>
      <c r="R35" s="633">
        <v>16</v>
      </c>
      <c r="S35" s="634">
        <v>26</v>
      </c>
      <c r="T35" s="886"/>
      <c r="U35" s="633"/>
      <c r="V35" s="633"/>
      <c r="W35" s="634">
        <v>22.33</v>
      </c>
      <c r="X35" s="120">
        <v>38.67</v>
      </c>
      <c r="Y35" s="1130">
        <v>35</v>
      </c>
      <c r="Z35" s="1130">
        <v>23.67</v>
      </c>
      <c r="AA35" s="1131">
        <v>29.84</v>
      </c>
      <c r="AB35" s="1131">
        <v>81.67</v>
      </c>
      <c r="AC35" s="1131"/>
      <c r="AD35" s="1131"/>
      <c r="AE35" s="1131"/>
      <c r="AO35" s="26"/>
    </row>
    <row r="36" spans="1:191">
      <c r="A36" s="1023" t="s">
        <v>6</v>
      </c>
      <c r="B36" s="995"/>
      <c r="C36" s="1111" t="s">
        <v>11</v>
      </c>
      <c r="D36" s="1149">
        <v>3</v>
      </c>
      <c r="E36" s="1149">
        <v>2</v>
      </c>
      <c r="F36" s="1149">
        <v>2</v>
      </c>
      <c r="G36" s="1200">
        <v>2</v>
      </c>
      <c r="H36" s="1201">
        <v>2</v>
      </c>
      <c r="I36" s="1149">
        <v>2</v>
      </c>
      <c r="J36" s="1150">
        <v>2</v>
      </c>
      <c r="K36" s="1202">
        <v>9</v>
      </c>
      <c r="L36" s="1117">
        <v>1</v>
      </c>
      <c r="M36" s="1118">
        <v>12</v>
      </c>
      <c r="N36" s="1269">
        <v>154</v>
      </c>
      <c r="O36" s="2489"/>
      <c r="P36" s="1203"/>
      <c r="Q36" s="1119"/>
      <c r="R36" s="1119"/>
      <c r="S36" s="1120">
        <v>6</v>
      </c>
      <c r="T36" s="1203"/>
      <c r="U36" s="1119"/>
      <c r="V36" s="1119"/>
      <c r="W36" s="1120">
        <v>6</v>
      </c>
      <c r="X36" s="120">
        <v>10</v>
      </c>
      <c r="Y36" s="1149">
        <v>31</v>
      </c>
      <c r="Z36" s="1149">
        <v>6</v>
      </c>
      <c r="AA36" s="1200">
        <v>13.25</v>
      </c>
      <c r="AB36" s="1200">
        <v>4</v>
      </c>
      <c r="AC36" s="1200"/>
      <c r="AD36" s="1200"/>
      <c r="AE36" s="1200"/>
      <c r="AO36" s="26"/>
    </row>
    <row r="37" spans="1:191">
      <c r="A37" s="1199" t="s">
        <v>6</v>
      </c>
      <c r="B37" s="996">
        <f>COUNTA(C37:C41)</f>
        <v>5</v>
      </c>
      <c r="C37" s="1121" t="s">
        <v>10</v>
      </c>
      <c r="D37" s="1151">
        <v>2.5</v>
      </c>
      <c r="E37" s="1151">
        <v>1</v>
      </c>
      <c r="F37" s="1151">
        <v>1</v>
      </c>
      <c r="G37" s="1155">
        <v>1</v>
      </c>
      <c r="H37" s="1156">
        <v>2</v>
      </c>
      <c r="I37" s="1151">
        <v>2</v>
      </c>
      <c r="J37" s="1152">
        <v>2</v>
      </c>
      <c r="K37" s="1204">
        <v>7</v>
      </c>
      <c r="L37" s="1125">
        <v>1</v>
      </c>
      <c r="M37" s="1126">
        <v>3</v>
      </c>
      <c r="N37" s="1274">
        <v>157</v>
      </c>
      <c r="O37" s="2490"/>
      <c r="P37" s="1046"/>
      <c r="Q37" s="1127"/>
      <c r="R37" s="1127"/>
      <c r="S37" s="1128">
        <v>5</v>
      </c>
      <c r="T37" s="1046"/>
      <c r="U37" s="1127"/>
      <c r="V37" s="1127"/>
      <c r="W37" s="1128">
        <v>6</v>
      </c>
      <c r="X37" s="120">
        <v>9</v>
      </c>
      <c r="Y37" s="1151">
        <v>15</v>
      </c>
      <c r="Z37" s="1151">
        <v>6</v>
      </c>
      <c r="AA37" s="1155">
        <v>8.25</v>
      </c>
      <c r="AB37" s="1155">
        <v>5</v>
      </c>
      <c r="AC37" s="1155"/>
      <c r="AD37" s="1155"/>
      <c r="AE37" s="1155"/>
      <c r="AO37" s="26"/>
    </row>
    <row r="38" spans="1:191">
      <c r="A38" s="1199" t="s">
        <v>6</v>
      </c>
      <c r="B38" s="996"/>
      <c r="C38" s="1121" t="s">
        <v>20</v>
      </c>
      <c r="D38" s="1151">
        <v>3.5</v>
      </c>
      <c r="E38" s="1151">
        <v>2</v>
      </c>
      <c r="F38" s="1151">
        <v>3</v>
      </c>
      <c r="G38" s="1155">
        <v>2</v>
      </c>
      <c r="H38" s="1156">
        <v>3</v>
      </c>
      <c r="I38" s="1151">
        <v>2</v>
      </c>
      <c r="J38" s="1152">
        <v>3</v>
      </c>
      <c r="K38" s="1204">
        <v>8</v>
      </c>
      <c r="L38" s="1125">
        <v>1</v>
      </c>
      <c r="M38" s="1126">
        <v>2</v>
      </c>
      <c r="N38" s="1274">
        <v>142</v>
      </c>
      <c r="O38" s="2490"/>
      <c r="P38" s="1046"/>
      <c r="Q38" s="1127"/>
      <c r="R38" s="1127"/>
      <c r="S38" s="1128">
        <v>4</v>
      </c>
      <c r="T38" s="1046"/>
      <c r="U38" s="1127"/>
      <c r="V38" s="1127"/>
      <c r="W38" s="1128">
        <v>4</v>
      </c>
      <c r="X38" s="120">
        <v>8</v>
      </c>
      <c r="Y38" s="1151">
        <v>14</v>
      </c>
      <c r="Z38" s="1151">
        <v>2</v>
      </c>
      <c r="AA38" s="1155">
        <v>7</v>
      </c>
      <c r="AB38" s="1155">
        <v>3</v>
      </c>
      <c r="AC38" s="1155"/>
      <c r="AD38" s="1155"/>
      <c r="AE38" s="1155"/>
      <c r="AO38" s="26"/>
    </row>
    <row r="39" spans="1:191">
      <c r="A39" s="1199" t="s">
        <v>6</v>
      </c>
      <c r="B39" s="996"/>
      <c r="C39" s="1121" t="s">
        <v>14</v>
      </c>
      <c r="D39" s="1151">
        <v>2</v>
      </c>
      <c r="E39" s="1151">
        <v>2</v>
      </c>
      <c r="F39" s="1151">
        <v>1</v>
      </c>
      <c r="G39" s="1155">
        <v>2</v>
      </c>
      <c r="H39" s="1156">
        <v>2</v>
      </c>
      <c r="I39" s="1151">
        <v>1</v>
      </c>
      <c r="J39" s="1152">
        <v>8</v>
      </c>
      <c r="K39" s="1204">
        <v>9</v>
      </c>
      <c r="L39" s="1125">
        <v>2</v>
      </c>
      <c r="M39" s="1126">
        <v>2</v>
      </c>
      <c r="N39" s="1274">
        <v>166</v>
      </c>
      <c r="O39" s="2490"/>
      <c r="P39" s="1046"/>
      <c r="Q39" s="1127"/>
      <c r="R39" s="1127"/>
      <c r="S39" s="1128">
        <v>4</v>
      </c>
      <c r="T39" s="1046"/>
      <c r="U39" s="1127"/>
      <c r="V39" s="1127"/>
      <c r="W39" s="1128">
        <v>4</v>
      </c>
      <c r="X39" s="120">
        <v>6</v>
      </c>
      <c r="Y39" s="1151">
        <v>19</v>
      </c>
      <c r="Z39" s="1151">
        <v>2</v>
      </c>
      <c r="AA39" s="1155">
        <v>8.25</v>
      </c>
      <c r="AB39" s="1155">
        <v>3</v>
      </c>
      <c r="AC39" s="1155"/>
      <c r="AD39" s="1155"/>
      <c r="AE39" s="1155"/>
      <c r="AO39" s="26"/>
    </row>
    <row r="40" spans="1:191" ht="15.75" thickBot="1">
      <c r="A40" s="1205" t="s">
        <v>6</v>
      </c>
      <c r="B40" s="997"/>
      <c r="C40" s="1129" t="s">
        <v>7</v>
      </c>
      <c r="D40" s="1130">
        <v>2</v>
      </c>
      <c r="E40" s="1130">
        <v>1</v>
      </c>
      <c r="F40" s="1130">
        <v>2</v>
      </c>
      <c r="G40" s="1131">
        <v>2</v>
      </c>
      <c r="H40" s="1132">
        <v>5</v>
      </c>
      <c r="I40" s="1130">
        <v>1</v>
      </c>
      <c r="J40" s="1133">
        <v>3</v>
      </c>
      <c r="K40" s="1206">
        <v>7</v>
      </c>
      <c r="L40" s="1135">
        <v>2</v>
      </c>
      <c r="M40" s="1136">
        <v>2</v>
      </c>
      <c r="N40" s="1365">
        <v>145</v>
      </c>
      <c r="O40" s="2488"/>
      <c r="P40" s="886"/>
      <c r="Q40" s="633"/>
      <c r="R40" s="633"/>
      <c r="S40" s="634">
        <v>7</v>
      </c>
      <c r="T40" s="886"/>
      <c r="U40" s="633"/>
      <c r="V40" s="633"/>
      <c r="W40" s="634">
        <v>6</v>
      </c>
      <c r="X40" s="120">
        <v>9</v>
      </c>
      <c r="Y40" s="1130">
        <v>40</v>
      </c>
      <c r="Z40" s="1130">
        <v>5</v>
      </c>
      <c r="AA40" s="1131">
        <v>14.5</v>
      </c>
      <c r="AB40" s="1131">
        <v>4</v>
      </c>
      <c r="AC40" s="1131"/>
      <c r="AD40" s="1131"/>
      <c r="AE40" s="1131"/>
      <c r="AO40" s="26"/>
    </row>
    <row r="41" spans="1:191">
      <c r="A41" s="1023" t="s">
        <v>28</v>
      </c>
      <c r="B41" s="995"/>
      <c r="C41" s="1111" t="s">
        <v>36</v>
      </c>
      <c r="D41" s="1149">
        <v>20</v>
      </c>
      <c r="E41" s="1149">
        <v>4</v>
      </c>
      <c r="F41" s="1149">
        <v>7</v>
      </c>
      <c r="G41" s="1200">
        <v>4</v>
      </c>
      <c r="H41" s="1201">
        <v>8</v>
      </c>
      <c r="I41" s="1149">
        <v>14</v>
      </c>
      <c r="J41" s="1150">
        <v>9</v>
      </c>
      <c r="K41" s="1202">
        <v>4</v>
      </c>
      <c r="L41" s="1117">
        <v>12</v>
      </c>
      <c r="M41" s="1118">
        <v>16</v>
      </c>
      <c r="N41" s="1269">
        <v>8</v>
      </c>
      <c r="O41" s="2489">
        <v>6</v>
      </c>
      <c r="P41" s="1241">
        <v>85</v>
      </c>
      <c r="Q41" s="1119">
        <v>6</v>
      </c>
      <c r="R41" s="1119">
        <v>12</v>
      </c>
      <c r="S41" s="1120">
        <v>3</v>
      </c>
      <c r="T41" s="1241"/>
      <c r="U41" s="1119"/>
      <c r="V41" s="1119"/>
      <c r="W41" s="1120">
        <v>10</v>
      </c>
      <c r="X41" s="120">
        <v>66</v>
      </c>
      <c r="Y41" s="1149">
        <v>35</v>
      </c>
      <c r="Z41" s="1149">
        <v>33</v>
      </c>
      <c r="AA41" s="1200">
        <v>38</v>
      </c>
      <c r="AB41" s="1200">
        <v>33</v>
      </c>
      <c r="AC41" s="1200"/>
      <c r="AD41" s="1200"/>
      <c r="AE41" s="1200"/>
      <c r="AO41" s="26"/>
    </row>
    <row r="42" spans="1:191">
      <c r="A42" s="1199" t="s">
        <v>28</v>
      </c>
      <c r="B42" s="996">
        <f>COUNTA(C42:C44)</f>
        <v>3</v>
      </c>
      <c r="C42" s="1121" t="s">
        <v>35</v>
      </c>
      <c r="D42" s="1151">
        <v>12</v>
      </c>
      <c r="E42" s="1151">
        <v>44</v>
      </c>
      <c r="F42" s="1151">
        <v>5</v>
      </c>
      <c r="G42" s="1155">
        <v>4</v>
      </c>
      <c r="H42" s="1156">
        <v>13</v>
      </c>
      <c r="I42" s="1151">
        <v>11</v>
      </c>
      <c r="J42" s="1152">
        <v>10</v>
      </c>
      <c r="K42" s="1204">
        <v>15</v>
      </c>
      <c r="L42" s="1125">
        <v>21</v>
      </c>
      <c r="M42" s="1126">
        <v>7</v>
      </c>
      <c r="N42" s="1274">
        <v>10</v>
      </c>
      <c r="O42" s="2490">
        <v>15</v>
      </c>
      <c r="P42" s="1183">
        <v>17</v>
      </c>
      <c r="Q42" s="1127">
        <v>11</v>
      </c>
      <c r="R42" s="1127">
        <v>23</v>
      </c>
      <c r="S42" s="1128">
        <v>3</v>
      </c>
      <c r="T42" s="1183"/>
      <c r="U42" s="1127"/>
      <c r="V42" s="1127"/>
      <c r="W42" s="1128">
        <v>19</v>
      </c>
      <c r="X42" s="120">
        <v>17</v>
      </c>
      <c r="Y42" s="1151">
        <v>24</v>
      </c>
      <c r="Z42" s="1151">
        <v>37</v>
      </c>
      <c r="AA42" s="1155">
        <v>26</v>
      </c>
      <c r="AB42" s="1155">
        <v>68</v>
      </c>
      <c r="AC42" s="1155"/>
      <c r="AD42" s="1155"/>
      <c r="AE42" s="1155"/>
      <c r="AO42" s="26"/>
    </row>
    <row r="43" spans="1:191" ht="15.75" thickBot="1">
      <c r="A43" s="1205" t="s">
        <v>28</v>
      </c>
      <c r="B43" s="997"/>
      <c r="C43" s="1129" t="s">
        <v>29</v>
      </c>
      <c r="D43" s="1130">
        <v>8</v>
      </c>
      <c r="E43" s="1130">
        <v>4</v>
      </c>
      <c r="F43" s="1130">
        <v>5</v>
      </c>
      <c r="G43" s="1131">
        <v>4</v>
      </c>
      <c r="H43" s="1132">
        <v>7</v>
      </c>
      <c r="I43" s="1130">
        <v>5</v>
      </c>
      <c r="J43" s="1133">
        <v>10</v>
      </c>
      <c r="K43" s="1206">
        <v>11</v>
      </c>
      <c r="L43" s="1135">
        <v>14</v>
      </c>
      <c r="M43" s="1136">
        <v>5</v>
      </c>
      <c r="N43" s="1365">
        <v>6</v>
      </c>
      <c r="O43" s="2488">
        <v>28</v>
      </c>
      <c r="P43" s="1184">
        <v>90</v>
      </c>
      <c r="Q43" s="633">
        <v>145</v>
      </c>
      <c r="R43" s="633">
        <v>10</v>
      </c>
      <c r="S43" s="634">
        <v>3</v>
      </c>
      <c r="T43" s="1184"/>
      <c r="U43" s="633"/>
      <c r="V43" s="633"/>
      <c r="W43" s="634">
        <v>7</v>
      </c>
      <c r="X43" s="120">
        <v>12</v>
      </c>
      <c r="Y43" s="1130">
        <v>39</v>
      </c>
      <c r="Z43" s="1130">
        <v>16</v>
      </c>
      <c r="AA43" s="1131">
        <v>20.25</v>
      </c>
      <c r="AB43" s="1131">
        <v>39</v>
      </c>
      <c r="AC43" s="1131"/>
      <c r="AD43" s="1131"/>
      <c r="AE43" s="1131"/>
      <c r="AO43" s="26"/>
    </row>
    <row r="44" spans="1:191">
      <c r="A44" s="1023" t="s">
        <v>8</v>
      </c>
      <c r="B44" s="995">
        <f>COUNTA(C44:C46)</f>
        <v>3</v>
      </c>
      <c r="C44" s="1161" t="s">
        <v>9</v>
      </c>
      <c r="D44" s="1149">
        <v>2</v>
      </c>
      <c r="E44" s="1149">
        <v>1</v>
      </c>
      <c r="F44" s="1149">
        <v>1</v>
      </c>
      <c r="G44" s="1200">
        <v>6</v>
      </c>
      <c r="H44" s="1201">
        <v>9</v>
      </c>
      <c r="I44" s="1149">
        <v>1</v>
      </c>
      <c r="J44" s="1150">
        <v>2</v>
      </c>
      <c r="K44" s="1212">
        <v>1</v>
      </c>
      <c r="L44" s="1117">
        <v>3</v>
      </c>
      <c r="M44" s="1118">
        <v>3</v>
      </c>
      <c r="N44" s="1269">
        <v>2</v>
      </c>
      <c r="O44" s="2489">
        <v>2</v>
      </c>
      <c r="P44" s="1241">
        <v>3</v>
      </c>
      <c r="Q44" s="1119">
        <v>2</v>
      </c>
      <c r="R44" s="1119">
        <v>2</v>
      </c>
      <c r="S44" s="1120">
        <v>2</v>
      </c>
      <c r="T44" s="1241"/>
      <c r="U44" s="1119"/>
      <c r="V44" s="1119"/>
      <c r="W44" s="1120">
        <v>3</v>
      </c>
      <c r="X44" s="120">
        <v>3</v>
      </c>
      <c r="Y44" s="1149">
        <v>4</v>
      </c>
      <c r="Z44" s="1149">
        <v>5</v>
      </c>
      <c r="AA44" s="1200">
        <v>3.75</v>
      </c>
      <c r="AB44" s="1200">
        <v>4</v>
      </c>
      <c r="AC44" s="1200"/>
      <c r="AD44" s="1200"/>
      <c r="AE44" s="1200"/>
      <c r="AO44" s="26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</row>
    <row r="45" spans="1:191">
      <c r="A45" s="1199" t="s">
        <v>8</v>
      </c>
      <c r="B45" s="996"/>
      <c r="C45" s="1163" t="s">
        <v>271</v>
      </c>
      <c r="D45" s="1151">
        <v>1</v>
      </c>
      <c r="E45" s="1151">
        <v>2</v>
      </c>
      <c r="F45" s="1151">
        <v>1</v>
      </c>
      <c r="G45" s="1155">
        <v>1</v>
      </c>
      <c r="H45" s="1156">
        <v>12</v>
      </c>
      <c r="I45" s="1151">
        <v>1</v>
      </c>
      <c r="J45" s="1152">
        <v>5</v>
      </c>
      <c r="K45" s="1213">
        <v>1</v>
      </c>
      <c r="L45" s="1125">
        <v>3</v>
      </c>
      <c r="M45" s="1126">
        <v>2</v>
      </c>
      <c r="N45" s="1274">
        <v>3</v>
      </c>
      <c r="O45" s="2490">
        <v>2</v>
      </c>
      <c r="P45" s="1183">
        <v>2</v>
      </c>
      <c r="Q45" s="1127">
        <v>2</v>
      </c>
      <c r="R45" s="1127">
        <v>2</v>
      </c>
      <c r="S45" s="1128">
        <v>3</v>
      </c>
      <c r="T45" s="1183"/>
      <c r="U45" s="1127"/>
      <c r="V45" s="1127"/>
      <c r="W45" s="1128">
        <v>4</v>
      </c>
      <c r="X45" s="120">
        <v>4</v>
      </c>
      <c r="Y45" s="1151">
        <v>4</v>
      </c>
      <c r="Z45" s="1151">
        <v>3</v>
      </c>
      <c r="AA45" s="1155">
        <v>4</v>
      </c>
      <c r="AB45" s="1155">
        <v>7</v>
      </c>
      <c r="AC45" s="1155"/>
      <c r="AD45" s="1155"/>
      <c r="AE45" s="1155"/>
      <c r="AO45" s="26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</row>
    <row r="46" spans="1:191" ht="15.75" thickBot="1">
      <c r="A46" s="1205" t="s">
        <v>8</v>
      </c>
      <c r="B46" s="997"/>
      <c r="C46" s="1165" t="s">
        <v>13</v>
      </c>
      <c r="D46" s="1130">
        <v>2</v>
      </c>
      <c r="E46" s="1130">
        <v>2</v>
      </c>
      <c r="F46" s="1130">
        <v>3</v>
      </c>
      <c r="G46" s="1131">
        <v>1</v>
      </c>
      <c r="H46" s="1132">
        <v>2</v>
      </c>
      <c r="I46" s="1130">
        <v>1</v>
      </c>
      <c r="J46" s="1133">
        <v>2</v>
      </c>
      <c r="K46" s="1214">
        <v>2</v>
      </c>
      <c r="L46" s="1135">
        <v>1</v>
      </c>
      <c r="M46" s="1136">
        <v>1</v>
      </c>
      <c r="N46" s="1365">
        <v>1</v>
      </c>
      <c r="O46" s="2488">
        <v>2</v>
      </c>
      <c r="P46" s="1184">
        <v>2</v>
      </c>
      <c r="Q46" s="633">
        <v>2</v>
      </c>
      <c r="R46" s="633">
        <v>3</v>
      </c>
      <c r="S46" s="634">
        <v>2</v>
      </c>
      <c r="T46" s="1184"/>
      <c r="U46" s="633"/>
      <c r="V46" s="633"/>
      <c r="W46" s="634">
        <v>2</v>
      </c>
      <c r="X46" s="120">
        <v>3</v>
      </c>
      <c r="Y46" s="1151">
        <v>9</v>
      </c>
      <c r="Z46" s="1130">
        <v>2</v>
      </c>
      <c r="AA46" s="1131">
        <v>4.25</v>
      </c>
      <c r="AB46" s="1131" t="s">
        <v>450</v>
      </c>
      <c r="AC46" s="1131"/>
      <c r="AD46" s="1131"/>
      <c r="AE46" s="1131"/>
      <c r="AO46" s="26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</row>
    <row r="47" spans="1:191" s="4" customFormat="1">
      <c r="A47" s="3526" t="s">
        <v>386</v>
      </c>
      <c r="B47" s="1011">
        <v>4</v>
      </c>
      <c r="C47" s="3253" t="s">
        <v>391</v>
      </c>
      <c r="D47" s="17"/>
      <c r="E47" s="17"/>
      <c r="F47" s="17"/>
      <c r="G47" s="3251"/>
      <c r="H47" s="17"/>
      <c r="I47" s="17"/>
      <c r="J47" s="49"/>
      <c r="K47" s="3252"/>
      <c r="L47" s="143"/>
      <c r="M47" s="143"/>
      <c r="N47" s="143"/>
      <c r="O47" s="143"/>
      <c r="P47" s="61"/>
      <c r="Q47" s="61"/>
      <c r="R47" s="61"/>
      <c r="S47" s="61"/>
      <c r="T47" s="61"/>
      <c r="U47" s="61"/>
      <c r="V47" s="61"/>
      <c r="W47" s="61"/>
      <c r="X47" s="2859"/>
      <c r="Y47" s="3259">
        <v>28</v>
      </c>
      <c r="Z47" s="2861">
        <v>12</v>
      </c>
      <c r="AA47" s="2861">
        <v>13</v>
      </c>
      <c r="AB47" s="2861">
        <v>6</v>
      </c>
      <c r="AC47" s="2861"/>
      <c r="AD47" s="2861"/>
      <c r="AE47" s="2861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</row>
    <row r="48" spans="1:191" s="4" customFormat="1">
      <c r="A48" s="3527"/>
      <c r="B48" s="1108"/>
      <c r="C48" s="3254" t="s">
        <v>392</v>
      </c>
      <c r="D48" s="17"/>
      <c r="E48" s="17"/>
      <c r="F48" s="17"/>
      <c r="G48" s="3251"/>
      <c r="H48" s="17"/>
      <c r="I48" s="17"/>
      <c r="J48" s="49"/>
      <c r="K48" s="3252"/>
      <c r="L48" s="143"/>
      <c r="M48" s="143"/>
      <c r="N48" s="143"/>
      <c r="O48" s="143"/>
      <c r="P48" s="61"/>
      <c r="Q48" s="61"/>
      <c r="R48" s="61"/>
      <c r="S48" s="61"/>
      <c r="T48" s="61"/>
      <c r="U48" s="61"/>
      <c r="V48" s="61"/>
      <c r="W48" s="61"/>
      <c r="X48" s="2862"/>
      <c r="Y48" s="3260">
        <v>34</v>
      </c>
      <c r="Z48" s="2863">
        <v>11</v>
      </c>
      <c r="AA48" s="2863">
        <v>14.75</v>
      </c>
      <c r="AB48" s="2863">
        <v>9</v>
      </c>
      <c r="AC48" s="2863"/>
      <c r="AD48" s="2863"/>
      <c r="AE48" s="2863"/>
      <c r="BF48" s="83"/>
      <c r="BG48" s="83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BW48" s="83"/>
      <c r="BX48" s="83"/>
      <c r="BY48" s="83"/>
      <c r="BZ48" s="83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3"/>
      <c r="CW48" s="83"/>
      <c r="CX48" s="83"/>
      <c r="CY48" s="83"/>
      <c r="CZ48" s="83"/>
      <c r="DA48" s="83"/>
      <c r="DB48" s="83"/>
      <c r="DC48" s="83"/>
      <c r="DD48" s="83"/>
      <c r="DE48" s="83"/>
    </row>
    <row r="49" spans="1:140" s="4" customFormat="1">
      <c r="A49" s="3527"/>
      <c r="B49" s="1108"/>
      <c r="C49" s="3254" t="s">
        <v>393</v>
      </c>
      <c r="D49" s="17"/>
      <c r="E49" s="17"/>
      <c r="F49" s="17"/>
      <c r="G49" s="3251"/>
      <c r="H49" s="17"/>
      <c r="I49" s="17"/>
      <c r="J49" s="49"/>
      <c r="K49" s="3252"/>
      <c r="L49" s="143"/>
      <c r="M49" s="143"/>
      <c r="N49" s="143"/>
      <c r="O49" s="143"/>
      <c r="P49" s="61"/>
      <c r="Q49" s="61"/>
      <c r="R49" s="61"/>
      <c r="S49" s="61"/>
      <c r="T49" s="61"/>
      <c r="U49" s="61"/>
      <c r="V49" s="61"/>
      <c r="W49" s="61"/>
      <c r="X49" s="2862"/>
      <c r="Y49" s="3260">
        <v>23</v>
      </c>
      <c r="Z49" s="2863">
        <v>13</v>
      </c>
      <c r="AA49" s="2863">
        <v>11.25</v>
      </c>
      <c r="AB49" s="2863">
        <v>5</v>
      </c>
      <c r="AC49" s="2863"/>
      <c r="AD49" s="2863"/>
      <c r="AE49" s="2863"/>
      <c r="AG49" s="83"/>
      <c r="AH49" s="83"/>
      <c r="AI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</row>
    <row r="50" spans="1:140" s="4" customFormat="1" ht="15.75" thickBot="1">
      <c r="A50" s="3528"/>
      <c r="B50" s="1110"/>
      <c r="C50" s="3255" t="s">
        <v>394</v>
      </c>
      <c r="D50" s="17"/>
      <c r="E50" s="17"/>
      <c r="F50" s="17"/>
      <c r="G50" s="3251"/>
      <c r="H50" s="17"/>
      <c r="I50" s="17"/>
      <c r="J50" s="49"/>
      <c r="K50" s="3252"/>
      <c r="L50" s="143"/>
      <c r="M50" s="143"/>
      <c r="N50" s="143"/>
      <c r="O50" s="143"/>
      <c r="P50" s="61"/>
      <c r="Q50" s="61"/>
      <c r="R50" s="61"/>
      <c r="S50" s="61"/>
      <c r="T50" s="61"/>
      <c r="U50" s="61"/>
      <c r="V50" s="61"/>
      <c r="W50" s="61"/>
      <c r="X50" s="2864"/>
      <c r="Y50" s="3260">
        <v>25</v>
      </c>
      <c r="Z50" s="2866">
        <v>7</v>
      </c>
      <c r="AA50" s="2866">
        <v>11</v>
      </c>
      <c r="AB50" s="2866">
        <v>5</v>
      </c>
      <c r="AC50" s="2866"/>
      <c r="AD50" s="2866"/>
      <c r="AE50" s="2866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E50" s="50"/>
      <c r="BF50" s="50"/>
      <c r="BG50" s="50"/>
      <c r="BH50" s="83"/>
      <c r="BI50" s="83"/>
      <c r="BJ50" s="83"/>
      <c r="BK50" s="83"/>
      <c r="BL50" s="83"/>
      <c r="BM50" s="83"/>
      <c r="BN50" s="83"/>
      <c r="BO50" s="83"/>
      <c r="BP50" s="83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</row>
    <row r="51" spans="1:140">
      <c r="A51" s="3526" t="s">
        <v>387</v>
      </c>
      <c r="B51" s="1011">
        <v>3</v>
      </c>
      <c r="C51" s="3253" t="s">
        <v>395</v>
      </c>
      <c r="D51" s="17"/>
      <c r="E51" s="17"/>
      <c r="F51" s="17"/>
      <c r="G51" s="3251"/>
      <c r="H51" s="17"/>
      <c r="I51" s="17"/>
      <c r="J51" s="49"/>
      <c r="K51" s="3252"/>
      <c r="L51" s="143"/>
      <c r="M51" s="143"/>
      <c r="N51" s="143"/>
      <c r="O51" s="143"/>
      <c r="P51" s="61"/>
      <c r="Q51" s="61"/>
      <c r="R51" s="61"/>
      <c r="S51" s="61"/>
      <c r="T51" s="61"/>
      <c r="U51" s="61"/>
      <c r="V51" s="61"/>
      <c r="W51" s="61"/>
      <c r="X51" s="2859"/>
      <c r="Y51" s="3259">
        <v>10</v>
      </c>
      <c r="Z51" s="2861">
        <v>3</v>
      </c>
      <c r="AA51" s="2861">
        <v>6.5</v>
      </c>
      <c r="AB51" s="2861"/>
      <c r="AC51" s="2861"/>
      <c r="AD51" s="2861"/>
      <c r="AE51" s="2861"/>
      <c r="AG51" s="61"/>
      <c r="AH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</row>
    <row r="52" spans="1:140" s="2" customFormat="1">
      <c r="A52" s="3527"/>
      <c r="B52" s="1108"/>
      <c r="C52" s="3254" t="s">
        <v>396</v>
      </c>
      <c r="D52" s="17"/>
      <c r="E52" s="17"/>
      <c r="F52" s="17"/>
      <c r="G52" s="3251"/>
      <c r="H52" s="17"/>
      <c r="I52" s="17"/>
      <c r="J52" s="49"/>
      <c r="K52" s="3252"/>
      <c r="L52" s="143"/>
      <c r="M52" s="143"/>
      <c r="N52" s="143"/>
      <c r="O52" s="143"/>
      <c r="P52" s="61"/>
      <c r="Q52" s="61"/>
      <c r="R52" s="61"/>
      <c r="S52" s="61"/>
      <c r="T52" s="61"/>
      <c r="U52" s="61"/>
      <c r="V52" s="61"/>
      <c r="W52" s="61"/>
      <c r="X52" s="2862"/>
      <c r="Y52" s="3260">
        <v>5</v>
      </c>
      <c r="Z52" s="2863">
        <v>3</v>
      </c>
      <c r="AA52" s="2863">
        <v>4.25</v>
      </c>
      <c r="AB52" s="2863"/>
      <c r="AC52" s="2863"/>
      <c r="AD52" s="2863"/>
      <c r="AE52" s="2863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BA52" s="45"/>
      <c r="BB52" s="45"/>
      <c r="BC52" s="45"/>
      <c r="BD52" s="45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CH52" s="132"/>
      <c r="CI52" s="132"/>
      <c r="CJ52" s="132"/>
      <c r="CK52" s="132"/>
      <c r="CL52" s="132"/>
      <c r="CM52" s="132"/>
      <c r="CN52" s="132"/>
      <c r="CO52" s="132"/>
      <c r="CP52" s="132"/>
      <c r="CQ52" s="132"/>
      <c r="CR52" s="132"/>
      <c r="CS52" s="132"/>
      <c r="CT52" s="132"/>
      <c r="CU52" s="132"/>
      <c r="CV52" s="132"/>
      <c r="CW52" s="132"/>
      <c r="CX52" s="132"/>
      <c r="CY52" s="132"/>
      <c r="CZ52" s="132"/>
      <c r="DA52" s="132"/>
      <c r="DB52" s="132"/>
      <c r="DC52" s="132"/>
      <c r="DD52" s="132"/>
    </row>
    <row r="53" spans="1:140" ht="15" customHeight="1" thickBot="1">
      <c r="A53" s="3528"/>
      <c r="B53" s="1110"/>
      <c r="C53" s="3255" t="s">
        <v>397</v>
      </c>
      <c r="D53" s="17"/>
      <c r="E53" s="17"/>
      <c r="F53" s="17"/>
      <c r="G53" s="3251"/>
      <c r="H53" s="17"/>
      <c r="I53" s="17"/>
      <c r="J53" s="49"/>
      <c r="K53" s="3252"/>
      <c r="L53" s="143"/>
      <c r="M53" s="143"/>
      <c r="N53" s="143"/>
      <c r="O53" s="143"/>
      <c r="P53" s="61"/>
      <c r="Q53" s="61"/>
      <c r="R53" s="61"/>
      <c r="S53" s="61"/>
      <c r="T53" s="61"/>
      <c r="U53" s="61"/>
      <c r="V53" s="61"/>
      <c r="W53" s="61"/>
      <c r="X53" s="2864"/>
      <c r="Y53" s="3261">
        <v>11</v>
      </c>
      <c r="Z53" s="2866">
        <v>3</v>
      </c>
      <c r="AA53" s="2866">
        <v>7</v>
      </c>
      <c r="AB53" s="2866"/>
      <c r="AC53" s="2866"/>
      <c r="AD53" s="2866"/>
      <c r="AE53" s="2866"/>
      <c r="AF53" s="67"/>
      <c r="AG53" s="67"/>
      <c r="AH53" s="61"/>
      <c r="AI53" s="61"/>
      <c r="AJ53" s="133"/>
      <c r="AK53" s="133"/>
      <c r="AL53" s="133"/>
      <c r="AM53" s="13"/>
      <c r="AN53" s="61"/>
      <c r="AO53" s="61"/>
      <c r="AP53" s="61"/>
      <c r="AQ53" s="61"/>
      <c r="AR53" s="61"/>
      <c r="AS53" s="133"/>
      <c r="AT53" s="133"/>
      <c r="AU53" s="133"/>
      <c r="AV53" s="13"/>
      <c r="AW53" s="61"/>
      <c r="AX53" s="61"/>
      <c r="BA53" s="26"/>
      <c r="BB53" s="56"/>
      <c r="BC53" s="56"/>
      <c r="BD53" s="56"/>
      <c r="BE53" s="13"/>
      <c r="BF53" s="61"/>
      <c r="BG53" s="61"/>
      <c r="BH53" s="61"/>
      <c r="BI53" s="61"/>
      <c r="BJ53" s="61"/>
      <c r="BK53" s="133"/>
      <c r="BL53" s="133"/>
      <c r="BM53" s="133"/>
      <c r="BN53" s="13"/>
      <c r="BO53" s="61"/>
      <c r="BP53" s="61"/>
      <c r="BQ53" s="61"/>
      <c r="BR53" s="61"/>
      <c r="BS53" s="61"/>
      <c r="BT53" s="133"/>
      <c r="BU53" s="144"/>
      <c r="BV53" s="144"/>
      <c r="BW53" s="133"/>
      <c r="BX53" s="13"/>
      <c r="BY53" s="61"/>
      <c r="BZ53" s="26"/>
      <c r="CA53" s="26"/>
      <c r="CB53" s="26"/>
      <c r="CC53" s="35"/>
      <c r="CD53" s="35"/>
      <c r="CE53" s="35"/>
      <c r="CF53" s="13"/>
      <c r="CG53" s="26"/>
      <c r="CH53" s="61"/>
      <c r="CI53" s="61"/>
      <c r="CJ53" s="61"/>
      <c r="CK53" s="61"/>
      <c r="CL53" s="144"/>
      <c r="CM53" s="133"/>
      <c r="CN53" s="144"/>
      <c r="CO53" s="13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  <c r="ED53" s="61"/>
      <c r="EE53" s="61"/>
      <c r="EF53" s="61"/>
      <c r="EG53" s="61"/>
      <c r="EH53" s="61"/>
      <c r="EI53" s="61"/>
    </row>
    <row r="54" spans="1:140">
      <c r="A54" s="3526" t="s">
        <v>388</v>
      </c>
      <c r="B54" s="1011">
        <v>3</v>
      </c>
      <c r="C54" s="3253" t="s">
        <v>398</v>
      </c>
      <c r="D54" s="17"/>
      <c r="E54" s="17"/>
      <c r="F54" s="17"/>
      <c r="G54" s="3251"/>
      <c r="H54" s="17"/>
      <c r="I54" s="17"/>
      <c r="J54" s="49"/>
      <c r="K54" s="3252"/>
      <c r="L54" s="143"/>
      <c r="M54" s="143"/>
      <c r="N54" s="143"/>
      <c r="O54" s="143"/>
      <c r="P54" s="61"/>
      <c r="Q54" s="61"/>
      <c r="R54" s="61"/>
      <c r="S54" s="61"/>
      <c r="T54" s="61"/>
      <c r="U54" s="61"/>
      <c r="V54" s="61"/>
      <c r="W54" s="61"/>
      <c r="X54" s="2859"/>
      <c r="Y54" s="3259">
        <v>41</v>
      </c>
      <c r="Z54" s="2861">
        <v>10</v>
      </c>
      <c r="AA54" s="2861">
        <v>19.079999999999998</v>
      </c>
      <c r="AB54" s="2861">
        <v>8</v>
      </c>
      <c r="AC54" s="2861"/>
      <c r="AD54" s="2861"/>
      <c r="AE54" s="2861"/>
      <c r="AF54" s="14"/>
      <c r="AG54" s="61"/>
      <c r="AH54" s="61"/>
      <c r="AI54" s="28"/>
      <c r="AJ54" s="134"/>
      <c r="AK54" s="134"/>
      <c r="AL54" s="134"/>
      <c r="AM54" s="14"/>
      <c r="AN54" s="61"/>
      <c r="AO54" s="61"/>
      <c r="AP54" s="61"/>
      <c r="AQ54" s="61"/>
      <c r="AR54" s="28"/>
      <c r="AS54" s="134"/>
      <c r="AT54" s="134"/>
      <c r="AU54" s="134"/>
      <c r="AV54" s="14"/>
      <c r="AW54" s="61"/>
      <c r="AX54" s="61"/>
      <c r="BA54" s="28"/>
      <c r="BB54" s="36"/>
      <c r="BC54" s="36"/>
      <c r="BD54" s="36"/>
      <c r="BE54" s="14"/>
      <c r="BF54" s="61"/>
      <c r="BG54" s="61"/>
      <c r="BH54" s="61"/>
      <c r="BI54" s="61"/>
      <c r="BJ54" s="28"/>
      <c r="BK54" s="134"/>
      <c r="BL54" s="134"/>
      <c r="BM54" s="134"/>
      <c r="BN54" s="14"/>
      <c r="BO54" s="61"/>
      <c r="BP54" s="61"/>
      <c r="BQ54" s="61"/>
      <c r="BR54" s="61"/>
      <c r="BS54" s="28"/>
      <c r="BT54" s="134"/>
      <c r="BU54" s="134"/>
      <c r="BV54" s="134"/>
      <c r="BW54" s="134"/>
      <c r="BX54" s="14"/>
      <c r="BY54" s="61"/>
      <c r="BZ54" s="26"/>
      <c r="CA54" s="26"/>
      <c r="CB54" s="28"/>
      <c r="CC54" s="36"/>
      <c r="CD54" s="36"/>
      <c r="CE54" s="36"/>
      <c r="CF54" s="14"/>
      <c r="CG54" s="26"/>
      <c r="CH54" s="61"/>
      <c r="CI54" s="61"/>
      <c r="CJ54" s="61"/>
      <c r="CK54" s="28"/>
      <c r="CL54" s="134"/>
      <c r="CM54" s="134"/>
      <c r="CN54" s="134"/>
      <c r="CO54" s="14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F54" s="61"/>
      <c r="EG54" s="61"/>
      <c r="EH54" s="61"/>
      <c r="EI54" s="61"/>
    </row>
    <row r="55" spans="1:140">
      <c r="A55" s="3527"/>
      <c r="B55" s="1108"/>
      <c r="C55" s="3254" t="s">
        <v>399</v>
      </c>
      <c r="D55" s="17"/>
      <c r="E55" s="17"/>
      <c r="F55" s="17"/>
      <c r="G55" s="3251"/>
      <c r="H55" s="17"/>
      <c r="I55" s="17"/>
      <c r="J55" s="49"/>
      <c r="K55" s="3252"/>
      <c r="L55" s="143"/>
      <c r="M55" s="143"/>
      <c r="N55" s="143"/>
      <c r="O55" s="143"/>
      <c r="P55" s="61"/>
      <c r="Q55" s="61"/>
      <c r="R55" s="61"/>
      <c r="S55" s="61"/>
      <c r="T55" s="61"/>
      <c r="U55" s="61"/>
      <c r="V55" s="61"/>
      <c r="W55" s="61"/>
      <c r="X55" s="2862"/>
      <c r="Y55" s="3260">
        <v>39.5</v>
      </c>
      <c r="Z55" s="2863">
        <v>15.67</v>
      </c>
      <c r="AA55" s="2863">
        <v>21.13</v>
      </c>
      <c r="AB55" s="2863">
        <v>8.33</v>
      </c>
      <c r="AC55" s="2863"/>
      <c r="AD55" s="2863"/>
      <c r="AE55" s="2863"/>
      <c r="AF55" s="13"/>
      <c r="AG55" s="69"/>
      <c r="AH55" s="61"/>
      <c r="AI55" s="61"/>
      <c r="AJ55" s="69"/>
      <c r="AK55" s="69"/>
      <c r="AL55" s="69"/>
      <c r="AM55" s="14"/>
      <c r="AN55" s="61"/>
      <c r="AO55" s="69"/>
      <c r="AP55" s="61"/>
      <c r="AQ55" s="13"/>
      <c r="AR55" s="13"/>
      <c r="AS55" s="13"/>
      <c r="AT55" s="13"/>
      <c r="AU55" s="61"/>
      <c r="AV55" s="14"/>
      <c r="AW55" s="61"/>
      <c r="AX55" s="61"/>
      <c r="AY55" s="26"/>
      <c r="AZ55" s="17"/>
      <c r="BA55" s="17"/>
      <c r="BB55" s="17"/>
      <c r="BC55" s="14"/>
      <c r="BD55" s="16"/>
      <c r="BE55" s="61"/>
      <c r="BF55" s="13"/>
      <c r="BG55" s="13"/>
      <c r="BH55" s="13"/>
      <c r="BI55" s="13"/>
      <c r="BJ55" s="69"/>
      <c r="BK55" s="14"/>
      <c r="BL55" s="61"/>
      <c r="BM55" s="61"/>
      <c r="BN55" s="61"/>
      <c r="BO55" s="61"/>
      <c r="BP55" s="49"/>
      <c r="BQ55" s="49"/>
      <c r="BR55" s="49"/>
      <c r="BS55" s="49"/>
      <c r="BT55" s="61"/>
      <c r="BU55" s="13"/>
      <c r="BV55" s="13"/>
      <c r="BW55" s="13"/>
      <c r="BX55" s="13"/>
      <c r="BY55" s="49"/>
      <c r="BZ55" s="16"/>
      <c r="CA55" s="16"/>
      <c r="CB55" s="14"/>
      <c r="CC55" s="26"/>
      <c r="CF55" s="26"/>
      <c r="CG55" s="16"/>
      <c r="CH55" s="49"/>
      <c r="CI55" s="61"/>
      <c r="CJ55" s="13"/>
      <c r="CK55" s="13"/>
      <c r="CL55" s="13"/>
      <c r="CM55" s="13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1"/>
      <c r="CY55" s="13"/>
      <c r="CZ55" s="13"/>
      <c r="DA55" s="73"/>
      <c r="DB55" s="13"/>
      <c r="DC55" s="13"/>
      <c r="DD55" s="61"/>
      <c r="DN55" s="61"/>
      <c r="DO55" s="73"/>
      <c r="DP55" s="73"/>
      <c r="DQ55" s="73"/>
      <c r="DR55" s="13"/>
      <c r="DS55" s="61"/>
      <c r="DT55" s="61"/>
      <c r="DU55" s="61"/>
      <c r="DV55" s="61"/>
      <c r="DW55" s="61"/>
      <c r="DX55" s="61"/>
      <c r="DY55" s="61"/>
      <c r="DZ55" s="61"/>
      <c r="EA55" s="61"/>
      <c r="EB55" s="61"/>
      <c r="EC55" s="61"/>
      <c r="ED55" s="73"/>
      <c r="EE55" s="73"/>
      <c r="EF55" s="73"/>
      <c r="EG55" s="13"/>
      <c r="EH55" s="61"/>
      <c r="EI55" s="61"/>
    </row>
    <row r="56" spans="1:140" ht="15.75" thickBot="1">
      <c r="A56" s="3528"/>
      <c r="B56" s="1110"/>
      <c r="C56" s="3255" t="s">
        <v>400</v>
      </c>
      <c r="D56" s="17"/>
      <c r="E56" s="17"/>
      <c r="F56" s="17"/>
      <c r="G56" s="3251"/>
      <c r="H56" s="17"/>
      <c r="I56" s="17"/>
      <c r="J56" s="49"/>
      <c r="K56" s="3252"/>
      <c r="L56" s="143"/>
      <c r="M56" s="143"/>
      <c r="N56" s="143"/>
      <c r="O56" s="143"/>
      <c r="P56" s="61"/>
      <c r="Q56" s="61"/>
      <c r="R56" s="61"/>
      <c r="S56" s="61"/>
      <c r="T56" s="61"/>
      <c r="U56" s="61"/>
      <c r="V56" s="61"/>
      <c r="W56" s="61"/>
      <c r="X56" s="2864"/>
      <c r="Y56" s="3261">
        <v>67</v>
      </c>
      <c r="Z56" s="2866">
        <v>15</v>
      </c>
      <c r="AA56" s="2866">
        <v>30.92</v>
      </c>
      <c r="AB56" s="2866">
        <v>29</v>
      </c>
      <c r="AC56" s="2866"/>
      <c r="AD56" s="2866"/>
      <c r="AE56" s="2866"/>
      <c r="AF56" s="77"/>
      <c r="AG56" s="69"/>
      <c r="AH56" s="61"/>
      <c r="AI56" s="61"/>
      <c r="AJ56" s="69"/>
      <c r="AK56" s="69"/>
      <c r="AL56" s="69"/>
      <c r="AM56" s="14"/>
      <c r="AN56" s="61"/>
      <c r="AO56" s="69"/>
      <c r="AP56" s="28"/>
      <c r="AQ56" s="49"/>
      <c r="AR56" s="49"/>
      <c r="AS56" s="49"/>
      <c r="AT56" s="77"/>
      <c r="AU56" s="61"/>
      <c r="AV56" s="14"/>
      <c r="AW56" s="61"/>
      <c r="AX56" s="61"/>
      <c r="AY56" s="26"/>
      <c r="AZ56" s="17"/>
      <c r="BA56" s="17"/>
      <c r="BB56" s="17"/>
      <c r="BC56" s="14"/>
      <c r="BD56" s="16"/>
      <c r="BE56" s="28"/>
      <c r="BF56" s="49"/>
      <c r="BG56" s="49"/>
      <c r="BH56" s="49"/>
      <c r="BI56" s="77"/>
      <c r="BJ56" s="69"/>
      <c r="BK56" s="14"/>
      <c r="BL56" s="61"/>
      <c r="BM56" s="61"/>
      <c r="BN56" s="61"/>
      <c r="BO56" s="61"/>
      <c r="BP56" s="49"/>
      <c r="BQ56" s="49"/>
      <c r="BR56" s="49"/>
      <c r="BS56" s="49"/>
      <c r="BT56" s="28"/>
      <c r="BU56" s="49"/>
      <c r="BV56" s="49"/>
      <c r="BW56" s="49"/>
      <c r="BX56" s="77"/>
      <c r="BY56" s="49"/>
      <c r="BZ56" s="16"/>
      <c r="CA56" s="16"/>
      <c r="CB56" s="14"/>
      <c r="CC56" s="26"/>
      <c r="CF56" s="26"/>
      <c r="CG56" s="16"/>
      <c r="CH56" s="49"/>
      <c r="CI56" s="28"/>
      <c r="CJ56" s="49"/>
      <c r="CK56" s="49"/>
      <c r="CL56" s="49"/>
      <c r="CM56" s="77"/>
      <c r="CN56" s="61"/>
      <c r="CO56" s="61"/>
      <c r="CP56" s="61"/>
      <c r="CQ56" s="61"/>
      <c r="CR56" s="61"/>
      <c r="CS56" s="61"/>
      <c r="CT56" s="61"/>
      <c r="CU56" s="61"/>
      <c r="CV56" s="61"/>
      <c r="CW56" s="61"/>
      <c r="CX56" s="28"/>
      <c r="CY56" s="49"/>
      <c r="CZ56" s="49"/>
      <c r="DA56" s="49"/>
      <c r="DB56" s="49"/>
      <c r="DC56" s="77"/>
      <c r="DD56" s="61"/>
      <c r="DN56" s="28"/>
      <c r="DO56" s="49"/>
      <c r="DP56" s="49"/>
      <c r="DQ56" s="49"/>
      <c r="DR56" s="77"/>
      <c r="DS56" s="61"/>
      <c r="DT56" s="61"/>
      <c r="DU56" s="61"/>
      <c r="DV56" s="61"/>
      <c r="DW56" s="61"/>
      <c r="DX56" s="61"/>
      <c r="DY56" s="61"/>
      <c r="DZ56" s="61"/>
      <c r="EA56" s="61"/>
      <c r="EB56" s="61"/>
      <c r="EC56" s="28"/>
      <c r="ED56" s="49"/>
      <c r="EE56" s="49"/>
      <c r="EF56" s="49"/>
      <c r="EG56" s="77"/>
      <c r="EH56" s="61"/>
      <c r="EI56" s="61"/>
    </row>
    <row r="57" spans="1:140">
      <c r="A57" s="3526" t="s">
        <v>389</v>
      </c>
      <c r="B57" s="1011">
        <v>3</v>
      </c>
      <c r="C57" s="3253" t="s">
        <v>17</v>
      </c>
      <c r="D57" s="17"/>
      <c r="E57" s="17"/>
      <c r="F57" s="17"/>
      <c r="G57" s="3251"/>
      <c r="H57" s="17"/>
      <c r="I57" s="17"/>
      <c r="J57" s="49"/>
      <c r="K57" s="3252"/>
      <c r="L57" s="143"/>
      <c r="M57" s="143"/>
      <c r="N57" s="143"/>
      <c r="O57" s="143"/>
      <c r="P57" s="61"/>
      <c r="Q57" s="61"/>
      <c r="R57" s="61"/>
      <c r="S57" s="61"/>
      <c r="T57" s="61"/>
      <c r="U57" s="61"/>
      <c r="V57" s="61"/>
      <c r="W57" s="61"/>
      <c r="X57" s="2859"/>
      <c r="Y57" s="3259">
        <v>17.5</v>
      </c>
      <c r="Z57" s="2861">
        <v>12.67</v>
      </c>
      <c r="AA57" s="2861">
        <v>20.96</v>
      </c>
      <c r="AB57" s="2861">
        <v>4.33</v>
      </c>
      <c r="AC57" s="2861"/>
      <c r="AD57" s="2861"/>
      <c r="AE57" s="2861"/>
      <c r="AF57" s="77"/>
      <c r="AG57" s="69"/>
      <c r="AH57" s="61"/>
      <c r="AI57" s="61"/>
      <c r="AJ57" s="69"/>
      <c r="AK57" s="69"/>
      <c r="AL57" s="69"/>
      <c r="AM57" s="14"/>
      <c r="AN57" s="61"/>
      <c r="AO57" s="69"/>
      <c r="AP57" s="78"/>
      <c r="AQ57" s="69"/>
      <c r="AR57" s="69"/>
      <c r="AS57" s="69"/>
      <c r="AT57" s="77"/>
      <c r="AU57" s="61"/>
      <c r="AV57" s="14"/>
      <c r="AW57" s="61"/>
      <c r="AX57" s="61"/>
      <c r="AY57" s="26"/>
      <c r="AZ57" s="17"/>
      <c r="BA57" s="17"/>
      <c r="BB57" s="17"/>
      <c r="BC57" s="14"/>
      <c r="BD57" s="16"/>
      <c r="BE57" s="78"/>
      <c r="BF57" s="69"/>
      <c r="BG57" s="69"/>
      <c r="BH57" s="69"/>
      <c r="BI57" s="77"/>
      <c r="BJ57" s="69"/>
      <c r="BK57" s="14"/>
      <c r="BL57" s="61"/>
      <c r="BM57" s="61"/>
      <c r="BN57" s="61"/>
      <c r="BO57" s="61"/>
      <c r="BP57" s="49"/>
      <c r="BQ57" s="49"/>
      <c r="BR57" s="49"/>
      <c r="BS57" s="49"/>
      <c r="BT57" s="78"/>
      <c r="BU57" s="69"/>
      <c r="BV57" s="69"/>
      <c r="BW57" s="69"/>
      <c r="BX57" s="77"/>
      <c r="BY57" s="49"/>
      <c r="BZ57" s="16"/>
      <c r="CA57" s="16"/>
      <c r="CB57" s="14"/>
      <c r="CC57" s="26"/>
      <c r="CF57" s="26"/>
      <c r="CG57" s="16"/>
      <c r="CH57" s="49"/>
      <c r="CI57" s="78"/>
      <c r="CJ57" s="69"/>
      <c r="CK57" s="69"/>
      <c r="CL57" s="69"/>
      <c r="CM57" s="77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78"/>
      <c r="CY57" s="49"/>
      <c r="CZ57" s="49"/>
      <c r="DA57" s="49"/>
      <c r="DB57" s="49"/>
      <c r="DC57" s="77"/>
      <c r="DD57" s="61"/>
      <c r="DN57" s="78"/>
      <c r="DO57" s="49"/>
      <c r="DP57" s="49"/>
      <c r="DQ57" s="49"/>
      <c r="DR57" s="77"/>
      <c r="DS57" s="61"/>
      <c r="DT57" s="61"/>
      <c r="DU57" s="61"/>
      <c r="DV57" s="61"/>
      <c r="DW57" s="61"/>
      <c r="DX57" s="61"/>
      <c r="DY57" s="61"/>
      <c r="DZ57" s="61"/>
      <c r="EA57" s="61"/>
      <c r="EB57" s="61"/>
      <c r="EC57" s="78"/>
      <c r="ED57" s="49"/>
      <c r="EE57" s="49"/>
      <c r="EF57" s="49"/>
      <c r="EG57" s="77"/>
      <c r="EH57" s="61"/>
      <c r="EI57" s="61"/>
    </row>
    <row r="58" spans="1:140">
      <c r="A58" s="3527"/>
      <c r="B58" s="1108"/>
      <c r="C58" s="3254" t="s">
        <v>401</v>
      </c>
      <c r="D58" s="17"/>
      <c r="E58" s="17"/>
      <c r="F58" s="17"/>
      <c r="G58" s="3251"/>
      <c r="H58" s="17"/>
      <c r="I58" s="17"/>
      <c r="J58" s="49"/>
      <c r="K58" s="3252"/>
      <c r="L58" s="143"/>
      <c r="M58" s="143"/>
      <c r="N58" s="143"/>
      <c r="O58" s="143"/>
      <c r="P58" s="61"/>
      <c r="Q58" s="61"/>
      <c r="R58" s="61"/>
      <c r="S58" s="61"/>
      <c r="T58" s="61"/>
      <c r="U58" s="61"/>
      <c r="V58" s="61"/>
      <c r="W58" s="61"/>
      <c r="X58" s="2862"/>
      <c r="Y58" s="3260">
        <v>20</v>
      </c>
      <c r="Z58" s="2863">
        <v>12.67</v>
      </c>
      <c r="AA58" s="2863">
        <v>12.25</v>
      </c>
      <c r="AB58" s="2863">
        <v>4</v>
      </c>
      <c r="AC58" s="2863"/>
      <c r="AD58" s="2863"/>
      <c r="AE58" s="2863"/>
      <c r="AF58" s="77"/>
      <c r="AG58" s="69"/>
      <c r="AH58" s="61"/>
      <c r="AI58" s="61"/>
      <c r="AJ58" s="69"/>
      <c r="AK58" s="69"/>
      <c r="AL58" s="69"/>
      <c r="AM58" s="14"/>
      <c r="AN58" s="61"/>
      <c r="AO58" s="69"/>
      <c r="AP58" s="78"/>
      <c r="AQ58" s="69"/>
      <c r="AR58" s="69"/>
      <c r="AS58" s="69"/>
      <c r="AT58" s="77"/>
      <c r="AU58" s="61"/>
      <c r="AV58" s="14"/>
      <c r="AW58" s="61"/>
      <c r="AX58" s="61"/>
      <c r="AY58" s="26"/>
      <c r="AZ58" s="17"/>
      <c r="BA58" s="17"/>
      <c r="BB58" s="17"/>
      <c r="BC58" s="14"/>
      <c r="BD58" s="16"/>
      <c r="BE58" s="78"/>
      <c r="BF58" s="69"/>
      <c r="BG58" s="69"/>
      <c r="BH58" s="69"/>
      <c r="BI58" s="77"/>
      <c r="BJ58" s="69"/>
      <c r="BK58" s="14"/>
      <c r="BL58" s="61"/>
      <c r="BM58" s="61"/>
      <c r="BN58" s="61"/>
      <c r="BO58" s="61"/>
      <c r="BP58" s="49"/>
      <c r="BQ58" s="49"/>
      <c r="BR58" s="49"/>
      <c r="BS58" s="49"/>
      <c r="BT58" s="78"/>
      <c r="BU58" s="69"/>
      <c r="BV58" s="69"/>
      <c r="BW58" s="69"/>
      <c r="BX58" s="77"/>
      <c r="BY58" s="49"/>
      <c r="BZ58" s="16"/>
      <c r="CA58" s="16"/>
      <c r="CB58" s="14"/>
      <c r="CC58" s="26"/>
      <c r="CF58" s="26"/>
      <c r="CG58" s="16"/>
      <c r="CH58" s="49"/>
      <c r="CI58" s="78"/>
      <c r="CJ58" s="69"/>
      <c r="CK58" s="69"/>
      <c r="CL58" s="69"/>
      <c r="CM58" s="77"/>
      <c r="CN58" s="61"/>
      <c r="CO58" s="61"/>
      <c r="CP58" s="61"/>
      <c r="CQ58" s="61"/>
      <c r="CR58" s="61"/>
      <c r="CS58" s="61"/>
      <c r="CT58" s="61"/>
      <c r="CU58" s="61"/>
      <c r="CV58" s="61"/>
      <c r="CW58" s="61"/>
      <c r="CX58" s="78"/>
      <c r="CY58" s="49"/>
      <c r="CZ58" s="49"/>
      <c r="DA58" s="49"/>
      <c r="DB58" s="49"/>
      <c r="DC58" s="77"/>
      <c r="DD58" s="61"/>
      <c r="DN58" s="78"/>
      <c r="DO58" s="49"/>
      <c r="DP58" s="49"/>
      <c r="DQ58" s="49"/>
      <c r="DR58" s="77"/>
      <c r="DS58" s="61"/>
      <c r="DT58" s="61"/>
      <c r="DU58" s="61"/>
      <c r="DV58" s="61"/>
      <c r="DW58" s="61"/>
      <c r="DX58" s="61"/>
      <c r="DY58" s="61"/>
      <c r="DZ58" s="61"/>
      <c r="EA58" s="61"/>
      <c r="EB58" s="61"/>
      <c r="EC58" s="78"/>
      <c r="ED58" s="49"/>
      <c r="EE58" s="49"/>
      <c r="EF58" s="49"/>
      <c r="EG58" s="77"/>
      <c r="EH58" s="61"/>
      <c r="EI58" s="61"/>
    </row>
    <row r="59" spans="1:140" ht="15.75" thickBot="1">
      <c r="A59" s="3528"/>
      <c r="B59" s="1110"/>
      <c r="C59" s="3255" t="s">
        <v>402</v>
      </c>
      <c r="D59" s="17"/>
      <c r="E59" s="17"/>
      <c r="F59" s="17"/>
      <c r="G59" s="3251"/>
      <c r="H59" s="17"/>
      <c r="I59" s="17"/>
      <c r="J59" s="49"/>
      <c r="K59" s="3252"/>
      <c r="L59" s="143"/>
      <c r="M59" s="143"/>
      <c r="N59" s="143"/>
      <c r="O59" s="143"/>
      <c r="P59" s="61"/>
      <c r="Q59" s="61"/>
      <c r="R59" s="61"/>
      <c r="S59" s="61"/>
      <c r="T59" s="61"/>
      <c r="U59" s="61"/>
      <c r="V59" s="61"/>
      <c r="W59" s="61"/>
      <c r="X59" s="2864"/>
      <c r="Y59" s="3261">
        <v>31</v>
      </c>
      <c r="Z59" s="2866">
        <v>13.33</v>
      </c>
      <c r="AA59" s="2866">
        <v>16.920000000000002</v>
      </c>
      <c r="AB59" s="2866">
        <v>4.33</v>
      </c>
      <c r="AC59" s="2866"/>
      <c r="AD59" s="2866"/>
      <c r="AE59" s="2866"/>
      <c r="AF59" s="77"/>
      <c r="AG59" s="82"/>
      <c r="AH59" s="61"/>
      <c r="AI59" s="61"/>
      <c r="AJ59" s="82"/>
      <c r="AK59" s="82"/>
      <c r="AL59" s="82"/>
      <c r="AM59" s="14"/>
      <c r="AN59" s="61"/>
      <c r="AO59" s="82"/>
      <c r="AP59" s="78"/>
      <c r="AQ59" s="69"/>
      <c r="AR59" s="69"/>
      <c r="AS59" s="69"/>
      <c r="AT59" s="77"/>
      <c r="AU59" s="61"/>
      <c r="AV59" s="14"/>
      <c r="AW59" s="61"/>
      <c r="AX59" s="61"/>
      <c r="AY59" s="26"/>
      <c r="AZ59" s="18"/>
      <c r="BA59" s="18"/>
      <c r="BB59" s="18"/>
      <c r="BC59" s="14"/>
      <c r="BD59" s="18"/>
      <c r="BE59" s="78"/>
      <c r="BF59" s="69"/>
      <c r="BG59" s="69"/>
      <c r="BH59" s="69"/>
      <c r="BI59" s="77"/>
      <c r="BJ59" s="82"/>
      <c r="BK59" s="14"/>
      <c r="BL59" s="61"/>
      <c r="BM59" s="61"/>
      <c r="BN59" s="61"/>
      <c r="BO59" s="61"/>
      <c r="BP59" s="82"/>
      <c r="BQ59" s="82"/>
      <c r="BR59" s="82"/>
      <c r="BS59" s="82"/>
      <c r="BT59" s="78"/>
      <c r="BU59" s="69"/>
      <c r="BV59" s="69"/>
      <c r="BW59" s="69"/>
      <c r="BX59" s="77"/>
      <c r="BY59" s="82"/>
      <c r="BZ59" s="18"/>
      <c r="CA59" s="18"/>
      <c r="CB59" s="14"/>
      <c r="CC59" s="26"/>
      <c r="CF59" s="26"/>
      <c r="CG59" s="18"/>
      <c r="CH59" s="82"/>
      <c r="CI59" s="78"/>
      <c r="CJ59" s="69"/>
      <c r="CK59" s="69"/>
      <c r="CL59" s="69"/>
      <c r="CM59" s="77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78"/>
      <c r="CY59" s="49"/>
      <c r="CZ59" s="49"/>
      <c r="DA59" s="49"/>
      <c r="DB59" s="49"/>
      <c r="DC59" s="77"/>
      <c r="DD59" s="61"/>
      <c r="DN59" s="78"/>
      <c r="DO59" s="49"/>
      <c r="DP59" s="49"/>
      <c r="DQ59" s="49"/>
      <c r="DR59" s="77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78"/>
      <c r="ED59" s="49"/>
      <c r="EE59" s="49"/>
      <c r="EF59" s="49"/>
      <c r="EG59" s="77"/>
      <c r="EH59" s="61"/>
      <c r="EI59" s="61"/>
    </row>
    <row r="60" spans="1:140">
      <c r="A60" s="3526" t="s">
        <v>390</v>
      </c>
      <c r="B60" s="1108">
        <v>3</v>
      </c>
      <c r="C60" s="3254" t="s">
        <v>393</v>
      </c>
      <c r="D60" s="17"/>
      <c r="E60" s="17"/>
      <c r="F60" s="17"/>
      <c r="G60" s="3251"/>
      <c r="H60" s="17"/>
      <c r="I60" s="17"/>
      <c r="J60" s="49"/>
      <c r="K60" s="3252"/>
      <c r="L60" s="143"/>
      <c r="M60" s="143"/>
      <c r="N60" s="143"/>
      <c r="O60" s="143"/>
      <c r="P60" s="61"/>
      <c r="Q60" s="61"/>
      <c r="R60" s="61"/>
      <c r="S60" s="61"/>
      <c r="T60" s="61"/>
      <c r="U60" s="61"/>
      <c r="V60" s="61"/>
      <c r="W60" s="61"/>
      <c r="X60" s="2862"/>
      <c r="Y60" s="3259">
        <v>2</v>
      </c>
      <c r="Z60" s="2863">
        <v>3</v>
      </c>
      <c r="AA60" s="2926">
        <v>4</v>
      </c>
      <c r="AB60" s="2926"/>
      <c r="AC60" s="2926"/>
      <c r="AD60" s="2926"/>
      <c r="AE60" s="2926"/>
      <c r="AF60" s="77"/>
      <c r="AG60" s="14"/>
      <c r="AH60" s="61"/>
      <c r="AI60" s="61"/>
      <c r="AJ60" s="14"/>
      <c r="AK60" s="14"/>
      <c r="AL60" s="14"/>
      <c r="AM60" s="14"/>
      <c r="AN60" s="61"/>
      <c r="AO60" s="14"/>
      <c r="AP60" s="78"/>
      <c r="AQ60" s="69"/>
      <c r="AR60" s="69"/>
      <c r="AS60" s="69"/>
      <c r="AT60" s="77"/>
      <c r="AU60" s="61"/>
      <c r="AV60" s="14"/>
      <c r="AW60" s="61"/>
      <c r="AX60" s="61"/>
      <c r="AY60" s="26"/>
      <c r="AZ60" s="14"/>
      <c r="BA60" s="14"/>
      <c r="BB60" s="14"/>
      <c r="BC60" s="14"/>
      <c r="BD60" s="30"/>
      <c r="BE60" s="78"/>
      <c r="BF60" s="69"/>
      <c r="BG60" s="69"/>
      <c r="BH60" s="69"/>
      <c r="BI60" s="77"/>
      <c r="BJ60" s="14"/>
      <c r="BK60" s="14"/>
      <c r="BL60" s="61"/>
      <c r="BM60" s="61"/>
      <c r="BN60" s="61"/>
      <c r="BO60" s="61"/>
      <c r="BP60" s="30"/>
      <c r="BQ60" s="30"/>
      <c r="BR60" s="30"/>
      <c r="BS60" s="30"/>
      <c r="BT60" s="78"/>
      <c r="BU60" s="69"/>
      <c r="BV60" s="69"/>
      <c r="BW60" s="69"/>
      <c r="BX60" s="77"/>
      <c r="BY60" s="30"/>
      <c r="BZ60" s="30"/>
      <c r="CA60" s="30"/>
      <c r="CB60" s="14"/>
      <c r="CC60" s="26"/>
      <c r="CF60" s="26"/>
      <c r="CG60" s="30"/>
      <c r="CH60" s="30"/>
      <c r="CI60" s="78"/>
      <c r="CJ60" s="69"/>
      <c r="CK60" s="69"/>
      <c r="CL60" s="69"/>
      <c r="CM60" s="77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78"/>
      <c r="CY60" s="49"/>
      <c r="CZ60" s="49"/>
      <c r="DA60" s="49"/>
      <c r="DB60" s="49"/>
      <c r="DC60" s="77"/>
      <c r="DD60" s="61"/>
      <c r="DN60" s="78"/>
      <c r="DO60" s="49"/>
      <c r="DP60" s="49"/>
      <c r="DQ60" s="49"/>
      <c r="DR60" s="77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78"/>
      <c r="ED60" s="49"/>
      <c r="EE60" s="49"/>
      <c r="EF60" s="49"/>
      <c r="EG60" s="77"/>
      <c r="EH60" s="61"/>
      <c r="EI60" s="61"/>
    </row>
    <row r="61" spans="1:140">
      <c r="A61" s="3527"/>
      <c r="B61" s="1108"/>
      <c r="C61" s="3254" t="s">
        <v>403</v>
      </c>
      <c r="D61" s="17"/>
      <c r="E61" s="17"/>
      <c r="F61" s="17"/>
      <c r="G61" s="3251"/>
      <c r="H61" s="17"/>
      <c r="I61" s="17"/>
      <c r="J61" s="49"/>
      <c r="K61" s="3252"/>
      <c r="L61" s="143"/>
      <c r="M61" s="143"/>
      <c r="N61" s="143"/>
      <c r="O61" s="143"/>
      <c r="P61" s="61"/>
      <c r="Q61" s="61"/>
      <c r="R61" s="61"/>
      <c r="S61" s="61"/>
      <c r="T61" s="61"/>
      <c r="U61" s="61"/>
      <c r="V61" s="61"/>
      <c r="W61" s="61"/>
      <c r="X61" s="2862"/>
      <c r="Y61" s="3260">
        <v>2</v>
      </c>
      <c r="Z61" s="2863">
        <v>4</v>
      </c>
      <c r="AA61" s="2927">
        <v>2</v>
      </c>
      <c r="AB61" s="2927"/>
      <c r="AC61" s="2927"/>
      <c r="AD61" s="2927"/>
      <c r="AE61" s="2927"/>
      <c r="AF61" s="77"/>
      <c r="AG61" s="61"/>
      <c r="AH61" s="61"/>
      <c r="AI61" s="61"/>
      <c r="AJ61" s="14"/>
      <c r="AK61" s="14"/>
      <c r="AL61" s="14"/>
      <c r="AM61" s="14"/>
      <c r="AN61" s="61"/>
      <c r="AO61" s="14"/>
      <c r="AP61" s="78"/>
      <c r="AQ61" s="69"/>
      <c r="AR61" s="69"/>
      <c r="AS61" s="69"/>
      <c r="AT61" s="77"/>
      <c r="AU61" s="61"/>
      <c r="AV61" s="61"/>
      <c r="AW61" s="61"/>
      <c r="AX61" s="61"/>
      <c r="AY61" s="26"/>
      <c r="AZ61" s="14"/>
      <c r="BA61" s="14"/>
      <c r="BB61" s="14"/>
      <c r="BC61" s="14"/>
      <c r="BD61" s="14"/>
      <c r="BE61" s="78"/>
      <c r="BF61" s="69"/>
      <c r="BG61" s="69"/>
      <c r="BH61" s="69"/>
      <c r="BI61" s="77"/>
      <c r="BJ61" s="14"/>
      <c r="BK61" s="14"/>
      <c r="BL61" s="61"/>
      <c r="BM61" s="61"/>
      <c r="BN61" s="61"/>
      <c r="BO61" s="61"/>
      <c r="BP61" s="14"/>
      <c r="BQ61" s="14"/>
      <c r="BR61" s="14"/>
      <c r="BS61" s="14"/>
      <c r="BT61" s="78"/>
      <c r="BU61" s="69"/>
      <c r="BV61" s="69"/>
      <c r="BW61" s="69"/>
      <c r="BX61" s="77"/>
      <c r="BY61" s="14"/>
      <c r="BZ61" s="14"/>
      <c r="CA61" s="14"/>
      <c r="CB61" s="14"/>
      <c r="CC61" s="26"/>
      <c r="CF61" s="26"/>
      <c r="CG61" s="14"/>
      <c r="CH61" s="14"/>
      <c r="CI61" s="78"/>
      <c r="CJ61" s="69"/>
      <c r="CK61" s="69"/>
      <c r="CL61" s="69"/>
      <c r="CM61" s="77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78"/>
      <c r="CY61" s="69"/>
      <c r="CZ61" s="69"/>
      <c r="DA61" s="69"/>
      <c r="DB61" s="69"/>
      <c r="DC61" s="77"/>
      <c r="DD61" s="61"/>
      <c r="DN61" s="78"/>
      <c r="DO61" s="69"/>
      <c r="DP61" s="69"/>
      <c r="DQ61" s="69"/>
      <c r="DR61" s="77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78"/>
      <c r="ED61" s="69"/>
      <c r="EE61" s="69"/>
      <c r="EF61" s="69"/>
      <c r="EG61" s="77"/>
      <c r="EH61" s="61"/>
      <c r="EI61" s="61"/>
    </row>
    <row r="62" spans="1:140" ht="15.75" thickBot="1">
      <c r="A62" s="3528"/>
      <c r="B62" s="1110"/>
      <c r="C62" s="3255" t="s">
        <v>404</v>
      </c>
      <c r="D62" s="17"/>
      <c r="E62" s="17"/>
      <c r="F62" s="17"/>
      <c r="G62" s="3251"/>
      <c r="H62" s="17"/>
      <c r="I62" s="17"/>
      <c r="J62" s="49"/>
      <c r="K62" s="3252"/>
      <c r="L62" s="143"/>
      <c r="M62" s="143"/>
      <c r="N62" s="143"/>
      <c r="O62" s="143"/>
      <c r="P62" s="61"/>
      <c r="Q62" s="61"/>
      <c r="R62" s="61"/>
      <c r="S62" s="61"/>
      <c r="T62" s="61"/>
      <c r="U62" s="61"/>
      <c r="V62" s="61"/>
      <c r="W62" s="61"/>
      <c r="X62" s="2864"/>
      <c r="Y62" s="3261">
        <v>2</v>
      </c>
      <c r="Z62" s="2866">
        <v>4</v>
      </c>
      <c r="AA62" s="2928" t="s">
        <v>448</v>
      </c>
      <c r="AB62" s="2928"/>
      <c r="AC62" s="2928"/>
      <c r="AD62" s="2928"/>
      <c r="AE62" s="2928"/>
      <c r="AF62" s="77"/>
      <c r="AG62" s="61"/>
      <c r="AH62" s="61"/>
      <c r="AI62" s="61"/>
      <c r="AJ62" s="61"/>
      <c r="AK62" s="61"/>
      <c r="AL62" s="61"/>
      <c r="AM62" s="61"/>
      <c r="AN62" s="61"/>
      <c r="AO62" s="61"/>
      <c r="AP62" s="78"/>
      <c r="AQ62" s="69"/>
      <c r="AR62" s="69"/>
      <c r="AS62" s="69"/>
      <c r="AT62" s="77"/>
      <c r="AU62" s="61"/>
      <c r="AV62" s="61"/>
      <c r="AW62" s="61"/>
      <c r="AX62" s="61"/>
      <c r="AY62" s="26"/>
      <c r="AZ62" s="26"/>
      <c r="BA62" s="26"/>
      <c r="BB62" s="26"/>
      <c r="BC62" s="26"/>
      <c r="BD62" s="26"/>
      <c r="BE62" s="78"/>
      <c r="BF62" s="69"/>
      <c r="BG62" s="69"/>
      <c r="BH62" s="69"/>
      <c r="BI62" s="77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78"/>
      <c r="BU62" s="69"/>
      <c r="BV62" s="69"/>
      <c r="BW62" s="69"/>
      <c r="BX62" s="77"/>
      <c r="BY62" s="61"/>
      <c r="BZ62" s="26"/>
      <c r="CA62" s="26"/>
      <c r="CB62" s="26"/>
      <c r="CC62" s="26"/>
      <c r="CF62" s="26"/>
      <c r="CG62" s="26"/>
      <c r="CH62" s="61"/>
      <c r="CI62" s="78"/>
      <c r="CJ62" s="69"/>
      <c r="CK62" s="69"/>
      <c r="CL62" s="69"/>
      <c r="CM62" s="77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78"/>
      <c r="CY62" s="49"/>
      <c r="CZ62" s="49"/>
      <c r="DA62" s="49"/>
      <c r="DB62" s="49"/>
      <c r="DC62" s="77"/>
      <c r="DD62" s="61"/>
      <c r="DN62" s="78"/>
      <c r="DO62" s="49"/>
      <c r="DP62" s="49"/>
      <c r="DQ62" s="49"/>
      <c r="DR62" s="77"/>
      <c r="DS62" s="61"/>
      <c r="DT62" s="61"/>
      <c r="DU62" s="61"/>
      <c r="DV62" s="61"/>
      <c r="DW62" s="61"/>
      <c r="DX62" s="61"/>
      <c r="DY62" s="61"/>
      <c r="DZ62" s="61"/>
      <c r="EA62" s="61"/>
      <c r="EB62" s="61"/>
      <c r="EC62" s="78"/>
      <c r="ED62" s="49"/>
      <c r="EE62" s="49"/>
      <c r="EF62" s="49"/>
      <c r="EG62" s="77"/>
      <c r="EH62" s="61"/>
      <c r="EI62" s="61"/>
    </row>
    <row r="63" spans="1:140">
      <c r="A63" s="114"/>
      <c r="B63" s="114">
        <v>4</v>
      </c>
      <c r="C63" s="775" t="s">
        <v>285</v>
      </c>
      <c r="D63" s="1025">
        <f>COUNTIF(D13:D46,"&lt;=10")</f>
        <v>16</v>
      </c>
      <c r="E63" s="1025">
        <f t="shared" ref="E63:S63" si="0">COUNTIF(E13:E46,"&lt;=10")</f>
        <v>19</v>
      </c>
      <c r="F63" s="1025">
        <f t="shared" si="0"/>
        <v>27</v>
      </c>
      <c r="G63" s="1025">
        <f t="shared" si="0"/>
        <v>23</v>
      </c>
      <c r="H63" s="1025">
        <f t="shared" si="0"/>
        <v>18</v>
      </c>
      <c r="I63" s="1025">
        <f t="shared" si="0"/>
        <v>16</v>
      </c>
      <c r="J63" s="1025">
        <f t="shared" si="0"/>
        <v>24</v>
      </c>
      <c r="K63" s="1025">
        <f t="shared" si="0"/>
        <v>18</v>
      </c>
      <c r="L63" s="1025">
        <f t="shared" si="0"/>
        <v>12</v>
      </c>
      <c r="M63" s="1025">
        <f t="shared" si="0"/>
        <v>16</v>
      </c>
      <c r="N63" s="1025">
        <f t="shared" si="0"/>
        <v>24</v>
      </c>
      <c r="O63" s="1025">
        <f t="shared" si="0"/>
        <v>17</v>
      </c>
      <c r="P63" s="1025">
        <f t="shared" si="0"/>
        <v>9</v>
      </c>
      <c r="Q63" s="1025">
        <f t="shared" si="0"/>
        <v>10</v>
      </c>
      <c r="R63" s="1025">
        <f t="shared" si="0"/>
        <v>10</v>
      </c>
      <c r="S63" s="1025">
        <f t="shared" si="0"/>
        <v>15</v>
      </c>
      <c r="T63" s="1025">
        <f t="shared" ref="T63:X63" si="1">COUNTIF(T13:T46,"&lt;=10")</f>
        <v>0</v>
      </c>
      <c r="U63" s="1025">
        <f t="shared" si="1"/>
        <v>0</v>
      </c>
      <c r="V63" s="1025">
        <f t="shared" si="1"/>
        <v>0</v>
      </c>
      <c r="W63" s="1025">
        <f t="shared" si="1"/>
        <v>14</v>
      </c>
      <c r="X63" s="1025">
        <f t="shared" si="1"/>
        <v>12</v>
      </c>
      <c r="Y63" s="1025">
        <f>COUNTIF(Y13:Y62,"&lt;=10")</f>
        <v>11</v>
      </c>
      <c r="Z63" s="1025">
        <f>COUNTIF(Z13:Z46,"&lt;=7")</f>
        <v>10</v>
      </c>
      <c r="AA63" s="1025">
        <f>COUNTIF(AA13:AA62,"&lt;=7")</f>
        <v>12</v>
      </c>
      <c r="AB63" s="1025">
        <f t="shared" ref="AB63:AE63" si="2">COUNTIF(AB13:AB62,"&lt;=7")</f>
        <v>16</v>
      </c>
      <c r="AC63" s="1025">
        <f t="shared" si="2"/>
        <v>0</v>
      </c>
      <c r="AD63" s="1025">
        <f t="shared" si="2"/>
        <v>0</v>
      </c>
      <c r="AE63" s="1025">
        <f t="shared" si="2"/>
        <v>0</v>
      </c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78"/>
      <c r="AR63" s="14"/>
      <c r="AS63" s="14"/>
      <c r="AT63" s="14"/>
      <c r="AU63" s="61"/>
      <c r="AV63" s="61"/>
      <c r="AW63" s="61"/>
      <c r="AX63" s="61"/>
      <c r="AY63" s="61"/>
      <c r="AZ63" s="26"/>
      <c r="BA63" s="26"/>
      <c r="BB63" s="26"/>
      <c r="BC63" s="26"/>
      <c r="BD63" s="26"/>
      <c r="BE63" s="26"/>
      <c r="BF63" s="78"/>
      <c r="BG63" s="38"/>
      <c r="BH63" s="38"/>
      <c r="BI63" s="38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78"/>
      <c r="BV63" s="38"/>
      <c r="BW63" s="38"/>
      <c r="BX63" s="38"/>
      <c r="BY63" s="61"/>
      <c r="BZ63" s="61"/>
      <c r="CA63" s="26"/>
      <c r="CB63" s="26"/>
      <c r="CC63" s="26"/>
      <c r="CD63" s="26"/>
      <c r="CI63" s="61"/>
      <c r="CJ63" s="78"/>
      <c r="CK63" s="38"/>
      <c r="CL63" s="38"/>
      <c r="CM63" s="38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  <c r="CY63" s="78"/>
      <c r="CZ63" s="38"/>
      <c r="DA63" s="38"/>
      <c r="DB63" s="38"/>
      <c r="DC63" s="61"/>
      <c r="DD63" s="61"/>
      <c r="DE63" s="61"/>
      <c r="DO63" s="78"/>
      <c r="DP63" s="38"/>
      <c r="DQ63" s="38"/>
      <c r="DR63" s="38"/>
      <c r="DS63" s="61"/>
      <c r="DT63" s="61"/>
      <c r="DU63" s="61"/>
      <c r="DV63" s="61"/>
      <c r="DW63" s="61"/>
      <c r="DX63" s="61"/>
      <c r="DY63" s="61"/>
      <c r="DZ63" s="61"/>
      <c r="EA63" s="61"/>
      <c r="EB63" s="61"/>
      <c r="EC63" s="61"/>
      <c r="ED63" s="78"/>
      <c r="EE63" s="38"/>
      <c r="EF63" s="38"/>
      <c r="EG63" s="38"/>
      <c r="EH63" s="61"/>
      <c r="EI63" s="61"/>
      <c r="EJ63" s="61"/>
    </row>
    <row r="64" spans="1:140">
      <c r="A64" s="114"/>
      <c r="B64" s="114">
        <v>8</v>
      </c>
      <c r="C64" s="775" t="s">
        <v>287</v>
      </c>
      <c r="D64" s="1027">
        <f>COUNT(D13:D46)</f>
        <v>34</v>
      </c>
      <c r="E64" s="1027">
        <f t="shared" ref="E64:S64" si="3">COUNT(E13:E46)</f>
        <v>33</v>
      </c>
      <c r="F64" s="1027">
        <f t="shared" si="3"/>
        <v>34</v>
      </c>
      <c r="G64" s="1027">
        <f t="shared" si="3"/>
        <v>34</v>
      </c>
      <c r="H64" s="1027">
        <f t="shared" si="3"/>
        <v>34</v>
      </c>
      <c r="I64" s="1027">
        <f t="shared" si="3"/>
        <v>34</v>
      </c>
      <c r="J64" s="1027">
        <f t="shared" si="3"/>
        <v>34</v>
      </c>
      <c r="K64" s="1027">
        <f t="shared" si="3"/>
        <v>34</v>
      </c>
      <c r="L64" s="1027">
        <f t="shared" si="3"/>
        <v>31</v>
      </c>
      <c r="M64" s="1027">
        <f t="shared" si="3"/>
        <v>34</v>
      </c>
      <c r="N64" s="1027">
        <f t="shared" si="3"/>
        <v>34</v>
      </c>
      <c r="O64" s="1027">
        <f t="shared" si="3"/>
        <v>29</v>
      </c>
      <c r="P64" s="1027">
        <f t="shared" si="3"/>
        <v>26</v>
      </c>
      <c r="Q64" s="1027">
        <f t="shared" si="3"/>
        <v>29</v>
      </c>
      <c r="R64" s="1027">
        <f t="shared" si="3"/>
        <v>29</v>
      </c>
      <c r="S64" s="1027">
        <f t="shared" si="3"/>
        <v>34</v>
      </c>
      <c r="T64" s="1027">
        <f t="shared" ref="T64:X64" si="4">COUNT(T13:T46)</f>
        <v>13</v>
      </c>
      <c r="U64" s="1027">
        <f t="shared" si="4"/>
        <v>13</v>
      </c>
      <c r="V64" s="1027">
        <f t="shared" si="4"/>
        <v>13</v>
      </c>
      <c r="W64" s="1027">
        <f t="shared" si="4"/>
        <v>34</v>
      </c>
      <c r="X64" s="1027">
        <f t="shared" si="4"/>
        <v>33</v>
      </c>
      <c r="Y64" s="1027">
        <f>COUNT(Y13:Y62)</f>
        <v>49</v>
      </c>
      <c r="Z64" s="1027">
        <f t="shared" ref="Z64:AA64" si="5">COUNT(Z13:Z62)</f>
        <v>49</v>
      </c>
      <c r="AA64" s="1027">
        <f t="shared" si="5"/>
        <v>48</v>
      </c>
      <c r="AB64" s="1027">
        <f t="shared" ref="AB64:AE64" si="6">COUNT(AB13:AB62)</f>
        <v>42</v>
      </c>
      <c r="AC64" s="1027">
        <f t="shared" si="6"/>
        <v>0</v>
      </c>
      <c r="AD64" s="1027">
        <f t="shared" si="6"/>
        <v>0</v>
      </c>
      <c r="AE64" s="1027">
        <f t="shared" si="6"/>
        <v>0</v>
      </c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BB64" s="26"/>
      <c r="BC64" s="26"/>
      <c r="BD64" s="26"/>
      <c r="BE64" s="26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26"/>
      <c r="CB64" s="26"/>
      <c r="CC64" s="26"/>
      <c r="CD64" s="26"/>
      <c r="CE64" s="26"/>
      <c r="CF64" s="26"/>
      <c r="CG64" s="26"/>
      <c r="CH64" s="26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/>
      <c r="CZ64" s="61"/>
      <c r="DA64" s="61"/>
      <c r="DB64" s="61"/>
      <c r="DC64" s="61"/>
      <c r="DD64" s="61"/>
      <c r="DE64" s="61"/>
      <c r="DO64" s="61"/>
      <c r="DP64" s="61"/>
      <c r="DQ64" s="61"/>
      <c r="DR64" s="61"/>
      <c r="DS64" s="61"/>
      <c r="DT64" s="61"/>
      <c r="DU64" s="61"/>
      <c r="DV64" s="61"/>
      <c r="DW64" s="61"/>
      <c r="DX64" s="61"/>
      <c r="DY64" s="61"/>
      <c r="DZ64" s="61"/>
      <c r="EA64" s="61"/>
      <c r="EB64" s="61"/>
      <c r="EC64" s="61"/>
      <c r="ED64" s="61"/>
      <c r="EE64" s="61"/>
      <c r="EF64" s="61"/>
      <c r="EG64" s="61"/>
      <c r="EH64" s="61"/>
      <c r="EI64" s="61"/>
      <c r="EJ64" s="61"/>
    </row>
    <row r="65" spans="1:140">
      <c r="A65" s="114"/>
      <c r="B65" s="114"/>
      <c r="C65" s="775" t="s">
        <v>286</v>
      </c>
      <c r="D65" s="1026">
        <f>D63/D64</f>
        <v>0.47058823529411764</v>
      </c>
      <c r="E65" s="1026">
        <f t="shared" ref="E65:S65" si="7">E63/E64</f>
        <v>0.5757575757575758</v>
      </c>
      <c r="F65" s="1026">
        <f t="shared" si="7"/>
        <v>0.79411764705882348</v>
      </c>
      <c r="G65" s="1026">
        <f t="shared" si="7"/>
        <v>0.67647058823529416</v>
      </c>
      <c r="H65" s="1026">
        <f t="shared" si="7"/>
        <v>0.52941176470588236</v>
      </c>
      <c r="I65" s="1026">
        <f t="shared" si="7"/>
        <v>0.47058823529411764</v>
      </c>
      <c r="J65" s="1026">
        <f t="shared" si="7"/>
        <v>0.70588235294117652</v>
      </c>
      <c r="K65" s="1026">
        <f t="shared" si="7"/>
        <v>0.52941176470588236</v>
      </c>
      <c r="L65" s="1026">
        <f t="shared" si="7"/>
        <v>0.38709677419354838</v>
      </c>
      <c r="M65" s="1026">
        <f t="shared" si="7"/>
        <v>0.47058823529411764</v>
      </c>
      <c r="N65" s="1026">
        <f t="shared" si="7"/>
        <v>0.70588235294117652</v>
      </c>
      <c r="O65" s="1026">
        <f t="shared" si="7"/>
        <v>0.58620689655172409</v>
      </c>
      <c r="P65" s="1026">
        <f t="shared" si="7"/>
        <v>0.34615384615384615</v>
      </c>
      <c r="Q65" s="1026">
        <f t="shared" si="7"/>
        <v>0.34482758620689657</v>
      </c>
      <c r="R65" s="1026">
        <f t="shared" si="7"/>
        <v>0.34482758620689657</v>
      </c>
      <c r="S65" s="1026">
        <f t="shared" si="7"/>
        <v>0.44117647058823528</v>
      </c>
      <c r="T65" s="1026">
        <f t="shared" ref="T65:AA65" si="8">T63/T64</f>
        <v>0</v>
      </c>
      <c r="U65" s="1026">
        <f t="shared" si="8"/>
        <v>0</v>
      </c>
      <c r="V65" s="1026">
        <f t="shared" si="8"/>
        <v>0</v>
      </c>
      <c r="W65" s="1026">
        <f t="shared" si="8"/>
        <v>0.41176470588235292</v>
      </c>
      <c r="X65" s="1026">
        <f t="shared" si="8"/>
        <v>0.36363636363636365</v>
      </c>
      <c r="Y65" s="1026">
        <f t="shared" si="8"/>
        <v>0.22448979591836735</v>
      </c>
      <c r="Z65" s="1026">
        <f t="shared" si="8"/>
        <v>0.20408163265306123</v>
      </c>
      <c r="AA65" s="1026">
        <f t="shared" si="8"/>
        <v>0.25</v>
      </c>
      <c r="AB65" s="1026">
        <f t="shared" ref="AB65:AE65" si="9">AB63/AB64</f>
        <v>0.38095238095238093</v>
      </c>
      <c r="AC65" s="1026" t="e">
        <f t="shared" si="9"/>
        <v>#DIV/0!</v>
      </c>
      <c r="AD65" s="1026" t="e">
        <f t="shared" si="9"/>
        <v>#DIV/0!</v>
      </c>
      <c r="AE65" s="1026" t="e">
        <f t="shared" si="9"/>
        <v>#DIV/0!</v>
      </c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BB65" s="26"/>
      <c r="BC65" s="26"/>
      <c r="BD65" s="26"/>
      <c r="BE65" s="26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26"/>
      <c r="CB65" s="26"/>
      <c r="CC65" s="26"/>
      <c r="CD65" s="26"/>
      <c r="CE65" s="26"/>
      <c r="CF65" s="26"/>
      <c r="CG65" s="26"/>
      <c r="CH65" s="26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  <c r="CY65" s="61"/>
      <c r="CZ65" s="61"/>
      <c r="DA65" s="61"/>
      <c r="DB65" s="61"/>
      <c r="DC65" s="61"/>
      <c r="DD65" s="61"/>
      <c r="DE65" s="61"/>
      <c r="DO65" s="61"/>
      <c r="DP65" s="61"/>
      <c r="DQ65" s="61"/>
      <c r="DR65" s="61"/>
      <c r="DS65" s="61"/>
      <c r="DT65" s="61"/>
      <c r="DU65" s="61"/>
      <c r="DV65" s="61"/>
      <c r="DW65" s="61"/>
      <c r="DX65" s="61"/>
      <c r="DY65" s="61"/>
      <c r="DZ65" s="61"/>
      <c r="EA65" s="61"/>
      <c r="EB65" s="61"/>
      <c r="EC65" s="61"/>
      <c r="ED65" s="61"/>
      <c r="EE65" s="61"/>
      <c r="EF65" s="61"/>
      <c r="EG65" s="61"/>
      <c r="EH65" s="61"/>
      <c r="EI65" s="61"/>
      <c r="EJ65" s="61"/>
    </row>
    <row r="66" spans="1:140">
      <c r="A66" s="776"/>
      <c r="B66" s="1090"/>
      <c r="C66" s="1088" t="s">
        <v>296</v>
      </c>
      <c r="D66" s="1059">
        <f>COUNTA(C13:C62)</f>
        <v>50</v>
      </c>
      <c r="E66" s="1091"/>
      <c r="F66" s="1091"/>
      <c r="G66" s="1091"/>
      <c r="H66" s="1091"/>
      <c r="I66" s="1092"/>
      <c r="J66" s="1091"/>
      <c r="K66" s="1093"/>
      <c r="L66" s="776"/>
      <c r="M66" s="776"/>
      <c r="N66" s="776"/>
      <c r="O66" s="776"/>
      <c r="P66" s="776"/>
      <c r="Q66" s="776"/>
      <c r="R66" s="776"/>
      <c r="S66" s="776"/>
      <c r="T66" s="776"/>
      <c r="U66" s="776"/>
      <c r="V66" s="776"/>
      <c r="W66" s="776"/>
      <c r="X66" s="1058"/>
      <c r="Y66" s="50"/>
      <c r="Z66" s="4"/>
      <c r="AA66" s="50"/>
      <c r="AB66" s="50"/>
      <c r="AC66" s="50"/>
      <c r="AD66" s="50"/>
      <c r="AE66" s="50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BB66" s="26"/>
      <c r="BC66" s="26"/>
      <c r="BD66" s="26"/>
      <c r="BE66" s="26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  <c r="CY66" s="61"/>
      <c r="CZ66" s="61"/>
      <c r="DA66" s="61"/>
      <c r="DB66" s="61"/>
      <c r="DC66" s="61"/>
      <c r="DD66" s="61"/>
      <c r="DE66" s="61"/>
      <c r="DO66" s="61"/>
      <c r="DP66" s="61"/>
      <c r="DQ66" s="61"/>
      <c r="DR66" s="61"/>
      <c r="DS66" s="61"/>
      <c r="DT66" s="61"/>
      <c r="DU66" s="61"/>
      <c r="DV66" s="61"/>
      <c r="DW66" s="61"/>
      <c r="DX66" s="61"/>
      <c r="DY66" s="61"/>
      <c r="DZ66" s="61"/>
      <c r="EA66" s="61"/>
      <c r="EB66" s="61"/>
      <c r="EC66" s="61"/>
      <c r="ED66" s="61"/>
      <c r="EE66" s="61"/>
      <c r="EF66" s="61"/>
      <c r="EG66" s="61"/>
      <c r="EH66" s="61"/>
      <c r="EI66" s="61"/>
      <c r="EJ66" s="61"/>
    </row>
    <row r="67" spans="1:140" ht="15.75" thickBot="1">
      <c r="A67" s="108"/>
      <c r="B67" s="108">
        <f>AVERAGE(B63:B66)</f>
        <v>6</v>
      </c>
      <c r="C67" s="125"/>
      <c r="D67" s="119"/>
      <c r="E67" s="119"/>
      <c r="F67" s="119"/>
      <c r="G67" s="119"/>
      <c r="H67" s="119"/>
      <c r="I67" s="119"/>
      <c r="J67" s="119"/>
      <c r="K67" s="782"/>
      <c r="L67" s="107"/>
      <c r="M67" s="107"/>
      <c r="N67" s="116"/>
      <c r="O67" s="107"/>
      <c r="P67" s="107"/>
      <c r="Q67" s="107"/>
      <c r="R67" s="107"/>
      <c r="S67" s="107"/>
      <c r="T67" s="107"/>
      <c r="U67" s="107"/>
      <c r="V67" s="107"/>
      <c r="W67" s="107"/>
      <c r="X67" s="120"/>
      <c r="Y67" s="26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CI67" s="61"/>
      <c r="CJ67" s="61"/>
      <c r="CK67" s="61"/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  <c r="CY67" s="61"/>
      <c r="CZ67" s="61"/>
      <c r="DA67" s="61"/>
      <c r="DB67" s="61"/>
      <c r="DC67" s="61"/>
      <c r="DD67" s="61"/>
      <c r="DE67" s="61"/>
      <c r="DO67" s="61"/>
      <c r="DP67" s="61"/>
      <c r="DQ67" s="61"/>
      <c r="DR67" s="61"/>
      <c r="DS67" s="61"/>
      <c r="DT67" s="61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1"/>
      <c r="EF67" s="61"/>
      <c r="EG67" s="61"/>
      <c r="EH67" s="61"/>
      <c r="EI67" s="61"/>
      <c r="EJ67" s="61"/>
    </row>
    <row r="68" spans="1:140" ht="15.75" thickBot="1">
      <c r="A68" s="1370" t="s">
        <v>126</v>
      </c>
      <c r="B68" s="1371"/>
      <c r="C68" s="542" t="s">
        <v>168</v>
      </c>
      <c r="D68" s="355">
        <v>10</v>
      </c>
      <c r="E68" s="355">
        <v>10</v>
      </c>
      <c r="F68" s="355">
        <v>10</v>
      </c>
      <c r="G68" s="543">
        <v>10</v>
      </c>
      <c r="H68" s="360">
        <v>10</v>
      </c>
      <c r="I68" s="355">
        <v>10</v>
      </c>
      <c r="J68" s="355">
        <v>10</v>
      </c>
      <c r="K68" s="1215">
        <v>10</v>
      </c>
      <c r="L68" s="360">
        <v>10</v>
      </c>
      <c r="M68" s="355">
        <v>10</v>
      </c>
      <c r="N68" s="355">
        <v>10</v>
      </c>
      <c r="O68" s="356">
        <v>10</v>
      </c>
      <c r="P68" s="360">
        <v>10</v>
      </c>
      <c r="Q68" s="355">
        <v>10</v>
      </c>
      <c r="R68" s="355">
        <v>10</v>
      </c>
      <c r="S68" s="356">
        <v>10</v>
      </c>
      <c r="T68" s="356">
        <v>10</v>
      </c>
      <c r="U68" s="356">
        <v>10</v>
      </c>
      <c r="V68" s="356">
        <v>10</v>
      </c>
      <c r="W68" s="356">
        <v>10</v>
      </c>
      <c r="X68" s="3127">
        <v>10</v>
      </c>
      <c r="Y68" s="3127">
        <v>10</v>
      </c>
      <c r="Z68" s="3127">
        <v>7</v>
      </c>
      <c r="AA68" s="3127">
        <v>7</v>
      </c>
      <c r="AB68" s="3127">
        <v>7</v>
      </c>
      <c r="AC68" s="3127">
        <v>7</v>
      </c>
      <c r="AD68" s="3127">
        <v>7</v>
      </c>
      <c r="AE68" s="3127">
        <v>7</v>
      </c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DO68" s="61"/>
      <c r="DP68" s="61"/>
      <c r="DQ68" s="61"/>
      <c r="DR68" s="61"/>
      <c r="DS68" s="61"/>
      <c r="DT68" s="61"/>
      <c r="DU68" s="61"/>
      <c r="DV68" s="61"/>
      <c r="DW68" s="61"/>
      <c r="DX68" s="61"/>
      <c r="DY68" s="61"/>
      <c r="DZ68" s="61"/>
      <c r="EA68" s="61"/>
      <c r="EB68" s="61"/>
      <c r="EC68" s="61"/>
      <c r="ED68" s="61"/>
      <c r="EE68" s="61"/>
      <c r="EF68" s="61"/>
      <c r="EG68" s="61"/>
      <c r="EH68" s="61"/>
      <c r="EI68" s="61"/>
      <c r="EJ68" s="61"/>
    </row>
    <row r="69" spans="1:140" ht="30">
      <c r="A69" s="1023" t="s">
        <v>42</v>
      </c>
      <c r="B69" s="995"/>
      <c r="C69" s="1161" t="s">
        <v>53</v>
      </c>
      <c r="D69" s="1149">
        <v>15.33</v>
      </c>
      <c r="E69" s="1149">
        <v>17</v>
      </c>
      <c r="F69" s="1149">
        <v>15</v>
      </c>
      <c r="G69" s="1200">
        <v>12</v>
      </c>
      <c r="H69" s="1216">
        <v>18</v>
      </c>
      <c r="I69" s="1217">
        <v>29</v>
      </c>
      <c r="J69" s="1218">
        <v>22</v>
      </c>
      <c r="K69" s="1219">
        <v>28.66</v>
      </c>
      <c r="L69" s="1220">
        <v>22</v>
      </c>
      <c r="M69" s="2037">
        <v>63</v>
      </c>
      <c r="N69" s="2043">
        <v>19</v>
      </c>
      <c r="O69" s="1240"/>
      <c r="P69" s="2570">
        <v>11.67</v>
      </c>
      <c r="Q69" s="1221">
        <v>15.66</v>
      </c>
      <c r="R69" s="1221">
        <v>28.3</v>
      </c>
      <c r="S69" s="1222">
        <v>79.3</v>
      </c>
      <c r="T69" s="2570">
        <v>20</v>
      </c>
      <c r="U69" s="1221">
        <v>34</v>
      </c>
      <c r="V69" s="1221">
        <v>67</v>
      </c>
      <c r="W69" s="1222">
        <v>37</v>
      </c>
      <c r="X69" s="3128">
        <v>21</v>
      </c>
      <c r="Y69" s="3114">
        <v>32.33</v>
      </c>
      <c r="Z69" s="3114">
        <v>28.5</v>
      </c>
      <c r="AA69" s="3114">
        <v>29.67</v>
      </c>
      <c r="AB69" s="3114">
        <v>30.33</v>
      </c>
      <c r="AC69" s="3114"/>
      <c r="AD69" s="3114"/>
      <c r="AE69" s="3114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</row>
    <row r="70" spans="1:140" ht="30">
      <c r="A70" s="1199" t="s">
        <v>42</v>
      </c>
      <c r="B70" s="996"/>
      <c r="C70" s="1163" t="s">
        <v>279</v>
      </c>
      <c r="D70" s="1151" t="s">
        <v>278</v>
      </c>
      <c r="E70" s="1151">
        <v>53</v>
      </c>
      <c r="F70" s="1151">
        <v>125</v>
      </c>
      <c r="G70" s="1155">
        <v>29</v>
      </c>
      <c r="H70" s="1223">
        <v>32</v>
      </c>
      <c r="I70" s="1224">
        <v>178</v>
      </c>
      <c r="J70" s="1225">
        <v>76</v>
      </c>
      <c r="K70" s="1226">
        <v>52.66</v>
      </c>
      <c r="L70" s="1227"/>
      <c r="M70" s="2038">
        <v>121</v>
      </c>
      <c r="N70" s="2044">
        <v>36</v>
      </c>
      <c r="O70" s="1243"/>
      <c r="P70" s="1152">
        <v>180</v>
      </c>
      <c r="Q70" s="1228">
        <v>162.66</v>
      </c>
      <c r="R70" s="1228">
        <v>94</v>
      </c>
      <c r="S70" s="1229">
        <v>115.6</v>
      </c>
      <c r="T70" s="1152">
        <v>173</v>
      </c>
      <c r="U70" s="1228" t="s">
        <v>109</v>
      </c>
      <c r="V70" s="1228">
        <v>181.67</v>
      </c>
      <c r="W70" s="1229">
        <v>264.67</v>
      </c>
      <c r="X70" s="3129">
        <v>270.67</v>
      </c>
      <c r="Y70" s="3114">
        <v>55.67</v>
      </c>
      <c r="Z70" s="3114">
        <v>64</v>
      </c>
      <c r="AA70" s="3114">
        <v>243.67</v>
      </c>
      <c r="AB70" s="3114">
        <v>194.33</v>
      </c>
      <c r="AC70" s="3114"/>
      <c r="AD70" s="3114"/>
      <c r="AE70" s="3114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</row>
    <row r="71" spans="1:140" ht="30">
      <c r="A71" s="1199" t="s">
        <v>42</v>
      </c>
      <c r="B71" s="996">
        <f>COUNTA(C71:C77)</f>
        <v>7</v>
      </c>
      <c r="C71" s="1163" t="s">
        <v>64</v>
      </c>
      <c r="D71" s="1151">
        <v>31.33</v>
      </c>
      <c r="E71" s="1151">
        <v>28</v>
      </c>
      <c r="F71" s="1151">
        <v>17</v>
      </c>
      <c r="G71" s="1155">
        <v>8</v>
      </c>
      <c r="H71" s="1223">
        <v>50</v>
      </c>
      <c r="I71" s="1224">
        <v>46</v>
      </c>
      <c r="J71" s="1225">
        <v>23.33</v>
      </c>
      <c r="K71" s="1226">
        <v>22</v>
      </c>
      <c r="L71" s="1227">
        <v>50.67</v>
      </c>
      <c r="M71" s="2038">
        <v>23</v>
      </c>
      <c r="N71" s="2045">
        <v>23.33</v>
      </c>
      <c r="O71" s="2048"/>
      <c r="P71" s="2571">
        <v>27.67</v>
      </c>
      <c r="Q71" s="1230">
        <v>36.33</v>
      </c>
      <c r="R71" s="1230">
        <v>37</v>
      </c>
      <c r="S71" s="1231">
        <v>29</v>
      </c>
      <c r="T71" s="2571">
        <v>32</v>
      </c>
      <c r="U71" s="1230">
        <v>39.33</v>
      </c>
      <c r="V71" s="1230">
        <v>38.67</v>
      </c>
      <c r="W71" s="1231">
        <v>41.33</v>
      </c>
      <c r="X71" s="3022">
        <v>45</v>
      </c>
      <c r="Y71" s="3114">
        <v>87.67</v>
      </c>
      <c r="Z71" s="3114">
        <v>59.33</v>
      </c>
      <c r="AA71" s="3114">
        <v>82.33</v>
      </c>
      <c r="AB71" s="3114">
        <v>71</v>
      </c>
      <c r="AC71" s="3114"/>
      <c r="AD71" s="3114"/>
      <c r="AE71" s="3114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</row>
    <row r="72" spans="1:140" ht="30">
      <c r="A72" s="1199" t="s">
        <v>42</v>
      </c>
      <c r="B72" s="996"/>
      <c r="C72" s="1163" t="s">
        <v>63</v>
      </c>
      <c r="D72" s="1151">
        <v>24.67</v>
      </c>
      <c r="E72" s="1151">
        <v>23</v>
      </c>
      <c r="F72" s="1151">
        <v>12</v>
      </c>
      <c r="G72" s="1155">
        <v>13.3</v>
      </c>
      <c r="H72" s="1223">
        <v>90</v>
      </c>
      <c r="I72" s="1224">
        <v>31</v>
      </c>
      <c r="J72" s="1225">
        <v>16</v>
      </c>
      <c r="K72" s="1226">
        <v>37</v>
      </c>
      <c r="L72" s="1227">
        <v>55.33</v>
      </c>
      <c r="M72" s="2038">
        <v>25</v>
      </c>
      <c r="N72" s="2045">
        <v>32</v>
      </c>
      <c r="O72" s="2048"/>
      <c r="P72" s="1004">
        <v>94</v>
      </c>
      <c r="Q72" s="1004">
        <v>42.33</v>
      </c>
      <c r="R72" s="1004">
        <v>43</v>
      </c>
      <c r="S72" s="1232">
        <v>94.3</v>
      </c>
      <c r="T72" s="1004">
        <v>78</v>
      </c>
      <c r="U72" s="1004">
        <v>88.33</v>
      </c>
      <c r="V72" s="1004">
        <v>63</v>
      </c>
      <c r="W72" s="1232">
        <v>111.67</v>
      </c>
      <c r="X72" s="3130">
        <v>94</v>
      </c>
      <c r="Y72" s="3114">
        <v>33</v>
      </c>
      <c r="Z72" s="3114">
        <v>64.67</v>
      </c>
      <c r="AA72" s="3114">
        <v>183.67</v>
      </c>
      <c r="AB72" s="3114">
        <v>134.33000000000001</v>
      </c>
      <c r="AC72" s="3114"/>
      <c r="AD72" s="3114"/>
      <c r="AE72" s="3114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</row>
    <row r="73" spans="1:140" ht="30">
      <c r="A73" s="1199" t="s">
        <v>42</v>
      </c>
      <c r="B73" s="996"/>
      <c r="C73" s="1163" t="s">
        <v>62</v>
      </c>
      <c r="D73" s="1151">
        <v>23.33</v>
      </c>
      <c r="E73" s="1151">
        <v>16</v>
      </c>
      <c r="F73" s="1151">
        <v>16</v>
      </c>
      <c r="G73" s="1155">
        <v>18</v>
      </c>
      <c r="H73" s="1223">
        <v>75</v>
      </c>
      <c r="I73" s="1224">
        <v>18</v>
      </c>
      <c r="J73" s="1225">
        <v>20</v>
      </c>
      <c r="K73" s="1226">
        <v>23.33</v>
      </c>
      <c r="L73" s="1227">
        <v>28.67</v>
      </c>
      <c r="M73" s="2038">
        <v>42</v>
      </c>
      <c r="N73" s="2045">
        <v>18.670000000000002</v>
      </c>
      <c r="O73" s="2048"/>
      <c r="P73" s="1172">
        <v>14.67</v>
      </c>
      <c r="Q73" s="1172">
        <v>21</v>
      </c>
      <c r="R73" s="1172">
        <v>28.3</v>
      </c>
      <c r="S73" s="1233">
        <v>25.6</v>
      </c>
      <c r="T73" s="1172">
        <v>26.66</v>
      </c>
      <c r="U73" s="1172">
        <v>40</v>
      </c>
      <c r="V73" s="1172">
        <v>33.67</v>
      </c>
      <c r="W73" s="1233">
        <v>34.33</v>
      </c>
      <c r="X73" s="3131">
        <v>33.67</v>
      </c>
      <c r="Y73" s="3114">
        <v>52</v>
      </c>
      <c r="Z73" s="3114">
        <v>30.33</v>
      </c>
      <c r="AA73" s="3114">
        <v>57.5</v>
      </c>
      <c r="AB73" s="3114">
        <v>39.67</v>
      </c>
      <c r="AC73" s="3114"/>
      <c r="AD73" s="3114"/>
      <c r="AE73" s="3114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</row>
    <row r="74" spans="1:140" ht="30">
      <c r="A74" s="1199" t="s">
        <v>42</v>
      </c>
      <c r="B74" s="996"/>
      <c r="C74" s="1163" t="s">
        <v>43</v>
      </c>
      <c r="D74" s="1151">
        <v>42</v>
      </c>
      <c r="E74" s="1151">
        <v>9</v>
      </c>
      <c r="F74" s="1151">
        <v>14</v>
      </c>
      <c r="G74" s="1155">
        <v>9</v>
      </c>
      <c r="H74" s="1223">
        <v>38</v>
      </c>
      <c r="I74" s="1224">
        <v>13</v>
      </c>
      <c r="J74" s="1225">
        <v>20</v>
      </c>
      <c r="K74" s="1226">
        <v>18.66</v>
      </c>
      <c r="L74" s="1227">
        <v>20.329999999999998</v>
      </c>
      <c r="M74" s="2038">
        <v>28</v>
      </c>
      <c r="N74" s="2045">
        <v>15.33</v>
      </c>
      <c r="O74" s="2048"/>
      <c r="P74" s="1172">
        <v>26</v>
      </c>
      <c r="Q74" s="1172">
        <v>18</v>
      </c>
      <c r="R74" s="1172">
        <v>37.6</v>
      </c>
      <c r="S74" s="1233">
        <v>29</v>
      </c>
      <c r="T74" s="1172">
        <v>22</v>
      </c>
      <c r="U74" s="1172">
        <v>29.33</v>
      </c>
      <c r="V74" s="1172">
        <v>23.33</v>
      </c>
      <c r="W74" s="1233">
        <v>32.67</v>
      </c>
      <c r="X74" s="3131">
        <v>21.67</v>
      </c>
      <c r="Y74" s="3114">
        <v>78</v>
      </c>
      <c r="Z74" s="3114">
        <v>44</v>
      </c>
      <c r="AA74" s="3114">
        <v>29</v>
      </c>
      <c r="AB74" s="3114">
        <v>33.67</v>
      </c>
      <c r="AC74" s="3114"/>
      <c r="AD74" s="3114"/>
      <c r="AE74" s="3114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</row>
    <row r="75" spans="1:140" ht="30.75" thickBot="1">
      <c r="A75" s="1205" t="s">
        <v>42</v>
      </c>
      <c r="B75" s="997"/>
      <c r="C75" s="1165" t="s">
        <v>65</v>
      </c>
      <c r="D75" s="1130">
        <v>59</v>
      </c>
      <c r="E75" s="1130">
        <v>63</v>
      </c>
      <c r="F75" s="1130">
        <v>25</v>
      </c>
      <c r="G75" s="1131">
        <v>33</v>
      </c>
      <c r="H75" s="1234">
        <v>52</v>
      </c>
      <c r="I75" s="1235">
        <v>51</v>
      </c>
      <c r="J75" s="1236">
        <v>17.329999999999998</v>
      </c>
      <c r="K75" s="1237">
        <v>36</v>
      </c>
      <c r="L75" s="1238">
        <v>97.33</v>
      </c>
      <c r="M75" s="2039">
        <v>95</v>
      </c>
      <c r="N75" s="2046">
        <v>37.33</v>
      </c>
      <c r="O75" s="2048"/>
      <c r="P75" s="1175">
        <v>105.33</v>
      </c>
      <c r="Q75" s="1175"/>
      <c r="R75" s="1175">
        <v>83.6</v>
      </c>
      <c r="S75" s="1239">
        <v>125.5</v>
      </c>
      <c r="T75" s="1175">
        <v>163</v>
      </c>
      <c r="U75" s="1175">
        <v>97</v>
      </c>
      <c r="V75" s="1175">
        <v>102</v>
      </c>
      <c r="W75" s="1239">
        <v>123</v>
      </c>
      <c r="X75" s="3131">
        <v>143</v>
      </c>
      <c r="Y75" s="3114">
        <v>23</v>
      </c>
      <c r="Z75" s="3114">
        <v>83</v>
      </c>
      <c r="AA75" s="3114">
        <v>72.67</v>
      </c>
      <c r="AB75" s="3114">
        <v>107.67</v>
      </c>
      <c r="AC75" s="3114"/>
      <c r="AD75" s="3114"/>
      <c r="AE75" s="3114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</row>
    <row r="76" spans="1:140" ht="15.75">
      <c r="A76" s="1023" t="s">
        <v>49</v>
      </c>
      <c r="B76" s="995">
        <f>COUNTA(C76:C84)</f>
        <v>9</v>
      </c>
      <c r="C76" s="1161" t="s">
        <v>59</v>
      </c>
      <c r="D76" s="1149">
        <v>27.33</v>
      </c>
      <c r="E76" s="1149">
        <v>10</v>
      </c>
      <c r="F76" s="1149">
        <v>11</v>
      </c>
      <c r="G76" s="1200">
        <v>11</v>
      </c>
      <c r="H76" s="1201">
        <v>48</v>
      </c>
      <c r="I76" s="1149">
        <v>20</v>
      </c>
      <c r="J76" s="1150">
        <v>16</v>
      </c>
      <c r="K76" s="1202">
        <v>15.33</v>
      </c>
      <c r="L76" s="1240">
        <v>45.33</v>
      </c>
      <c r="M76" s="1207">
        <v>55</v>
      </c>
      <c r="N76" s="2047">
        <v>28</v>
      </c>
      <c r="O76" s="2049"/>
      <c r="P76" s="1169">
        <v>57.33</v>
      </c>
      <c r="Q76" s="1169">
        <v>47</v>
      </c>
      <c r="R76" s="1169">
        <v>34</v>
      </c>
      <c r="S76" s="1242">
        <v>25.66</v>
      </c>
      <c r="T76" s="1169">
        <v>33.33</v>
      </c>
      <c r="U76" s="1169">
        <v>22.67</v>
      </c>
      <c r="V76" s="1169">
        <v>47</v>
      </c>
      <c r="W76" s="1242">
        <v>39</v>
      </c>
      <c r="X76" s="3132">
        <v>42</v>
      </c>
      <c r="Y76" s="3113">
        <v>60</v>
      </c>
      <c r="Z76" s="3331">
        <v>37.33</v>
      </c>
      <c r="AA76" s="3113">
        <v>68.33</v>
      </c>
      <c r="AB76" s="3113">
        <v>82.67</v>
      </c>
      <c r="AC76" s="3113"/>
      <c r="AD76" s="3113"/>
      <c r="AE76" s="3113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</row>
    <row r="77" spans="1:140" ht="15.75">
      <c r="A77" s="1199" t="s">
        <v>49</v>
      </c>
      <c r="B77" s="996"/>
      <c r="C77" s="1163" t="s">
        <v>61</v>
      </c>
      <c r="D77" s="1151">
        <v>23.33</v>
      </c>
      <c r="E77" s="1151">
        <v>11</v>
      </c>
      <c r="F77" s="1151">
        <v>13</v>
      </c>
      <c r="G77" s="1155">
        <v>10</v>
      </c>
      <c r="H77" s="1156">
        <v>50</v>
      </c>
      <c r="I77" s="1151">
        <v>18</v>
      </c>
      <c r="J77" s="1152">
        <v>15.33</v>
      </c>
      <c r="K77" s="1204">
        <v>20.329999999999998</v>
      </c>
      <c r="L77" s="1243">
        <v>45.33</v>
      </c>
      <c r="M77" s="1208">
        <v>55</v>
      </c>
      <c r="N77" s="2045">
        <v>22.33</v>
      </c>
      <c r="O77" s="2048"/>
      <c r="P77" s="1172">
        <v>47.33</v>
      </c>
      <c r="Q77" s="1172">
        <v>36</v>
      </c>
      <c r="R77" s="1172">
        <v>35.299999999999997</v>
      </c>
      <c r="S77" s="1233">
        <v>21.66</v>
      </c>
      <c r="T77" s="1172">
        <v>40</v>
      </c>
      <c r="U77" s="1172">
        <v>35.33</v>
      </c>
      <c r="V77" s="1172">
        <v>45</v>
      </c>
      <c r="W77" s="1233">
        <v>24</v>
      </c>
      <c r="X77" s="3131">
        <v>53.33</v>
      </c>
      <c r="Y77" s="3114">
        <v>47</v>
      </c>
      <c r="Z77" s="3332">
        <v>34.33</v>
      </c>
      <c r="AA77" s="3114">
        <v>45.67</v>
      </c>
      <c r="AB77" s="3114">
        <v>66.67</v>
      </c>
      <c r="AC77" s="3114"/>
      <c r="AD77" s="3114"/>
      <c r="AE77" s="3114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</row>
    <row r="78" spans="1:140" ht="15.75">
      <c r="A78" s="1199" t="s">
        <v>49</v>
      </c>
      <c r="B78" s="996"/>
      <c r="C78" s="1163" t="s">
        <v>52</v>
      </c>
      <c r="D78" s="1151">
        <v>20</v>
      </c>
      <c r="E78" s="1151">
        <v>11</v>
      </c>
      <c r="F78" s="1151">
        <v>18</v>
      </c>
      <c r="G78" s="1155">
        <v>11</v>
      </c>
      <c r="H78" s="1156">
        <v>47</v>
      </c>
      <c r="I78" s="1151">
        <v>20</v>
      </c>
      <c r="J78" s="1152">
        <v>16</v>
      </c>
      <c r="K78" s="1204">
        <v>14</v>
      </c>
      <c r="L78" s="1243">
        <v>30.33</v>
      </c>
      <c r="M78" s="1208">
        <v>23</v>
      </c>
      <c r="N78" s="2045">
        <v>26</v>
      </c>
      <c r="O78" s="2048"/>
      <c r="P78" s="1172">
        <v>38.67</v>
      </c>
      <c r="Q78" s="1172">
        <v>33.67</v>
      </c>
      <c r="R78" s="1172">
        <v>22</v>
      </c>
      <c r="S78" s="1233">
        <v>19</v>
      </c>
      <c r="T78" s="1172">
        <v>30.33</v>
      </c>
      <c r="U78" s="1172">
        <v>21.33</v>
      </c>
      <c r="V78" s="1172">
        <v>30</v>
      </c>
      <c r="W78" s="1233">
        <v>25.67</v>
      </c>
      <c r="X78" s="3131">
        <v>25.33</v>
      </c>
      <c r="Y78" s="3114">
        <v>20</v>
      </c>
      <c r="Z78" s="3332">
        <v>25.33</v>
      </c>
      <c r="AA78" s="3114">
        <v>23</v>
      </c>
      <c r="AB78" s="3114">
        <v>40.67</v>
      </c>
      <c r="AC78" s="3114"/>
      <c r="AD78" s="3114"/>
      <c r="AE78" s="3114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</row>
    <row r="79" spans="1:140" s="4" customFormat="1" ht="15.75">
      <c r="A79" s="1199" t="s">
        <v>49</v>
      </c>
      <c r="B79" s="996"/>
      <c r="C79" s="1163" t="s">
        <v>193</v>
      </c>
      <c r="D79" s="1151">
        <v>33.33</v>
      </c>
      <c r="E79" s="1151">
        <v>31</v>
      </c>
      <c r="F79" s="1151">
        <v>17</v>
      </c>
      <c r="G79" s="1155">
        <v>17</v>
      </c>
      <c r="H79" s="1156">
        <v>47.5</v>
      </c>
      <c r="I79" s="1151">
        <v>26</v>
      </c>
      <c r="J79" s="1152">
        <v>22.67</v>
      </c>
      <c r="K79" s="1204">
        <v>40</v>
      </c>
      <c r="L79" s="1243">
        <v>44</v>
      </c>
      <c r="M79" s="1208">
        <v>34</v>
      </c>
      <c r="N79" s="2045">
        <v>31.33</v>
      </c>
      <c r="O79" s="2048"/>
      <c r="P79" s="1244">
        <v>58.67</v>
      </c>
      <c r="Q79" s="1244">
        <v>39.33</v>
      </c>
      <c r="R79" s="1244">
        <v>25.3</v>
      </c>
      <c r="S79" s="1245">
        <v>32.659999999999997</v>
      </c>
      <c r="T79" s="1244">
        <v>44.67</v>
      </c>
      <c r="U79" s="1244">
        <v>34</v>
      </c>
      <c r="V79" s="1244">
        <v>32</v>
      </c>
      <c r="W79" s="1245">
        <v>37</v>
      </c>
      <c r="X79" s="3023">
        <v>64.33</v>
      </c>
      <c r="Y79" s="3114">
        <v>55</v>
      </c>
      <c r="Z79" s="3332">
        <v>30.33</v>
      </c>
      <c r="AA79" s="3114">
        <v>46.33</v>
      </c>
      <c r="AB79" s="3114">
        <v>64.67</v>
      </c>
      <c r="AC79" s="3114"/>
      <c r="AD79" s="3114"/>
      <c r="AE79" s="3114"/>
      <c r="BF79" s="83"/>
      <c r="BG79" s="83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  <c r="BW79" s="83"/>
      <c r="BX79" s="83"/>
      <c r="BY79" s="83"/>
      <c r="BZ79" s="83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3"/>
      <c r="CW79" s="83"/>
      <c r="CX79" s="83"/>
      <c r="CY79" s="83"/>
      <c r="CZ79" s="83"/>
      <c r="DA79" s="83"/>
      <c r="DB79" s="83"/>
      <c r="DC79" s="83"/>
      <c r="DD79" s="83"/>
      <c r="DE79" s="83"/>
    </row>
    <row r="80" spans="1:140" s="4" customFormat="1" ht="15.75">
      <c r="A80" s="1199" t="s">
        <v>49</v>
      </c>
      <c r="B80" s="996"/>
      <c r="C80" s="1163" t="s">
        <v>50</v>
      </c>
      <c r="D80" s="1151">
        <v>22</v>
      </c>
      <c r="E80" s="1151">
        <v>15</v>
      </c>
      <c r="F80" s="1151">
        <v>15</v>
      </c>
      <c r="G80" s="1155">
        <v>13</v>
      </c>
      <c r="H80" s="1156">
        <v>83</v>
      </c>
      <c r="I80" s="1151">
        <v>20</v>
      </c>
      <c r="J80" s="1152">
        <v>17.329999999999998</v>
      </c>
      <c r="K80" s="1204">
        <v>21.67</v>
      </c>
      <c r="L80" s="1243">
        <v>38.33</v>
      </c>
      <c r="M80" s="1208">
        <v>29</v>
      </c>
      <c r="N80" s="2045">
        <v>38</v>
      </c>
      <c r="O80" s="2048"/>
      <c r="P80" s="1126">
        <v>42.67</v>
      </c>
      <c r="Q80" s="1127">
        <v>28.33</v>
      </c>
      <c r="R80" s="1127">
        <v>76</v>
      </c>
      <c r="S80" s="1128">
        <v>24.66</v>
      </c>
      <c r="T80" s="1126">
        <v>31</v>
      </c>
      <c r="U80" s="1127">
        <v>20.67</v>
      </c>
      <c r="V80" s="1127">
        <v>30.67</v>
      </c>
      <c r="W80" s="1128">
        <v>29.67</v>
      </c>
      <c r="X80" s="2927">
        <v>26.7</v>
      </c>
      <c r="Y80" s="3114">
        <v>24.67</v>
      </c>
      <c r="Z80" s="3332">
        <v>23.67</v>
      </c>
      <c r="AA80" s="3114">
        <v>31</v>
      </c>
      <c r="AB80" s="3114">
        <v>49.33</v>
      </c>
      <c r="AC80" s="3114"/>
      <c r="AD80" s="3114"/>
      <c r="AE80" s="3114"/>
      <c r="BF80" s="83"/>
      <c r="BG80" s="83"/>
      <c r="BH80" s="83"/>
      <c r="BI80" s="83"/>
      <c r="BJ80" s="83"/>
      <c r="BK80" s="83"/>
      <c r="BL80" s="83"/>
      <c r="BM80" s="83"/>
      <c r="BN80" s="83"/>
      <c r="BO80" s="83"/>
      <c r="BP80" s="83"/>
      <c r="BQ80" s="83"/>
      <c r="BR80" s="83"/>
      <c r="BS80" s="83"/>
      <c r="BT80" s="83"/>
      <c r="BU80" s="83"/>
      <c r="BV80" s="83"/>
      <c r="BW80" s="83"/>
      <c r="BX80" s="83"/>
      <c r="BY80" s="83"/>
      <c r="BZ80" s="83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3"/>
      <c r="CW80" s="83"/>
      <c r="CX80" s="83"/>
      <c r="CY80" s="83"/>
      <c r="CZ80" s="83"/>
      <c r="DA80" s="83"/>
      <c r="DB80" s="83"/>
      <c r="DC80" s="83"/>
      <c r="DD80" s="83"/>
      <c r="DE80" s="83"/>
    </row>
    <row r="81" spans="1:109" s="4" customFormat="1" ht="15.75">
      <c r="A81" s="1199" t="s">
        <v>49</v>
      </c>
      <c r="B81" s="996"/>
      <c r="C81" s="1163" t="s">
        <v>57</v>
      </c>
      <c r="D81" s="1151">
        <v>29.33</v>
      </c>
      <c r="E81" s="1151">
        <v>10</v>
      </c>
      <c r="F81" s="1151">
        <v>33</v>
      </c>
      <c r="G81" s="1155">
        <v>5</v>
      </c>
      <c r="H81" s="1156">
        <v>29</v>
      </c>
      <c r="I81" s="1151">
        <v>12</v>
      </c>
      <c r="J81" s="1152">
        <v>10.67</v>
      </c>
      <c r="K81" s="1204">
        <v>30</v>
      </c>
      <c r="L81" s="1243">
        <v>54.67</v>
      </c>
      <c r="M81" s="1208">
        <v>33</v>
      </c>
      <c r="N81" s="2045">
        <v>32.33</v>
      </c>
      <c r="O81" s="2048"/>
      <c r="P81" s="1126">
        <v>46</v>
      </c>
      <c r="Q81" s="1127">
        <v>54.33</v>
      </c>
      <c r="R81" s="1127">
        <v>30</v>
      </c>
      <c r="S81" s="1128">
        <v>23</v>
      </c>
      <c r="T81" s="1126">
        <v>87.33</v>
      </c>
      <c r="U81" s="1127">
        <v>26</v>
      </c>
      <c r="V81" s="1127">
        <v>45.67</v>
      </c>
      <c r="W81" s="1128">
        <v>33.67</v>
      </c>
      <c r="X81" s="2927">
        <v>72.67</v>
      </c>
      <c r="Y81" s="3114">
        <v>26.67</v>
      </c>
      <c r="Z81" s="3332">
        <v>29</v>
      </c>
      <c r="AA81" s="3114">
        <v>47</v>
      </c>
      <c r="AB81" s="3114">
        <v>60.67</v>
      </c>
      <c r="AC81" s="3114"/>
      <c r="AD81" s="3114"/>
      <c r="AE81" s="3114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</row>
    <row r="82" spans="1:109" s="4" customFormat="1" ht="15.75">
      <c r="A82" s="1199" t="s">
        <v>49</v>
      </c>
      <c r="B82" s="996"/>
      <c r="C82" s="1163" t="s">
        <v>58</v>
      </c>
      <c r="D82" s="1151">
        <v>44.67</v>
      </c>
      <c r="E82" s="1151">
        <v>31</v>
      </c>
      <c r="F82" s="1151">
        <v>23</v>
      </c>
      <c r="G82" s="1155">
        <v>30</v>
      </c>
      <c r="H82" s="1156">
        <v>63</v>
      </c>
      <c r="I82" s="1151">
        <v>38</v>
      </c>
      <c r="J82" s="1152">
        <v>19.329999999999998</v>
      </c>
      <c r="K82" s="1204">
        <v>40.67</v>
      </c>
      <c r="L82" s="1243">
        <v>56.67</v>
      </c>
      <c r="M82" s="1208">
        <v>50</v>
      </c>
      <c r="N82" s="2045">
        <v>43.66</v>
      </c>
      <c r="O82" s="2048"/>
      <c r="P82" s="1126">
        <v>62</v>
      </c>
      <c r="Q82" s="1127">
        <v>36.33</v>
      </c>
      <c r="R82" s="1127">
        <v>42.6</v>
      </c>
      <c r="S82" s="1128">
        <v>44</v>
      </c>
      <c r="T82" s="1126">
        <v>70.67</v>
      </c>
      <c r="U82" s="1127">
        <v>48.67</v>
      </c>
      <c r="V82" s="1127">
        <v>32</v>
      </c>
      <c r="W82" s="1128">
        <v>56.33</v>
      </c>
      <c r="X82" s="2927">
        <v>73</v>
      </c>
      <c r="Y82" s="3114">
        <v>58.33</v>
      </c>
      <c r="Z82" s="3332">
        <v>29</v>
      </c>
      <c r="AA82" s="3114">
        <v>73</v>
      </c>
      <c r="AB82" s="3114">
        <v>84</v>
      </c>
      <c r="AC82" s="3114"/>
      <c r="AD82" s="3114"/>
      <c r="AE82" s="3114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F82" s="50"/>
      <c r="BG82" s="50"/>
      <c r="BH82" s="50"/>
      <c r="BI82" s="83"/>
      <c r="BJ82" s="83"/>
      <c r="BK82" s="83"/>
      <c r="BL82" s="83"/>
      <c r="BM82" s="83"/>
      <c r="BN82" s="83"/>
      <c r="BO82" s="83"/>
      <c r="BP82" s="83"/>
      <c r="BQ82" s="83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</row>
    <row r="83" spans="1:109" ht="15.75">
      <c r="A83" s="1199" t="s">
        <v>49</v>
      </c>
      <c r="B83" s="996"/>
      <c r="C83" s="1163" t="s">
        <v>194</v>
      </c>
      <c r="D83" s="1151">
        <v>60</v>
      </c>
      <c r="E83" s="1151">
        <v>40</v>
      </c>
      <c r="F83" s="1151">
        <v>21</v>
      </c>
      <c r="G83" s="1155">
        <v>23</v>
      </c>
      <c r="H83" s="1156">
        <v>59.5</v>
      </c>
      <c r="I83" s="1151">
        <v>46</v>
      </c>
      <c r="J83" s="1152">
        <v>23.33</v>
      </c>
      <c r="K83" s="1204">
        <v>36</v>
      </c>
      <c r="L83" s="1243">
        <v>57.33</v>
      </c>
      <c r="M83" s="1208">
        <v>50</v>
      </c>
      <c r="N83" s="2045">
        <v>38</v>
      </c>
      <c r="O83" s="2048"/>
      <c r="P83" s="1126">
        <v>53.33</v>
      </c>
      <c r="Q83" s="1127">
        <v>43.67</v>
      </c>
      <c r="R83" s="1127">
        <v>39.299999999999997</v>
      </c>
      <c r="S83" s="1128">
        <v>32.33</v>
      </c>
      <c r="T83" s="1126">
        <v>39.67</v>
      </c>
      <c r="U83" s="1127">
        <v>32.67</v>
      </c>
      <c r="V83" s="1127">
        <v>37.33</v>
      </c>
      <c r="W83" s="1128">
        <v>44.67</v>
      </c>
      <c r="X83" s="2927">
        <v>52.67</v>
      </c>
      <c r="Y83" s="3114">
        <v>59.33</v>
      </c>
      <c r="Z83" s="3332">
        <v>26.33</v>
      </c>
      <c r="AA83" s="3114">
        <v>44.33</v>
      </c>
      <c r="AB83" s="3114">
        <v>68.67</v>
      </c>
      <c r="AC83" s="3114"/>
      <c r="AD83" s="3114"/>
      <c r="AE83" s="3114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</row>
    <row r="84" spans="1:109" s="2" customFormat="1" ht="16.5" thickBot="1">
      <c r="A84" s="1205" t="s">
        <v>49</v>
      </c>
      <c r="B84" s="997"/>
      <c r="C84" s="1165" t="s">
        <v>60</v>
      </c>
      <c r="D84" s="1130">
        <v>34.67</v>
      </c>
      <c r="E84" s="1130">
        <v>16</v>
      </c>
      <c r="F84" s="1130">
        <v>32</v>
      </c>
      <c r="G84" s="1131">
        <v>5</v>
      </c>
      <c r="H84" s="1132">
        <v>44</v>
      </c>
      <c r="I84" s="1130">
        <v>18</v>
      </c>
      <c r="J84" s="1133">
        <v>13.33</v>
      </c>
      <c r="K84" s="1206">
        <v>34.33</v>
      </c>
      <c r="L84" s="1246">
        <v>42.33</v>
      </c>
      <c r="M84" s="1209">
        <v>29</v>
      </c>
      <c r="N84" s="2046">
        <v>30</v>
      </c>
      <c r="O84" s="2048"/>
      <c r="P84" s="1126">
        <v>52</v>
      </c>
      <c r="Q84" s="633">
        <v>41.67</v>
      </c>
      <c r="R84" s="633">
        <v>42</v>
      </c>
      <c r="S84" s="634">
        <v>36.299999999999997</v>
      </c>
      <c r="T84" s="1126">
        <v>45.33</v>
      </c>
      <c r="U84" s="633">
        <v>31.67</v>
      </c>
      <c r="V84" s="633">
        <v>53.67</v>
      </c>
      <c r="W84" s="634">
        <v>26</v>
      </c>
      <c r="X84" s="2928">
        <v>44.33</v>
      </c>
      <c r="Y84" s="3115">
        <v>22.67</v>
      </c>
      <c r="Z84" s="3333">
        <v>36.67</v>
      </c>
      <c r="AA84" s="3115">
        <v>47.67</v>
      </c>
      <c r="AB84" s="3115">
        <v>60</v>
      </c>
      <c r="AC84" s="3115"/>
      <c r="AD84" s="3115"/>
      <c r="AE84" s="3115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  <c r="CE84" s="132"/>
      <c r="CF84" s="132"/>
      <c r="CG84" s="132"/>
    </row>
    <row r="85" spans="1:109" ht="15" customHeight="1">
      <c r="A85" s="1023" t="s">
        <v>40</v>
      </c>
      <c r="B85" s="995"/>
      <c r="C85" s="1161" t="s">
        <v>41</v>
      </c>
      <c r="D85" s="1149">
        <v>39</v>
      </c>
      <c r="E85" s="1149">
        <v>26</v>
      </c>
      <c r="F85" s="1149">
        <v>36</v>
      </c>
      <c r="G85" s="1200">
        <v>18</v>
      </c>
      <c r="H85" s="1247">
        <v>27.5</v>
      </c>
      <c r="I85" s="1248">
        <v>58</v>
      </c>
      <c r="J85" s="1249">
        <v>54.67</v>
      </c>
      <c r="K85" s="1250">
        <v>27</v>
      </c>
      <c r="L85" s="1251">
        <v>33</v>
      </c>
      <c r="M85" s="2040">
        <v>24</v>
      </c>
      <c r="N85" s="2047">
        <v>36.33</v>
      </c>
      <c r="O85" s="2049"/>
      <c r="P85" s="396">
        <v>54</v>
      </c>
      <c r="Q85" s="1118">
        <v>77.67</v>
      </c>
      <c r="R85" s="1119">
        <v>29.6</v>
      </c>
      <c r="S85" s="1120">
        <v>34</v>
      </c>
      <c r="T85" s="396">
        <v>42</v>
      </c>
      <c r="U85" s="1118">
        <v>31.67</v>
      </c>
      <c r="V85" s="1119">
        <v>26.67</v>
      </c>
      <c r="W85" s="1120">
        <v>28.33</v>
      </c>
      <c r="X85" s="2926">
        <v>46.33</v>
      </c>
      <c r="Y85" s="3108">
        <v>33</v>
      </c>
      <c r="Z85" s="3108">
        <v>31.67</v>
      </c>
      <c r="AA85" s="3108">
        <v>44.67</v>
      </c>
      <c r="AB85" s="3108">
        <v>54.67</v>
      </c>
      <c r="AC85" s="3108"/>
      <c r="AD85" s="3108"/>
      <c r="AE85" s="3108"/>
      <c r="AF85" s="61"/>
      <c r="AG85" s="61"/>
      <c r="AH85" s="61"/>
      <c r="AI85" s="61"/>
      <c r="AJ85" s="61"/>
      <c r="AK85" s="133"/>
      <c r="AL85" s="133"/>
      <c r="AM85" s="133"/>
      <c r="AN85" s="13"/>
      <c r="AO85" s="61"/>
      <c r="AP85" s="61"/>
      <c r="AQ85" s="61"/>
      <c r="AR85" s="61"/>
      <c r="AS85" s="61"/>
      <c r="AT85" s="133"/>
      <c r="AU85" s="133"/>
      <c r="AV85" s="133"/>
      <c r="AW85" s="13"/>
      <c r="AX85" s="61"/>
      <c r="AY85" s="61"/>
      <c r="AZ85" s="61"/>
      <c r="BA85" s="61"/>
      <c r="BB85" s="61"/>
      <c r="BC85" s="146"/>
      <c r="BD85" s="146"/>
      <c r="BE85" s="146"/>
      <c r="BF85" s="146"/>
      <c r="BG85" s="146"/>
      <c r="BH85" s="13"/>
      <c r="BI85" s="61"/>
      <c r="BJ85" s="61"/>
      <c r="BK85" s="61"/>
      <c r="BL85" s="61"/>
      <c r="BM85" s="145"/>
      <c r="BN85" s="145"/>
      <c r="BO85" s="145"/>
      <c r="BP85" s="13"/>
      <c r="BQ85" s="145"/>
      <c r="BR85" s="61"/>
      <c r="BS85" s="61"/>
      <c r="BT85" s="61"/>
      <c r="BU85" s="61"/>
      <c r="BV85" s="145"/>
      <c r="BW85" s="145"/>
      <c r="BX85" s="13"/>
      <c r="BY85" s="61"/>
      <c r="BZ85" s="61"/>
      <c r="CA85" s="61"/>
      <c r="CB85" s="61"/>
      <c r="CC85" s="61"/>
      <c r="CD85" s="61"/>
      <c r="CE85" s="61"/>
      <c r="CF85" s="61"/>
      <c r="CG85" s="61"/>
    </row>
    <row r="86" spans="1:109" ht="15" customHeight="1">
      <c r="A86" s="1199" t="s">
        <v>40</v>
      </c>
      <c r="B86" s="996"/>
      <c r="C86" s="1163" t="s">
        <v>48</v>
      </c>
      <c r="D86" s="1151">
        <v>26</v>
      </c>
      <c r="E86" s="1151">
        <v>30</v>
      </c>
      <c r="F86" s="1151">
        <v>21</v>
      </c>
      <c r="G86" s="1155">
        <v>33.33</v>
      </c>
      <c r="H86" s="1252">
        <v>50</v>
      </c>
      <c r="I86" s="1253">
        <v>61</v>
      </c>
      <c r="J86" s="1254">
        <v>42.67</v>
      </c>
      <c r="K86" s="1255">
        <v>41</v>
      </c>
      <c r="L86" s="1256">
        <v>60</v>
      </c>
      <c r="M86" s="2041">
        <v>41</v>
      </c>
      <c r="N86" s="2045">
        <v>57.33</v>
      </c>
      <c r="O86" s="2048"/>
      <c r="P86" s="1126">
        <v>85.33</v>
      </c>
      <c r="Q86" s="1126">
        <v>55</v>
      </c>
      <c r="R86" s="1127">
        <v>36.46</v>
      </c>
      <c r="S86" s="1128">
        <v>52</v>
      </c>
      <c r="T86" s="1126">
        <v>58</v>
      </c>
      <c r="U86" s="1126">
        <v>51.67</v>
      </c>
      <c r="V86" s="1127">
        <v>30.67</v>
      </c>
      <c r="W86" s="1128">
        <v>66.33</v>
      </c>
      <c r="X86" s="2927">
        <v>33.67</v>
      </c>
      <c r="Y86" s="3109">
        <v>89.33</v>
      </c>
      <c r="Z86" s="3109">
        <v>37.67</v>
      </c>
      <c r="AA86" s="3109">
        <v>52.33</v>
      </c>
      <c r="AB86" s="3109">
        <v>43.33</v>
      </c>
      <c r="AC86" s="3109"/>
      <c r="AD86" s="3109"/>
      <c r="AE86" s="3109"/>
      <c r="AF86" s="61"/>
      <c r="AG86" s="61"/>
      <c r="AH86" s="61"/>
      <c r="AI86" s="61"/>
      <c r="AJ86" s="61"/>
      <c r="AK86" s="133"/>
      <c r="AL86" s="133"/>
      <c r="AM86" s="133"/>
      <c r="AN86" s="13"/>
      <c r="AO86" s="61"/>
      <c r="AP86" s="61"/>
      <c r="AQ86" s="61"/>
      <c r="AR86" s="61"/>
      <c r="AS86" s="61"/>
      <c r="AT86" s="133"/>
      <c r="AU86" s="133"/>
      <c r="AV86" s="133"/>
      <c r="AW86" s="13"/>
      <c r="AX86" s="61"/>
      <c r="AY86" s="61"/>
      <c r="AZ86" s="61"/>
      <c r="BA86" s="61"/>
      <c r="BB86" s="61"/>
      <c r="BC86" s="146"/>
      <c r="BD86" s="146"/>
      <c r="BE86" s="146"/>
      <c r="BF86" s="146"/>
      <c r="BG86" s="146"/>
      <c r="BH86" s="13"/>
      <c r="BI86" s="61"/>
      <c r="BJ86" s="61"/>
      <c r="BK86" s="61"/>
      <c r="BL86" s="61"/>
      <c r="BM86" s="145"/>
      <c r="BN86" s="145"/>
      <c r="BO86" s="145"/>
      <c r="BP86" s="13"/>
      <c r="BQ86" s="145"/>
      <c r="BR86" s="61"/>
      <c r="BS86" s="61"/>
      <c r="BT86" s="61"/>
      <c r="BU86" s="61"/>
      <c r="BV86" s="145"/>
      <c r="BW86" s="145"/>
      <c r="BX86" s="13"/>
      <c r="BY86" s="61"/>
      <c r="BZ86" s="61"/>
      <c r="CA86" s="61"/>
      <c r="CB86" s="61"/>
      <c r="CC86" s="61"/>
      <c r="CD86" s="61"/>
      <c r="CE86" s="61"/>
      <c r="CF86" s="61"/>
      <c r="CG86" s="61"/>
    </row>
    <row r="87" spans="1:109" ht="15" customHeight="1">
      <c r="A87" s="1199" t="s">
        <v>40</v>
      </c>
      <c r="B87" s="996"/>
      <c r="C87" s="1121" t="s">
        <v>46</v>
      </c>
      <c r="D87" s="1151">
        <v>41</v>
      </c>
      <c r="E87" s="1151">
        <v>30</v>
      </c>
      <c r="F87" s="1151">
        <v>30</v>
      </c>
      <c r="G87" s="1155">
        <v>36</v>
      </c>
      <c r="H87" s="1252">
        <v>34</v>
      </c>
      <c r="I87" s="1253">
        <v>44</v>
      </c>
      <c r="J87" s="1254">
        <v>54</v>
      </c>
      <c r="K87" s="1255">
        <v>33</v>
      </c>
      <c r="L87" s="1256">
        <v>37</v>
      </c>
      <c r="M87" s="2041">
        <v>22</v>
      </c>
      <c r="N87" s="2045">
        <v>33.659999999999997</v>
      </c>
      <c r="O87" s="2048"/>
      <c r="P87" s="1126">
        <v>74</v>
      </c>
      <c r="Q87" s="1126">
        <v>47</v>
      </c>
      <c r="R87" s="1127">
        <v>22.93</v>
      </c>
      <c r="S87" s="1128">
        <v>53.33</v>
      </c>
      <c r="T87" s="1126">
        <v>52</v>
      </c>
      <c r="U87" s="1126">
        <v>50</v>
      </c>
      <c r="V87" s="1127">
        <v>38.67</v>
      </c>
      <c r="W87" s="1128">
        <v>75</v>
      </c>
      <c r="X87" s="2927">
        <v>59</v>
      </c>
      <c r="Y87" s="3109">
        <v>65.33</v>
      </c>
      <c r="Z87" s="3109">
        <v>43.67</v>
      </c>
      <c r="AA87" s="3109">
        <v>41.67</v>
      </c>
      <c r="AB87" s="3109">
        <v>60.67</v>
      </c>
      <c r="AC87" s="3109"/>
      <c r="AD87" s="3109"/>
      <c r="AE87" s="3109"/>
      <c r="AF87" s="61"/>
      <c r="AG87" s="61"/>
      <c r="AH87" s="61"/>
      <c r="AI87" s="61"/>
      <c r="AJ87" s="61"/>
      <c r="AK87" s="133"/>
      <c r="AL87" s="133"/>
      <c r="AM87" s="133"/>
      <c r="AN87" s="13"/>
      <c r="AO87" s="61"/>
      <c r="AP87" s="61"/>
      <c r="AQ87" s="61"/>
      <c r="AR87" s="61"/>
      <c r="AS87" s="61"/>
      <c r="AT87" s="133"/>
      <c r="AU87" s="133"/>
      <c r="AV87" s="133"/>
      <c r="AW87" s="13"/>
      <c r="AX87" s="61"/>
      <c r="AY87" s="61"/>
      <c r="AZ87" s="61"/>
      <c r="BA87" s="61"/>
      <c r="BB87" s="61"/>
      <c r="BC87" s="146"/>
      <c r="BD87" s="146"/>
      <c r="BE87" s="146"/>
      <c r="BF87" s="146"/>
      <c r="BG87" s="146"/>
      <c r="BH87" s="13"/>
      <c r="BI87" s="61"/>
      <c r="BJ87" s="61"/>
      <c r="BK87" s="61"/>
      <c r="BL87" s="61"/>
      <c r="BM87" s="145"/>
      <c r="BN87" s="145"/>
      <c r="BO87" s="145"/>
      <c r="BP87" s="13"/>
      <c r="BQ87" s="145"/>
      <c r="BR87" s="61"/>
      <c r="BS87" s="61"/>
      <c r="BT87" s="61"/>
      <c r="BU87" s="61"/>
      <c r="BV87" s="145"/>
      <c r="BW87" s="145"/>
      <c r="BX87" s="13"/>
      <c r="BY87" s="61"/>
      <c r="BZ87" s="61"/>
      <c r="CA87" s="61"/>
      <c r="CB87" s="61"/>
      <c r="CC87" s="61"/>
      <c r="CD87" s="61"/>
      <c r="CE87" s="61"/>
      <c r="CF87" s="61"/>
      <c r="CG87" s="61"/>
    </row>
    <row r="88" spans="1:109" ht="15.75">
      <c r="A88" s="1199" t="s">
        <v>40</v>
      </c>
      <c r="B88" s="996"/>
      <c r="C88" s="1163" t="s">
        <v>45</v>
      </c>
      <c r="D88" s="1151">
        <v>58</v>
      </c>
      <c r="E88" s="1151">
        <v>20.67</v>
      </c>
      <c r="F88" s="1151">
        <v>49.33</v>
      </c>
      <c r="G88" s="1155">
        <v>26</v>
      </c>
      <c r="H88" s="1252">
        <v>27.5</v>
      </c>
      <c r="I88" s="1253">
        <v>53</v>
      </c>
      <c r="J88" s="1254">
        <v>29.33</v>
      </c>
      <c r="K88" s="1255">
        <v>28</v>
      </c>
      <c r="L88" s="1256">
        <v>61</v>
      </c>
      <c r="M88" s="2041">
        <v>44</v>
      </c>
      <c r="N88" s="2045">
        <v>45.66</v>
      </c>
      <c r="O88" s="2048"/>
      <c r="P88" s="1126">
        <v>75.33</v>
      </c>
      <c r="Q88" s="1126">
        <v>44.33</v>
      </c>
      <c r="R88" s="1127">
        <v>34.72</v>
      </c>
      <c r="S88" s="1128">
        <v>76.64</v>
      </c>
      <c r="T88" s="1126">
        <v>66.599999999999994</v>
      </c>
      <c r="U88" s="1126">
        <v>68</v>
      </c>
      <c r="V88" s="1127">
        <v>66</v>
      </c>
      <c r="W88" s="1128">
        <v>79.67</v>
      </c>
      <c r="X88" s="2927">
        <v>71</v>
      </c>
      <c r="Y88" s="3109">
        <v>63.67</v>
      </c>
      <c r="Z88" s="3109">
        <v>61.67</v>
      </c>
      <c r="AA88" s="3109">
        <v>62.67</v>
      </c>
      <c r="AB88" s="3109">
        <v>72.67</v>
      </c>
      <c r="AC88" s="3109"/>
      <c r="AD88" s="3109"/>
      <c r="AE88" s="3109"/>
      <c r="AF88" s="61"/>
      <c r="AG88" s="61"/>
      <c r="AH88" s="61"/>
      <c r="AI88" s="61"/>
      <c r="AJ88" s="28"/>
      <c r="AK88" s="135"/>
      <c r="AL88" s="135"/>
      <c r="AM88" s="135"/>
      <c r="AN88" s="14"/>
      <c r="AO88" s="61"/>
      <c r="AP88" s="61"/>
      <c r="AQ88" s="61"/>
      <c r="AR88" s="61"/>
      <c r="AS88" s="28"/>
      <c r="AT88" s="135"/>
      <c r="AU88" s="135"/>
      <c r="AV88" s="135"/>
      <c r="AW88" s="14"/>
      <c r="AX88" s="61"/>
      <c r="AY88" s="61"/>
      <c r="AZ88" s="61"/>
      <c r="BA88" s="61"/>
      <c r="BB88" s="28"/>
      <c r="BC88" s="147"/>
      <c r="BD88" s="147"/>
      <c r="BE88" s="147"/>
      <c r="BF88" s="147"/>
      <c r="BG88" s="147"/>
      <c r="BH88" s="14"/>
      <c r="BI88" s="61"/>
      <c r="BJ88" s="61"/>
      <c r="BK88" s="61"/>
      <c r="BL88" s="28"/>
      <c r="BM88" s="135"/>
      <c r="BN88" s="135"/>
      <c r="BO88" s="135"/>
      <c r="BP88" s="14"/>
      <c r="BQ88" s="135"/>
      <c r="BR88" s="61"/>
      <c r="BS88" s="61"/>
      <c r="BT88" s="61"/>
      <c r="BU88" s="28"/>
      <c r="BV88" s="135"/>
      <c r="BW88" s="135"/>
      <c r="BX88" s="14"/>
      <c r="BY88" s="61"/>
      <c r="BZ88" s="61"/>
      <c r="CA88" s="61"/>
      <c r="CB88" s="61"/>
      <c r="CC88" s="61"/>
      <c r="CD88" s="61"/>
      <c r="CE88" s="61"/>
      <c r="CF88" s="61"/>
      <c r="CG88" s="61"/>
    </row>
    <row r="89" spans="1:109" ht="15.75">
      <c r="A89" s="1199" t="s">
        <v>40</v>
      </c>
      <c r="B89" s="996"/>
      <c r="C89" s="1121" t="s">
        <v>55</v>
      </c>
      <c r="D89" s="1151">
        <v>41</v>
      </c>
      <c r="E89" s="1151">
        <v>19</v>
      </c>
      <c r="F89" s="1151">
        <v>52</v>
      </c>
      <c r="G89" s="1155">
        <v>33</v>
      </c>
      <c r="H89" s="1252">
        <v>41.5</v>
      </c>
      <c r="I89" s="1253">
        <v>34</v>
      </c>
      <c r="J89" s="1254">
        <v>50.67</v>
      </c>
      <c r="K89" s="1255">
        <v>50</v>
      </c>
      <c r="L89" s="1256">
        <v>34</v>
      </c>
      <c r="M89" s="2041">
        <v>28</v>
      </c>
      <c r="N89" s="2045">
        <v>38.659999999999997</v>
      </c>
      <c r="O89" s="2048"/>
      <c r="P89" s="1126">
        <v>58.33</v>
      </c>
      <c r="Q89" s="1126">
        <v>27.67</v>
      </c>
      <c r="R89" s="1127">
        <v>24.33</v>
      </c>
      <c r="S89" s="1128">
        <v>47.66</v>
      </c>
      <c r="T89" s="1126">
        <v>43</v>
      </c>
      <c r="U89" s="1126">
        <v>37</v>
      </c>
      <c r="V89" s="1127">
        <v>32.67</v>
      </c>
      <c r="W89" s="1128">
        <v>59.33</v>
      </c>
      <c r="X89" s="2927">
        <v>53.67</v>
      </c>
      <c r="Y89" s="3109">
        <v>45</v>
      </c>
      <c r="Z89" s="3109">
        <v>48.67</v>
      </c>
      <c r="AA89" s="3109">
        <v>46.67</v>
      </c>
      <c r="AB89" s="3109">
        <v>40.67</v>
      </c>
      <c r="AC89" s="3109"/>
      <c r="AD89" s="3109"/>
      <c r="AE89" s="3109"/>
      <c r="AF89" s="61"/>
      <c r="AG89" s="61"/>
      <c r="AH89" s="61"/>
      <c r="AI89" s="61"/>
      <c r="AJ89" s="28"/>
      <c r="AK89" s="135"/>
      <c r="AL89" s="135"/>
      <c r="AM89" s="135"/>
      <c r="AN89" s="14"/>
      <c r="AO89" s="61"/>
      <c r="AP89" s="61"/>
      <c r="AQ89" s="61"/>
      <c r="AR89" s="61"/>
      <c r="AS89" s="28"/>
      <c r="AT89" s="135"/>
      <c r="AU89" s="135"/>
      <c r="AV89" s="135"/>
      <c r="AW89" s="14"/>
      <c r="AX89" s="61"/>
      <c r="AY89" s="61"/>
      <c r="AZ89" s="61"/>
      <c r="BA89" s="61"/>
      <c r="BB89" s="28"/>
      <c r="BC89" s="147"/>
      <c r="BD89" s="147"/>
      <c r="BE89" s="147"/>
      <c r="BF89" s="147"/>
      <c r="BG89" s="147"/>
      <c r="BH89" s="14"/>
      <c r="BI89" s="61"/>
      <c r="BJ89" s="61"/>
      <c r="BK89" s="61"/>
      <c r="BL89" s="28"/>
      <c r="BM89" s="135"/>
      <c r="BN89" s="135"/>
      <c r="BO89" s="135"/>
      <c r="BP89" s="14"/>
      <c r="BQ89" s="135"/>
      <c r="BR89" s="61"/>
      <c r="BS89" s="61"/>
      <c r="BT89" s="61"/>
      <c r="BU89" s="28"/>
      <c r="BV89" s="135"/>
      <c r="BW89" s="135"/>
      <c r="BX89" s="14"/>
      <c r="BY89" s="61"/>
      <c r="BZ89" s="61"/>
      <c r="CA89" s="61"/>
      <c r="CB89" s="61"/>
      <c r="CC89" s="61"/>
      <c r="CD89" s="61"/>
      <c r="CE89" s="61"/>
      <c r="CF89" s="61"/>
      <c r="CG89" s="61"/>
    </row>
    <row r="90" spans="1:109" ht="15.75">
      <c r="A90" s="1199" t="s">
        <v>40</v>
      </c>
      <c r="B90" s="996"/>
      <c r="C90" s="1121" t="s">
        <v>54</v>
      </c>
      <c r="D90" s="1151">
        <v>29</v>
      </c>
      <c r="E90" s="1151">
        <v>43</v>
      </c>
      <c r="F90" s="1151">
        <v>49</v>
      </c>
      <c r="G90" s="1155">
        <v>38</v>
      </c>
      <c r="H90" s="1252">
        <v>35</v>
      </c>
      <c r="I90" s="1253">
        <v>105</v>
      </c>
      <c r="J90" s="1254">
        <v>38.67</v>
      </c>
      <c r="K90" s="1255">
        <v>32</v>
      </c>
      <c r="L90" s="1256">
        <v>55</v>
      </c>
      <c r="M90" s="2041">
        <v>35</v>
      </c>
      <c r="N90" s="2045">
        <v>48.66</v>
      </c>
      <c r="O90" s="2048"/>
      <c r="P90" s="1126">
        <v>63</v>
      </c>
      <c r="Q90" s="1126">
        <v>55.67</v>
      </c>
      <c r="R90" s="1127">
        <v>33.9</v>
      </c>
      <c r="S90" s="1128">
        <v>70</v>
      </c>
      <c r="T90" s="1126">
        <v>74</v>
      </c>
      <c r="U90" s="1126">
        <v>64.33</v>
      </c>
      <c r="V90" s="1127">
        <v>44.33</v>
      </c>
      <c r="W90" s="1128">
        <v>72.33</v>
      </c>
      <c r="X90" s="2927">
        <v>58.67</v>
      </c>
      <c r="Y90" s="3109">
        <v>47.67</v>
      </c>
      <c r="Z90" s="3109">
        <v>45.67</v>
      </c>
      <c r="AA90" s="3109">
        <v>65</v>
      </c>
      <c r="AB90" s="3109">
        <v>70</v>
      </c>
      <c r="AC90" s="3109"/>
      <c r="AD90" s="3109"/>
      <c r="AE90" s="3109"/>
      <c r="AF90" s="61"/>
      <c r="AG90" s="61"/>
      <c r="AH90" s="61"/>
      <c r="AI90" s="61"/>
      <c r="AJ90" s="61"/>
      <c r="AK90" s="135"/>
      <c r="AL90" s="135"/>
      <c r="AM90" s="135"/>
      <c r="AN90" s="14"/>
      <c r="AO90" s="61"/>
      <c r="AP90" s="61"/>
      <c r="AQ90" s="61"/>
      <c r="AR90" s="61"/>
      <c r="AS90" s="61"/>
      <c r="AT90" s="135"/>
      <c r="AU90" s="135"/>
      <c r="AV90" s="135"/>
      <c r="AW90" s="14"/>
      <c r="AX90" s="61"/>
      <c r="AY90" s="61"/>
      <c r="AZ90" s="61"/>
      <c r="BA90" s="61"/>
      <c r="BB90" s="61"/>
      <c r="BC90" s="147"/>
      <c r="BD90" s="147"/>
      <c r="BE90" s="147"/>
      <c r="BF90" s="147"/>
      <c r="BG90" s="147"/>
      <c r="BH90" s="14"/>
      <c r="BI90" s="61"/>
      <c r="BJ90" s="61"/>
      <c r="BK90" s="61"/>
      <c r="BL90" s="61"/>
      <c r="BM90" s="135"/>
      <c r="BN90" s="135"/>
      <c r="BO90" s="135"/>
      <c r="BP90" s="14"/>
      <c r="BQ90" s="135"/>
      <c r="BR90" s="61"/>
      <c r="BS90" s="61"/>
      <c r="BT90" s="61"/>
      <c r="BU90" s="61"/>
      <c r="BV90" s="135"/>
      <c r="BW90" s="135"/>
      <c r="BX90" s="14"/>
      <c r="BY90" s="61"/>
      <c r="BZ90" s="61"/>
      <c r="CA90" s="61"/>
      <c r="CB90" s="61"/>
      <c r="CC90" s="61"/>
      <c r="CD90" s="61"/>
      <c r="CE90" s="61"/>
      <c r="CF90" s="61"/>
      <c r="CG90" s="61"/>
    </row>
    <row r="91" spans="1:109" ht="15.75">
      <c r="A91" s="1199" t="s">
        <v>40</v>
      </c>
      <c r="B91" s="996"/>
      <c r="C91" s="1121" t="s">
        <v>56</v>
      </c>
      <c r="D91" s="1151">
        <v>51</v>
      </c>
      <c r="E91" s="1151">
        <v>45</v>
      </c>
      <c r="F91" s="1151">
        <v>49</v>
      </c>
      <c r="G91" s="1155">
        <v>41</v>
      </c>
      <c r="H91" s="1252">
        <v>25.5</v>
      </c>
      <c r="I91" s="1253">
        <v>48</v>
      </c>
      <c r="J91" s="1254">
        <v>50.67</v>
      </c>
      <c r="K91" s="1255">
        <v>30</v>
      </c>
      <c r="L91" s="1256">
        <v>55</v>
      </c>
      <c r="M91" s="2041">
        <v>41</v>
      </c>
      <c r="N91" s="2045">
        <v>51.66</v>
      </c>
      <c r="O91" s="2048"/>
      <c r="P91" s="1126">
        <v>76.33</v>
      </c>
      <c r="Q91" s="1126">
        <v>65</v>
      </c>
      <c r="R91" s="1127">
        <v>41.73</v>
      </c>
      <c r="S91" s="1128">
        <v>70</v>
      </c>
      <c r="T91" s="1126">
        <v>53.3</v>
      </c>
      <c r="U91" s="1126">
        <v>61.33</v>
      </c>
      <c r="V91" s="1127">
        <v>58</v>
      </c>
      <c r="W91" s="1128">
        <v>69.33</v>
      </c>
      <c r="X91" s="2927">
        <v>66.33</v>
      </c>
      <c r="Y91" s="3109">
        <v>65</v>
      </c>
      <c r="Z91" s="3109">
        <v>61</v>
      </c>
      <c r="AA91" s="3109">
        <v>75.67</v>
      </c>
      <c r="AB91" s="3109">
        <v>54</v>
      </c>
      <c r="AC91" s="3109"/>
      <c r="AD91" s="3109"/>
      <c r="AE91" s="3109"/>
      <c r="AF91" s="61"/>
      <c r="AG91" s="61"/>
      <c r="AH91" s="61"/>
      <c r="AI91" s="61"/>
      <c r="AJ91" s="61"/>
      <c r="AK91" s="135"/>
      <c r="AL91" s="135"/>
      <c r="AM91" s="135"/>
      <c r="AN91" s="14"/>
      <c r="AO91" s="61"/>
      <c r="AP91" s="61"/>
      <c r="AQ91" s="61"/>
      <c r="AR91" s="61"/>
      <c r="AS91" s="61"/>
      <c r="AT91" s="135"/>
      <c r="AU91" s="135"/>
      <c r="AV91" s="135"/>
      <c r="AW91" s="14"/>
      <c r="AX91" s="61"/>
      <c r="AY91" s="61"/>
      <c r="AZ91" s="61"/>
      <c r="BA91" s="61"/>
      <c r="BB91" s="61"/>
      <c r="BC91" s="147"/>
      <c r="BD91" s="147"/>
      <c r="BE91" s="147"/>
      <c r="BF91" s="147"/>
      <c r="BG91" s="147"/>
      <c r="BH91" s="14"/>
      <c r="BI91" s="61"/>
      <c r="BJ91" s="61"/>
      <c r="BK91" s="61"/>
      <c r="BL91" s="61"/>
      <c r="BM91" s="135"/>
      <c r="BN91" s="135"/>
      <c r="BO91" s="135"/>
      <c r="BP91" s="14"/>
      <c r="BQ91" s="135"/>
      <c r="BR91" s="61"/>
      <c r="BS91" s="61"/>
      <c r="BT91" s="61"/>
      <c r="BU91" s="61"/>
      <c r="BV91" s="135"/>
      <c r="BW91" s="135"/>
      <c r="BX91" s="14"/>
      <c r="BY91" s="61"/>
      <c r="BZ91" s="61"/>
      <c r="CA91" s="61"/>
      <c r="CB91" s="61"/>
      <c r="CC91" s="61"/>
      <c r="CD91" s="61"/>
      <c r="CE91" s="61"/>
      <c r="CF91" s="61"/>
      <c r="CG91" s="61"/>
    </row>
    <row r="92" spans="1:109" ht="15.75">
      <c r="A92" s="1199" t="s">
        <v>40</v>
      </c>
      <c r="B92" s="996"/>
      <c r="C92" s="1121" t="s">
        <v>44</v>
      </c>
      <c r="D92" s="1151">
        <v>30</v>
      </c>
      <c r="E92" s="1151">
        <v>25.33</v>
      </c>
      <c r="F92" s="1151">
        <v>64.67</v>
      </c>
      <c r="G92" s="1155">
        <v>54</v>
      </c>
      <c r="H92" s="1252">
        <v>33.5</v>
      </c>
      <c r="I92" s="1253">
        <v>88</v>
      </c>
      <c r="J92" s="1254">
        <v>39.33</v>
      </c>
      <c r="K92" s="1255">
        <v>35</v>
      </c>
      <c r="L92" s="1256">
        <v>78</v>
      </c>
      <c r="M92" s="2041">
        <v>73</v>
      </c>
      <c r="N92" s="2045">
        <v>56</v>
      </c>
      <c r="O92" s="2048"/>
      <c r="P92" s="1126">
        <v>89.33</v>
      </c>
      <c r="Q92" s="1126">
        <v>76.33</v>
      </c>
      <c r="R92" s="1127">
        <v>34.86</v>
      </c>
      <c r="S92" s="1128">
        <v>57</v>
      </c>
      <c r="T92" s="1126">
        <v>46</v>
      </c>
      <c r="U92" s="1126">
        <v>61.67</v>
      </c>
      <c r="V92" s="1127">
        <v>68.67</v>
      </c>
      <c r="W92" s="1128">
        <v>91</v>
      </c>
      <c r="X92" s="2927">
        <v>61</v>
      </c>
      <c r="Y92" s="3109">
        <v>80.67</v>
      </c>
      <c r="Z92" s="3109">
        <v>56.33</v>
      </c>
      <c r="AA92" s="3109">
        <v>95.33</v>
      </c>
      <c r="AB92" s="3109">
        <v>79.33</v>
      </c>
      <c r="AC92" s="3109"/>
      <c r="AD92" s="3109"/>
      <c r="AE92" s="3109"/>
      <c r="AF92" s="61"/>
      <c r="AG92" s="61"/>
      <c r="AH92" s="61"/>
      <c r="AI92" s="61"/>
      <c r="AJ92" s="61"/>
      <c r="AK92" s="135"/>
      <c r="AL92" s="135"/>
      <c r="AM92" s="135"/>
      <c r="AN92" s="14"/>
      <c r="AO92" s="61"/>
      <c r="AP92" s="61"/>
      <c r="AQ92" s="61"/>
      <c r="AR92" s="61"/>
      <c r="AS92" s="61"/>
      <c r="AT92" s="135"/>
      <c r="AU92" s="135"/>
      <c r="AV92" s="135"/>
      <c r="AW92" s="14"/>
      <c r="AX92" s="61"/>
      <c r="AY92" s="61"/>
      <c r="AZ92" s="61"/>
      <c r="BA92" s="61"/>
      <c r="BB92" s="61"/>
      <c r="BC92" s="147"/>
      <c r="BD92" s="147"/>
      <c r="BE92" s="147"/>
      <c r="BF92" s="147"/>
      <c r="BG92" s="147"/>
      <c r="BH92" s="14"/>
      <c r="BI92" s="61"/>
      <c r="BJ92" s="61"/>
      <c r="BK92" s="61"/>
      <c r="BL92" s="61"/>
      <c r="BM92" s="135"/>
      <c r="BN92" s="135"/>
      <c r="BO92" s="135"/>
      <c r="BP92" s="14"/>
      <c r="BQ92" s="135"/>
      <c r="BR92" s="61"/>
      <c r="BS92" s="61"/>
      <c r="BT92" s="61"/>
      <c r="BU92" s="61"/>
      <c r="BV92" s="135"/>
      <c r="BW92" s="135"/>
      <c r="BX92" s="14"/>
      <c r="BY92" s="61"/>
      <c r="BZ92" s="61"/>
      <c r="CA92" s="61"/>
      <c r="CB92" s="61"/>
      <c r="CC92" s="61"/>
      <c r="CD92" s="61"/>
      <c r="CE92" s="61"/>
      <c r="CF92" s="61"/>
      <c r="CG92" s="61"/>
    </row>
    <row r="93" spans="1:109" ht="15.75">
      <c r="A93" s="1199" t="s">
        <v>40</v>
      </c>
      <c r="B93" s="996">
        <f>COUNTA(C93:C100)</f>
        <v>7</v>
      </c>
      <c r="C93" s="1121" t="s">
        <v>51</v>
      </c>
      <c r="D93" s="1151">
        <v>39</v>
      </c>
      <c r="E93" s="1151">
        <v>33</v>
      </c>
      <c r="F93" s="1151">
        <v>30</v>
      </c>
      <c r="G93" s="1155">
        <v>31</v>
      </c>
      <c r="H93" s="1252">
        <v>62</v>
      </c>
      <c r="I93" s="1253">
        <v>54</v>
      </c>
      <c r="J93" s="1254">
        <v>62.67</v>
      </c>
      <c r="K93" s="1255">
        <v>21</v>
      </c>
      <c r="L93" s="1256">
        <v>46</v>
      </c>
      <c r="M93" s="2041">
        <v>29</v>
      </c>
      <c r="N93" s="2045">
        <v>45.66</v>
      </c>
      <c r="O93" s="2048"/>
      <c r="P93" s="1126">
        <v>57.33</v>
      </c>
      <c r="Q93" s="1126">
        <v>38.33</v>
      </c>
      <c r="R93" s="1127">
        <v>21.46</v>
      </c>
      <c r="S93" s="1128">
        <v>69.66</v>
      </c>
      <c r="T93" s="1126">
        <v>58.6</v>
      </c>
      <c r="U93" s="1126">
        <v>53</v>
      </c>
      <c r="V93" s="1127">
        <v>74</v>
      </c>
      <c r="W93" s="1128">
        <v>56</v>
      </c>
      <c r="X93" s="2927">
        <v>49.67</v>
      </c>
      <c r="Y93" s="3109">
        <v>47.67</v>
      </c>
      <c r="Z93" s="3109">
        <v>43</v>
      </c>
      <c r="AA93" s="3109">
        <v>43.67</v>
      </c>
      <c r="AB93" s="3109">
        <v>56</v>
      </c>
      <c r="AC93" s="3109"/>
      <c r="AD93" s="3109"/>
      <c r="AE93" s="3109"/>
      <c r="AF93" s="61"/>
      <c r="AG93" s="61"/>
      <c r="AH93" s="61"/>
      <c r="AI93" s="61"/>
      <c r="AJ93" s="61"/>
      <c r="AK93" s="135"/>
      <c r="AL93" s="135"/>
      <c r="AM93" s="135"/>
      <c r="AN93" s="14"/>
      <c r="AO93" s="61"/>
      <c r="AP93" s="61"/>
      <c r="AQ93" s="61"/>
      <c r="AR93" s="61"/>
      <c r="AS93" s="61"/>
      <c r="AT93" s="135"/>
      <c r="AU93" s="135"/>
      <c r="AV93" s="135"/>
      <c r="AW93" s="14"/>
      <c r="AX93" s="61"/>
      <c r="AY93" s="61"/>
      <c r="AZ93" s="61"/>
      <c r="BA93" s="61"/>
      <c r="BB93" s="61"/>
      <c r="BC93" s="147"/>
      <c r="BD93" s="147"/>
      <c r="BE93" s="147"/>
      <c r="BF93" s="147"/>
      <c r="BG93" s="147"/>
      <c r="BH93" s="14"/>
      <c r="BI93" s="61"/>
      <c r="BJ93" s="61"/>
      <c r="BK93" s="61"/>
      <c r="BL93" s="61"/>
      <c r="BM93" s="135"/>
      <c r="BN93" s="135"/>
      <c r="BO93" s="135"/>
      <c r="BP93" s="14"/>
      <c r="BQ93" s="135"/>
      <c r="BR93" s="61"/>
      <c r="BS93" s="61"/>
      <c r="BT93" s="61"/>
      <c r="BU93" s="61"/>
      <c r="BV93" s="135"/>
      <c r="BW93" s="135"/>
      <c r="BX93" s="14"/>
      <c r="BY93" s="61"/>
      <c r="BZ93" s="61"/>
      <c r="CA93" s="61"/>
      <c r="CB93" s="61"/>
      <c r="CC93" s="61"/>
      <c r="CD93" s="61"/>
      <c r="CE93" s="61"/>
      <c r="CF93" s="61"/>
      <c r="CG93" s="61"/>
    </row>
    <row r="94" spans="1:109" ht="16.5" thickBot="1">
      <c r="A94" s="1205" t="s">
        <v>40</v>
      </c>
      <c r="B94" s="997"/>
      <c r="C94" s="1129" t="s">
        <v>47</v>
      </c>
      <c r="D94" s="1130">
        <v>39</v>
      </c>
      <c r="E94" s="1130">
        <v>49</v>
      </c>
      <c r="F94" s="1130">
        <v>34</v>
      </c>
      <c r="G94" s="1131">
        <v>35</v>
      </c>
      <c r="H94" s="1257">
        <v>29.5</v>
      </c>
      <c r="I94" s="1258">
        <v>78</v>
      </c>
      <c r="J94" s="1259">
        <v>49.33</v>
      </c>
      <c r="K94" s="1260">
        <v>44</v>
      </c>
      <c r="L94" s="1261">
        <v>48</v>
      </c>
      <c r="M94" s="2042">
        <v>43</v>
      </c>
      <c r="N94" s="2046">
        <v>59.33</v>
      </c>
      <c r="O94" s="2050"/>
      <c r="P94" s="1829">
        <v>68.67</v>
      </c>
      <c r="Q94" s="1829">
        <v>47</v>
      </c>
      <c r="R94" s="633">
        <v>31.84</v>
      </c>
      <c r="S94" s="634">
        <v>53.33</v>
      </c>
      <c r="T94" s="1829">
        <v>33.299999999999997</v>
      </c>
      <c r="U94" s="1829">
        <v>62.33</v>
      </c>
      <c r="V94" s="633">
        <v>47.33</v>
      </c>
      <c r="W94" s="634">
        <v>66</v>
      </c>
      <c r="X94" s="2928">
        <v>52.33</v>
      </c>
      <c r="Y94" s="3110">
        <v>57</v>
      </c>
      <c r="Z94" s="3110">
        <v>57.67</v>
      </c>
      <c r="AA94" s="3110">
        <v>103.67</v>
      </c>
      <c r="AB94" s="3110">
        <v>59.33</v>
      </c>
      <c r="AC94" s="3110"/>
      <c r="AD94" s="3110"/>
      <c r="AE94" s="3110"/>
      <c r="AF94" s="61"/>
      <c r="AG94" s="61"/>
      <c r="AH94" s="61"/>
      <c r="AI94" s="61"/>
      <c r="AJ94" s="61"/>
      <c r="AK94" s="135"/>
      <c r="AL94" s="135"/>
      <c r="AM94" s="135"/>
      <c r="AN94" s="14"/>
      <c r="AO94" s="61"/>
      <c r="AP94" s="61"/>
      <c r="AQ94" s="61"/>
      <c r="AR94" s="61"/>
      <c r="AS94" s="61"/>
      <c r="AT94" s="135"/>
      <c r="AU94" s="135"/>
      <c r="AV94" s="135"/>
      <c r="AW94" s="14"/>
      <c r="AX94" s="61"/>
      <c r="AY94" s="61"/>
      <c r="AZ94" s="61"/>
      <c r="BA94" s="61"/>
      <c r="BB94" s="61"/>
      <c r="BC94" s="147"/>
      <c r="BD94" s="147"/>
      <c r="BE94" s="147"/>
      <c r="BF94" s="147"/>
      <c r="BG94" s="147"/>
      <c r="BH94" s="14"/>
      <c r="BI94" s="61"/>
      <c r="BJ94" s="61"/>
      <c r="BK94" s="61"/>
      <c r="BL94" s="61"/>
      <c r="BM94" s="135"/>
      <c r="BN94" s="135"/>
      <c r="BO94" s="135"/>
      <c r="BP94" s="14"/>
      <c r="BQ94" s="135"/>
      <c r="BR94" s="61"/>
      <c r="BS94" s="61"/>
      <c r="BT94" s="61"/>
      <c r="BU94" s="61"/>
      <c r="BV94" s="135"/>
      <c r="BW94" s="135"/>
      <c r="BX94" s="14"/>
      <c r="BY94" s="61"/>
      <c r="BZ94" s="61"/>
      <c r="CA94" s="61"/>
      <c r="CB94" s="61"/>
      <c r="CC94" s="61"/>
      <c r="CD94" s="61"/>
      <c r="CE94" s="61"/>
      <c r="CF94" s="61"/>
      <c r="CG94" s="61"/>
    </row>
    <row r="95" spans="1:109">
      <c r="A95" s="114"/>
      <c r="B95" s="114"/>
      <c r="C95" s="775" t="s">
        <v>285</v>
      </c>
      <c r="D95" s="1025">
        <f>COUNTIF(D69:D94,"&lt;=10")</f>
        <v>0</v>
      </c>
      <c r="E95" s="1025">
        <f t="shared" ref="E95:T95" si="10">COUNTIF(E69:E94,"&lt;=10")</f>
        <v>3</v>
      </c>
      <c r="F95" s="1025">
        <f t="shared" si="10"/>
        <v>0</v>
      </c>
      <c r="G95" s="1025">
        <f t="shared" si="10"/>
        <v>5</v>
      </c>
      <c r="H95" s="1025">
        <f t="shared" si="10"/>
        <v>0</v>
      </c>
      <c r="I95" s="1025">
        <f t="shared" si="10"/>
        <v>0</v>
      </c>
      <c r="J95" s="1025">
        <f t="shared" si="10"/>
        <v>0</v>
      </c>
      <c r="K95" s="1025">
        <f t="shared" si="10"/>
        <v>0</v>
      </c>
      <c r="L95" s="1025">
        <f t="shared" si="10"/>
        <v>0</v>
      </c>
      <c r="M95" s="1025">
        <f t="shared" si="10"/>
        <v>0</v>
      </c>
      <c r="N95" s="1025">
        <f t="shared" si="10"/>
        <v>0</v>
      </c>
      <c r="O95" s="1025">
        <f>COUNTIF(O69:O94,"&lt;=10")</f>
        <v>0</v>
      </c>
      <c r="P95" s="1025">
        <f t="shared" si="10"/>
        <v>0</v>
      </c>
      <c r="Q95" s="1025">
        <f t="shared" si="10"/>
        <v>0</v>
      </c>
      <c r="R95" s="1025">
        <f t="shared" si="10"/>
        <v>0</v>
      </c>
      <c r="S95" s="1025">
        <f t="shared" si="10"/>
        <v>0</v>
      </c>
      <c r="T95" s="1025">
        <f t="shared" si="10"/>
        <v>0</v>
      </c>
      <c r="U95" s="1025">
        <f t="shared" ref="U95:Y95" si="11">COUNTIF(U69:U94,"&lt;=10")</f>
        <v>0</v>
      </c>
      <c r="V95" s="1025">
        <f t="shared" si="11"/>
        <v>0</v>
      </c>
      <c r="W95" s="1025">
        <f t="shared" si="11"/>
        <v>0</v>
      </c>
      <c r="X95" s="1025">
        <f t="shared" si="11"/>
        <v>0</v>
      </c>
      <c r="Y95" s="1025">
        <f t="shared" si="11"/>
        <v>0</v>
      </c>
      <c r="Z95" s="1025">
        <f>COUNTIF(Z69:Z94,"&lt;=7")</f>
        <v>0</v>
      </c>
      <c r="AA95" s="1025">
        <f>COUNTIF(AA69:AA94,"&lt;=7")</f>
        <v>0</v>
      </c>
      <c r="AB95" s="1025">
        <f t="shared" ref="AB95:AE95" si="12">COUNTIF(AB69:AB94,"&lt;=7")</f>
        <v>0</v>
      </c>
      <c r="AC95" s="1025">
        <f t="shared" si="12"/>
        <v>0</v>
      </c>
      <c r="AD95" s="1025">
        <f t="shared" si="12"/>
        <v>0</v>
      </c>
      <c r="AE95" s="1025">
        <f t="shared" si="12"/>
        <v>0</v>
      </c>
      <c r="AF95" s="61"/>
      <c r="AG95" s="61"/>
      <c r="AH95" s="61"/>
      <c r="AI95" s="61"/>
      <c r="AJ95" s="61"/>
      <c r="AK95" s="136"/>
      <c r="AL95" s="136"/>
      <c r="AM95" s="136"/>
      <c r="AN95" s="14"/>
      <c r="AO95" s="61"/>
      <c r="AP95" s="61"/>
      <c r="AQ95" s="61"/>
      <c r="AR95" s="61"/>
      <c r="AS95" s="61"/>
      <c r="AT95" s="136"/>
      <c r="AU95" s="136"/>
      <c r="AV95" s="136"/>
      <c r="AW95" s="14"/>
      <c r="AX95" s="61"/>
      <c r="AY95" s="61"/>
      <c r="AZ95" s="61"/>
      <c r="BA95" s="61"/>
      <c r="BB95" s="61"/>
      <c r="BC95" s="136"/>
      <c r="BD95" s="136"/>
      <c r="BE95" s="136"/>
      <c r="BF95" s="136"/>
      <c r="BG95" s="136"/>
      <c r="BH95" s="14"/>
      <c r="BI95" s="61"/>
      <c r="BJ95" s="61"/>
      <c r="BK95" s="61"/>
      <c r="BL95" s="61"/>
      <c r="BM95" s="136"/>
      <c r="BN95" s="136"/>
      <c r="BO95" s="136"/>
      <c r="BP95" s="14"/>
      <c r="BQ95" s="136"/>
      <c r="BR95" s="61"/>
      <c r="BS95" s="61"/>
      <c r="BT95" s="61"/>
      <c r="BU95" s="61"/>
      <c r="BV95" s="136"/>
      <c r="BW95" s="136"/>
      <c r="BX95" s="14"/>
      <c r="BY95" s="61"/>
      <c r="BZ95" s="61"/>
      <c r="CA95" s="61"/>
      <c r="CB95" s="61"/>
      <c r="CC95" s="61"/>
      <c r="CD95" s="61"/>
      <c r="CE95" s="61"/>
      <c r="CF95" s="61"/>
      <c r="CG95" s="61"/>
    </row>
    <row r="96" spans="1:109">
      <c r="A96" s="114"/>
      <c r="B96" s="114"/>
      <c r="C96" s="775" t="s">
        <v>287</v>
      </c>
      <c r="D96" s="1027">
        <f>COUNT(D69:D94)</f>
        <v>25</v>
      </c>
      <c r="E96" s="1027">
        <f t="shared" ref="E96:T96" si="13">COUNT(E69:E94)</f>
        <v>26</v>
      </c>
      <c r="F96" s="1027">
        <f t="shared" si="13"/>
        <v>26</v>
      </c>
      <c r="G96" s="1027">
        <f t="shared" si="13"/>
        <v>26</v>
      </c>
      <c r="H96" s="1027">
        <f t="shared" si="13"/>
        <v>26</v>
      </c>
      <c r="I96" s="1027">
        <f t="shared" si="13"/>
        <v>26</v>
      </c>
      <c r="J96" s="1027">
        <f t="shared" si="13"/>
        <v>26</v>
      </c>
      <c r="K96" s="1027">
        <f t="shared" si="13"/>
        <v>26</v>
      </c>
      <c r="L96" s="1027">
        <f t="shared" si="13"/>
        <v>25</v>
      </c>
      <c r="M96" s="1027">
        <f t="shared" si="13"/>
        <v>26</v>
      </c>
      <c r="N96" s="1027">
        <f t="shared" si="13"/>
        <v>26</v>
      </c>
      <c r="O96" s="1027">
        <f>COUNT(O69:O94)</f>
        <v>0</v>
      </c>
      <c r="P96" s="1027">
        <f t="shared" si="13"/>
        <v>26</v>
      </c>
      <c r="Q96" s="1027">
        <f t="shared" si="13"/>
        <v>25</v>
      </c>
      <c r="R96" s="1027">
        <f t="shared" si="13"/>
        <v>26</v>
      </c>
      <c r="S96" s="1027">
        <f t="shared" si="13"/>
        <v>26</v>
      </c>
      <c r="T96" s="1027">
        <f t="shared" si="13"/>
        <v>26</v>
      </c>
      <c r="U96" s="1027">
        <f t="shared" ref="U96:AA96" si="14">COUNT(U69:U94)</f>
        <v>25</v>
      </c>
      <c r="V96" s="1027">
        <f t="shared" si="14"/>
        <v>26</v>
      </c>
      <c r="W96" s="1027">
        <f t="shared" si="14"/>
        <v>26</v>
      </c>
      <c r="X96" s="1027">
        <f t="shared" si="14"/>
        <v>26</v>
      </c>
      <c r="Y96" s="1027">
        <f>COUNT(Y69:Y94)</f>
        <v>26</v>
      </c>
      <c r="Z96" s="1027">
        <f t="shared" si="14"/>
        <v>26</v>
      </c>
      <c r="AA96" s="1027">
        <f t="shared" si="14"/>
        <v>26</v>
      </c>
      <c r="AB96" s="1027">
        <f t="shared" ref="AB96:AE96" si="15">COUNT(AB69:AB94)</f>
        <v>26</v>
      </c>
      <c r="AC96" s="1027">
        <f t="shared" si="15"/>
        <v>0</v>
      </c>
      <c r="AD96" s="1027">
        <f t="shared" si="15"/>
        <v>0</v>
      </c>
      <c r="AE96" s="1027">
        <f t="shared" si="15"/>
        <v>0</v>
      </c>
      <c r="AF96" s="61"/>
      <c r="AG96" s="61"/>
      <c r="AH96" s="61"/>
      <c r="AI96" s="61"/>
      <c r="AJ96" s="61"/>
      <c r="AK96" s="37"/>
      <c r="AL96" s="37"/>
      <c r="AM96" s="37"/>
      <c r="AN96" s="14"/>
      <c r="AO96" s="61"/>
      <c r="AP96" s="61"/>
      <c r="AQ96" s="61"/>
      <c r="AR96" s="61"/>
      <c r="AS96" s="61"/>
      <c r="AT96" s="37"/>
      <c r="AU96" s="37"/>
      <c r="AV96" s="37"/>
      <c r="AW96" s="14"/>
      <c r="AX96" s="61"/>
      <c r="AY96" s="61"/>
      <c r="AZ96" s="61"/>
      <c r="BA96" s="61"/>
      <c r="BB96" s="61"/>
      <c r="BC96" s="37"/>
      <c r="BD96" s="37"/>
      <c r="BE96" s="37"/>
      <c r="BF96" s="37"/>
      <c r="BG96" s="37"/>
      <c r="BH96" s="14"/>
      <c r="BI96" s="61"/>
      <c r="BJ96" s="61"/>
      <c r="BK96" s="61"/>
      <c r="BL96" s="61"/>
      <c r="BM96" s="37"/>
      <c r="BN96" s="37"/>
      <c r="BO96" s="37"/>
      <c r="BP96" s="14"/>
      <c r="BQ96" s="37"/>
      <c r="BR96" s="61"/>
      <c r="BS96" s="61"/>
      <c r="BT96" s="61"/>
      <c r="BU96" s="61"/>
      <c r="BV96" s="37"/>
      <c r="BW96" s="37"/>
      <c r="BX96" s="14"/>
      <c r="BY96" s="61"/>
      <c r="BZ96" s="61"/>
      <c r="CA96" s="61"/>
      <c r="CB96" s="61"/>
      <c r="CC96" s="61"/>
      <c r="CD96" s="61"/>
      <c r="CE96" s="61"/>
      <c r="CF96" s="61"/>
      <c r="CG96" s="61"/>
    </row>
    <row r="97" spans="1:109">
      <c r="A97" s="114"/>
      <c r="B97" s="114"/>
      <c r="C97" s="775" t="s">
        <v>286</v>
      </c>
      <c r="D97" s="1026">
        <f t="shared" ref="D97:T97" si="16">D95/D96</f>
        <v>0</v>
      </c>
      <c r="E97" s="1026">
        <f t="shared" si="16"/>
        <v>0.11538461538461539</v>
      </c>
      <c r="F97" s="1026">
        <f t="shared" si="16"/>
        <v>0</v>
      </c>
      <c r="G97" s="1026">
        <f t="shared" si="16"/>
        <v>0.19230769230769232</v>
      </c>
      <c r="H97" s="1026">
        <f t="shared" si="16"/>
        <v>0</v>
      </c>
      <c r="I97" s="1026">
        <f t="shared" si="16"/>
        <v>0</v>
      </c>
      <c r="J97" s="1026">
        <f t="shared" si="16"/>
        <v>0</v>
      </c>
      <c r="K97" s="1026">
        <f t="shared" si="16"/>
        <v>0</v>
      </c>
      <c r="L97" s="1026">
        <f t="shared" si="16"/>
        <v>0</v>
      </c>
      <c r="M97" s="1026">
        <f t="shared" si="16"/>
        <v>0</v>
      </c>
      <c r="N97" s="1026">
        <f t="shared" si="16"/>
        <v>0</v>
      </c>
      <c r="O97" s="1026" t="e">
        <f t="shared" si="16"/>
        <v>#DIV/0!</v>
      </c>
      <c r="P97" s="1026">
        <f t="shared" si="16"/>
        <v>0</v>
      </c>
      <c r="Q97" s="1026">
        <f t="shared" si="16"/>
        <v>0</v>
      </c>
      <c r="R97" s="1026">
        <f t="shared" si="16"/>
        <v>0</v>
      </c>
      <c r="S97" s="1026">
        <f t="shared" si="16"/>
        <v>0</v>
      </c>
      <c r="T97" s="1026">
        <f t="shared" si="16"/>
        <v>0</v>
      </c>
      <c r="U97" s="1026">
        <f t="shared" ref="U97:AA97" si="17">U95/U96</f>
        <v>0</v>
      </c>
      <c r="V97" s="1026">
        <f t="shared" si="17"/>
        <v>0</v>
      </c>
      <c r="W97" s="1026">
        <f t="shared" si="17"/>
        <v>0</v>
      </c>
      <c r="X97" s="1026">
        <f t="shared" si="17"/>
        <v>0</v>
      </c>
      <c r="Y97" s="1026">
        <f t="shared" si="17"/>
        <v>0</v>
      </c>
      <c r="Z97" s="1026">
        <f t="shared" si="17"/>
        <v>0</v>
      </c>
      <c r="AA97" s="1026">
        <f t="shared" si="17"/>
        <v>0</v>
      </c>
      <c r="AB97" s="1026">
        <f t="shared" ref="AB97:AE97" si="18">AB95/AB96</f>
        <v>0</v>
      </c>
      <c r="AC97" s="1026" t="e">
        <f t="shared" si="18"/>
        <v>#DIV/0!</v>
      </c>
      <c r="AD97" s="1026" t="e">
        <f t="shared" si="18"/>
        <v>#DIV/0!</v>
      </c>
      <c r="AE97" s="1026" t="e">
        <f t="shared" si="18"/>
        <v>#DIV/0!</v>
      </c>
      <c r="AF97" s="61"/>
      <c r="AG97" s="61"/>
      <c r="AH97" s="61"/>
      <c r="AI97" s="61"/>
      <c r="AJ97" s="61"/>
      <c r="AK97" s="37"/>
      <c r="AL97" s="37"/>
      <c r="AM97" s="37"/>
      <c r="AN97" s="14"/>
      <c r="AO97" s="61"/>
      <c r="AP97" s="61"/>
      <c r="AQ97" s="61"/>
      <c r="AR97" s="61"/>
      <c r="AS97" s="61"/>
      <c r="AT97" s="37"/>
      <c r="AU97" s="37"/>
      <c r="AV97" s="37"/>
      <c r="AW97" s="14"/>
      <c r="AX97" s="61"/>
      <c r="AY97" s="61"/>
      <c r="AZ97" s="61"/>
      <c r="BA97" s="61"/>
      <c r="BB97" s="61"/>
      <c r="BC97" s="37"/>
      <c r="BD97" s="37"/>
      <c r="BE97" s="37"/>
      <c r="BF97" s="37"/>
      <c r="BG97" s="37"/>
      <c r="BH97" s="14"/>
      <c r="BI97" s="61"/>
      <c r="BJ97" s="61"/>
      <c r="BK97" s="61"/>
      <c r="BL97" s="61"/>
      <c r="BM97" s="37"/>
      <c r="BN97" s="37"/>
      <c r="BO97" s="37"/>
      <c r="BP97" s="14"/>
      <c r="BQ97" s="37"/>
      <c r="BR97" s="61"/>
      <c r="BS97" s="61"/>
      <c r="BT97" s="61"/>
      <c r="BU97" s="61"/>
      <c r="BV97" s="37"/>
      <c r="BW97" s="37"/>
      <c r="BX97" s="14"/>
      <c r="BY97" s="61"/>
      <c r="BZ97" s="61"/>
      <c r="CA97" s="61"/>
      <c r="CB97" s="61"/>
      <c r="CC97" s="61"/>
      <c r="CD97" s="61"/>
      <c r="CE97" s="61"/>
      <c r="CF97" s="61"/>
      <c r="CG97" s="61"/>
    </row>
    <row r="98" spans="1:109">
      <c r="A98" s="776"/>
      <c r="B98" s="1090"/>
      <c r="C98" s="1088" t="s">
        <v>296</v>
      </c>
      <c r="D98" s="1059">
        <f>COUNTA(C69:C94)</f>
        <v>26</v>
      </c>
      <c r="E98" s="1091"/>
      <c r="F98" s="1091"/>
      <c r="G98" s="1091"/>
      <c r="H98" s="1091"/>
      <c r="I98" s="1092"/>
      <c r="J98" s="1091"/>
      <c r="K98" s="1093"/>
      <c r="L98" s="776"/>
      <c r="M98" s="776"/>
      <c r="N98" s="776"/>
      <c r="O98" s="776"/>
      <c r="P98" s="776"/>
      <c r="Q98" s="776"/>
      <c r="R98" s="776"/>
      <c r="S98" s="776"/>
      <c r="T98" s="776"/>
      <c r="U98" s="776"/>
      <c r="V98" s="776"/>
      <c r="W98" s="776"/>
      <c r="X98" s="770"/>
      <c r="Y98" s="4"/>
      <c r="Z98" s="4"/>
      <c r="AA98" s="50"/>
      <c r="AB98" s="50"/>
      <c r="AC98" s="50"/>
      <c r="AD98" s="50"/>
      <c r="AE98" s="50"/>
      <c r="AF98" s="61"/>
      <c r="AG98" s="61"/>
      <c r="AH98" s="61"/>
      <c r="AI98" s="61"/>
      <c r="AJ98" s="61"/>
      <c r="AK98" s="61"/>
      <c r="AL98" s="61"/>
      <c r="AM98" s="61"/>
      <c r="AN98" s="14"/>
      <c r="AO98" s="61"/>
      <c r="AP98" s="61"/>
      <c r="AQ98" s="61"/>
      <c r="AR98" s="61"/>
      <c r="AS98" s="61"/>
      <c r="AT98" s="61"/>
      <c r="AU98" s="61"/>
      <c r="AV98" s="61"/>
      <c r="AW98" s="14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14"/>
      <c r="BI98" s="61"/>
      <c r="BJ98" s="61"/>
      <c r="BK98" s="61"/>
      <c r="BL98" s="61"/>
      <c r="BM98" s="61"/>
      <c r="BN98" s="61"/>
      <c r="BO98" s="61"/>
      <c r="BP98" s="61"/>
      <c r="BQ98" s="61"/>
      <c r="BR98" s="14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</row>
    <row r="99" spans="1:109" ht="15.75" thickBot="1">
      <c r="A99" s="123"/>
      <c r="B99" s="122"/>
      <c r="C99" s="117"/>
      <c r="D99" s="110"/>
      <c r="E99" s="110"/>
      <c r="F99" s="110"/>
      <c r="G99" s="110"/>
      <c r="H99" s="110"/>
      <c r="I99" s="111"/>
      <c r="J99" s="110"/>
      <c r="K99" s="763"/>
      <c r="L99" s="107"/>
      <c r="M99" s="120"/>
      <c r="N99" s="121"/>
      <c r="O99" s="120"/>
      <c r="P99" s="120"/>
      <c r="Q99" s="120"/>
      <c r="R99" s="120"/>
      <c r="S99" s="120"/>
      <c r="T99" s="120"/>
      <c r="U99" s="120"/>
      <c r="V99" s="120"/>
      <c r="W99" s="120"/>
      <c r="X99" s="767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</row>
    <row r="100" spans="1:109" ht="15.75" thickBot="1">
      <c r="A100" s="1370" t="s">
        <v>300</v>
      </c>
      <c r="B100" s="1371"/>
      <c r="C100" s="542" t="s">
        <v>168</v>
      </c>
      <c r="D100" s="355">
        <v>10</v>
      </c>
      <c r="E100" s="355">
        <v>10</v>
      </c>
      <c r="F100" s="355">
        <v>10</v>
      </c>
      <c r="G100" s="543">
        <v>10</v>
      </c>
      <c r="H100" s="547">
        <v>10</v>
      </c>
      <c r="I100" s="355">
        <v>10</v>
      </c>
      <c r="J100" s="355">
        <v>10</v>
      </c>
      <c r="K100" s="1215">
        <v>10</v>
      </c>
      <c r="L100" s="547">
        <v>10</v>
      </c>
      <c r="M100" s="355">
        <v>10</v>
      </c>
      <c r="N100" s="355">
        <v>10</v>
      </c>
      <c r="O100" s="2438">
        <v>10</v>
      </c>
      <c r="P100" s="547">
        <v>10</v>
      </c>
      <c r="Q100" s="355">
        <v>10</v>
      </c>
      <c r="R100" s="355">
        <v>10</v>
      </c>
      <c r="S100" s="356">
        <v>10</v>
      </c>
      <c r="T100" s="356">
        <v>10</v>
      </c>
      <c r="U100" s="356">
        <v>10</v>
      </c>
      <c r="V100" s="356">
        <v>10</v>
      </c>
      <c r="W100" s="356">
        <v>10</v>
      </c>
      <c r="X100" s="356">
        <v>10</v>
      </c>
      <c r="Y100" s="356">
        <v>10</v>
      </c>
      <c r="Z100" s="356">
        <v>7</v>
      </c>
      <c r="AA100" s="356">
        <v>7</v>
      </c>
      <c r="AB100" s="356">
        <v>7</v>
      </c>
      <c r="AC100" s="356">
        <v>7</v>
      </c>
      <c r="AD100" s="356">
        <v>7</v>
      </c>
      <c r="AE100" s="356">
        <v>7</v>
      </c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</row>
    <row r="101" spans="1:109">
      <c r="A101" s="1023" t="s">
        <v>67</v>
      </c>
      <c r="B101" s="995">
        <f>COUNTA(C101:C106)</f>
        <v>6</v>
      </c>
      <c r="C101" s="1161" t="s">
        <v>190</v>
      </c>
      <c r="D101" s="1149">
        <v>8</v>
      </c>
      <c r="E101" s="1149">
        <v>10</v>
      </c>
      <c r="F101" s="1149">
        <v>1</v>
      </c>
      <c r="G101" s="1200">
        <v>2</v>
      </c>
      <c r="H101" s="2429">
        <v>3</v>
      </c>
      <c r="I101" s="1149">
        <v>4</v>
      </c>
      <c r="J101" s="1150">
        <v>2</v>
      </c>
      <c r="K101" s="1202">
        <v>2</v>
      </c>
      <c r="L101" s="1241">
        <v>5.66</v>
      </c>
      <c r="M101" s="1207">
        <v>7.5</v>
      </c>
      <c r="N101" s="1623">
        <v>4.67</v>
      </c>
      <c r="O101" s="2019">
        <v>6.33</v>
      </c>
      <c r="P101" s="1603">
        <v>5</v>
      </c>
      <c r="Q101" s="1297">
        <v>4.5</v>
      </c>
      <c r="R101" s="1221">
        <v>5</v>
      </c>
      <c r="S101" s="1222">
        <v>4.66</v>
      </c>
      <c r="T101" s="1603">
        <v>3.67</v>
      </c>
      <c r="U101" s="3007">
        <v>9.33</v>
      </c>
      <c r="V101" s="1221">
        <v>7</v>
      </c>
      <c r="W101" s="1222"/>
      <c r="X101" s="3135">
        <v>8</v>
      </c>
      <c r="Y101" s="3055">
        <v>5</v>
      </c>
      <c r="Z101" s="3055">
        <v>3</v>
      </c>
      <c r="AA101" s="3055">
        <v>3</v>
      </c>
      <c r="AB101" s="3055">
        <v>14</v>
      </c>
      <c r="AC101" s="3055"/>
      <c r="AD101" s="3055"/>
      <c r="AE101" s="3055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</row>
    <row r="102" spans="1:109">
      <c r="A102" s="1199" t="s">
        <v>67</v>
      </c>
      <c r="B102" s="996"/>
      <c r="C102" s="1163" t="s">
        <v>191</v>
      </c>
      <c r="D102" s="1151">
        <v>7</v>
      </c>
      <c r="E102" s="1151">
        <v>4</v>
      </c>
      <c r="F102" s="1151">
        <v>2</v>
      </c>
      <c r="G102" s="1155">
        <v>2</v>
      </c>
      <c r="H102" s="1272">
        <v>4</v>
      </c>
      <c r="I102" s="1151">
        <v>6</v>
      </c>
      <c r="J102" s="1152">
        <v>1</v>
      </c>
      <c r="K102" s="1204">
        <v>2</v>
      </c>
      <c r="L102" s="1183">
        <v>7</v>
      </c>
      <c r="M102" s="1208">
        <v>6.5</v>
      </c>
      <c r="N102" s="1624">
        <v>2.67</v>
      </c>
      <c r="O102" s="143">
        <v>5.33</v>
      </c>
      <c r="P102" s="1604">
        <v>4.67</v>
      </c>
      <c r="Q102" s="1262">
        <v>3</v>
      </c>
      <c r="R102" s="1262">
        <v>14.6</v>
      </c>
      <c r="S102" s="1263">
        <v>4.66</v>
      </c>
      <c r="T102" s="1604">
        <v>3</v>
      </c>
      <c r="U102" s="3008">
        <v>11</v>
      </c>
      <c r="V102" s="1262">
        <v>7</v>
      </c>
      <c r="W102" s="1263"/>
      <c r="X102" s="3116">
        <v>4</v>
      </c>
      <c r="Y102" s="3022">
        <v>2</v>
      </c>
      <c r="Z102" s="3022">
        <v>2</v>
      </c>
      <c r="AA102" s="3022">
        <v>2</v>
      </c>
      <c r="AB102" s="3022">
        <v>10</v>
      </c>
      <c r="AC102" s="3022"/>
      <c r="AD102" s="3022"/>
      <c r="AE102" s="3022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</row>
    <row r="103" spans="1:109">
      <c r="A103" s="1199" t="s">
        <v>67</v>
      </c>
      <c r="B103" s="996"/>
      <c r="C103" s="1163" t="s">
        <v>267</v>
      </c>
      <c r="D103" s="1151"/>
      <c r="E103" s="1151"/>
      <c r="F103" s="1151"/>
      <c r="G103" s="1155"/>
      <c r="H103" s="1272"/>
      <c r="I103" s="1151"/>
      <c r="J103" s="1152"/>
      <c r="K103" s="1204"/>
      <c r="L103" s="1183">
        <v>3</v>
      </c>
      <c r="M103" s="1208">
        <v>5</v>
      </c>
      <c r="N103" s="1624">
        <v>3.67</v>
      </c>
      <c r="O103" s="143">
        <v>4</v>
      </c>
      <c r="P103" s="1604">
        <v>2.67</v>
      </c>
      <c r="Q103" s="1262">
        <v>2.5</v>
      </c>
      <c r="R103" s="1262">
        <v>5.3</v>
      </c>
      <c r="S103" s="1263">
        <v>2.66</v>
      </c>
      <c r="T103" s="1604">
        <v>3.67</v>
      </c>
      <c r="U103" s="3008">
        <v>9</v>
      </c>
      <c r="V103" s="1262">
        <v>8</v>
      </c>
      <c r="W103" s="1263"/>
      <c r="X103" s="3116">
        <v>26</v>
      </c>
      <c r="Y103" s="3022">
        <v>3</v>
      </c>
      <c r="Z103" s="3022">
        <v>1</v>
      </c>
      <c r="AA103" s="3022">
        <v>2</v>
      </c>
      <c r="AB103" s="3022">
        <v>3</v>
      </c>
      <c r="AC103" s="3022"/>
      <c r="AD103" s="3022"/>
      <c r="AE103" s="3022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</row>
    <row r="104" spans="1:109">
      <c r="A104" s="1199" t="s">
        <v>67</v>
      </c>
      <c r="B104" s="996"/>
      <c r="C104" s="1163" t="s">
        <v>268</v>
      </c>
      <c r="D104" s="1151"/>
      <c r="E104" s="1151"/>
      <c r="F104" s="1151"/>
      <c r="G104" s="1155"/>
      <c r="H104" s="1272"/>
      <c r="I104" s="1151"/>
      <c r="J104" s="1152"/>
      <c r="K104" s="1204"/>
      <c r="L104" s="1183">
        <v>6</v>
      </c>
      <c r="M104" s="1208">
        <v>5</v>
      </c>
      <c r="N104" s="1621">
        <v>3</v>
      </c>
      <c r="O104" s="49">
        <v>4.67</v>
      </c>
      <c r="P104" s="2237">
        <v>2.67</v>
      </c>
      <c r="Q104" s="2451">
        <v>4</v>
      </c>
      <c r="R104" s="1264">
        <v>11.3</v>
      </c>
      <c r="S104" s="1265">
        <v>5.33</v>
      </c>
      <c r="T104" s="2237">
        <v>4.33</v>
      </c>
      <c r="U104" s="1152">
        <v>4</v>
      </c>
      <c r="V104" s="1264">
        <v>5</v>
      </c>
      <c r="W104" s="1265"/>
      <c r="X104" s="3136">
        <v>8</v>
      </c>
      <c r="Y104" s="3133">
        <v>5</v>
      </c>
      <c r="Z104" s="3133">
        <v>5</v>
      </c>
      <c r="AA104" s="3133">
        <v>5</v>
      </c>
      <c r="AB104" s="3133">
        <v>6</v>
      </c>
      <c r="AC104" s="3133"/>
      <c r="AD104" s="3133"/>
      <c r="AE104" s="3133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</row>
    <row r="105" spans="1:109">
      <c r="A105" s="1199" t="s">
        <v>67</v>
      </c>
      <c r="B105" s="996"/>
      <c r="C105" s="1163" t="s">
        <v>77</v>
      </c>
      <c r="D105" s="1151">
        <v>8</v>
      </c>
      <c r="E105" s="1151">
        <v>5</v>
      </c>
      <c r="F105" s="1151">
        <v>2</v>
      </c>
      <c r="G105" s="1155">
        <v>3</v>
      </c>
      <c r="H105" s="1272">
        <v>5</v>
      </c>
      <c r="I105" s="1151">
        <v>7</v>
      </c>
      <c r="J105" s="1152">
        <v>3</v>
      </c>
      <c r="K105" s="1204">
        <v>3</v>
      </c>
      <c r="L105" s="1183">
        <v>5.66</v>
      </c>
      <c r="M105" s="1208">
        <v>4.5</v>
      </c>
      <c r="N105" s="1621">
        <v>4</v>
      </c>
      <c r="O105" s="49">
        <v>8.67</v>
      </c>
      <c r="P105" s="2237">
        <v>6.33</v>
      </c>
      <c r="Q105" s="1264">
        <v>9.5</v>
      </c>
      <c r="R105" s="1264">
        <v>4.5999999999999996</v>
      </c>
      <c r="S105" s="1265">
        <v>8.33</v>
      </c>
      <c r="T105" s="2237">
        <v>7</v>
      </c>
      <c r="U105" s="1228">
        <v>15</v>
      </c>
      <c r="V105" s="1264">
        <v>8</v>
      </c>
      <c r="W105" s="1265"/>
      <c r="X105" s="3136">
        <v>15</v>
      </c>
      <c r="Y105" s="3133">
        <v>8</v>
      </c>
      <c r="Z105" s="3133">
        <v>4</v>
      </c>
      <c r="AA105" s="3133">
        <v>5</v>
      </c>
      <c r="AB105" s="3133">
        <v>53</v>
      </c>
      <c r="AC105" s="3133"/>
      <c r="AD105" s="3133"/>
      <c r="AE105" s="3133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</row>
    <row r="106" spans="1:109" ht="15.75" thickBot="1">
      <c r="A106" s="1205" t="s">
        <v>67</v>
      </c>
      <c r="B106" s="997"/>
      <c r="C106" s="1165" t="s">
        <v>269</v>
      </c>
      <c r="D106" s="1130"/>
      <c r="E106" s="1130"/>
      <c r="F106" s="1130"/>
      <c r="G106" s="1131"/>
      <c r="H106" s="1611"/>
      <c r="I106" s="1130"/>
      <c r="J106" s="1133"/>
      <c r="K106" s="1206"/>
      <c r="L106" s="1184">
        <v>1.66</v>
      </c>
      <c r="M106" s="1209">
        <v>2</v>
      </c>
      <c r="N106" s="1622">
        <v>2.67</v>
      </c>
      <c r="O106" s="2020">
        <v>5.67</v>
      </c>
      <c r="P106" s="1605">
        <v>2.33</v>
      </c>
      <c r="Q106" s="2465">
        <v>2</v>
      </c>
      <c r="R106" s="1266">
        <v>5.6</v>
      </c>
      <c r="S106" s="1267">
        <v>4.33</v>
      </c>
      <c r="T106" s="1605">
        <v>1.33</v>
      </c>
      <c r="U106" s="1133">
        <v>2.67</v>
      </c>
      <c r="V106" s="1266">
        <v>4</v>
      </c>
      <c r="W106" s="1267"/>
      <c r="X106" s="3137">
        <v>1</v>
      </c>
      <c r="Y106" s="3134">
        <v>1</v>
      </c>
      <c r="Z106" s="3134">
        <v>1</v>
      </c>
      <c r="AA106" s="3134">
        <v>2</v>
      </c>
      <c r="AB106" s="3134">
        <v>4</v>
      </c>
      <c r="AC106" s="3134"/>
      <c r="AD106" s="3134"/>
      <c r="AE106" s="3134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</row>
    <row r="107" spans="1:109">
      <c r="A107" s="1023" t="s">
        <v>186</v>
      </c>
      <c r="B107" s="995"/>
      <c r="C107" s="1344" t="s">
        <v>265</v>
      </c>
      <c r="D107" s="1181"/>
      <c r="E107" s="1181"/>
      <c r="F107" s="1181"/>
      <c r="G107" s="2446"/>
      <c r="H107" s="1610"/>
      <c r="I107" s="1181"/>
      <c r="J107" s="1612"/>
      <c r="K107" s="1182"/>
      <c r="L107" s="1241">
        <v>3</v>
      </c>
      <c r="M107" s="1207">
        <v>1</v>
      </c>
      <c r="N107" s="1623">
        <v>2.67</v>
      </c>
      <c r="O107" s="2019">
        <v>2.33</v>
      </c>
      <c r="P107" s="2227">
        <v>2.67</v>
      </c>
      <c r="Q107" s="2462">
        <v>2.5</v>
      </c>
      <c r="R107" s="1270">
        <v>1</v>
      </c>
      <c r="S107" s="1271">
        <v>1</v>
      </c>
      <c r="T107" s="2227">
        <v>1</v>
      </c>
      <c r="U107" s="1150">
        <v>1.67</v>
      </c>
      <c r="V107" s="1270">
        <v>2</v>
      </c>
      <c r="W107" s="1271"/>
      <c r="X107" s="3138">
        <v>2</v>
      </c>
      <c r="Y107" s="3142">
        <v>3</v>
      </c>
      <c r="Z107" s="3142">
        <v>2</v>
      </c>
      <c r="AA107" s="3142">
        <v>1</v>
      </c>
      <c r="AB107" s="3142">
        <v>8</v>
      </c>
      <c r="AC107" s="3142"/>
      <c r="AD107" s="3142"/>
      <c r="AE107" s="3142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</row>
    <row r="108" spans="1:109">
      <c r="A108" s="1199" t="s">
        <v>186</v>
      </c>
      <c r="B108" s="996"/>
      <c r="C108" s="1163" t="s">
        <v>79</v>
      </c>
      <c r="D108" s="1151">
        <v>14</v>
      </c>
      <c r="E108" s="1151">
        <v>19</v>
      </c>
      <c r="F108" s="1151">
        <v>8</v>
      </c>
      <c r="G108" s="1155">
        <v>12</v>
      </c>
      <c r="H108" s="1272">
        <v>10</v>
      </c>
      <c r="I108" s="1151">
        <v>11</v>
      </c>
      <c r="J108" s="1152">
        <v>7.5</v>
      </c>
      <c r="K108" s="1204">
        <v>7.66</v>
      </c>
      <c r="L108" s="1183">
        <v>8.33</v>
      </c>
      <c r="M108" s="1208">
        <v>9.5</v>
      </c>
      <c r="N108" s="1624">
        <v>8</v>
      </c>
      <c r="O108" s="143">
        <v>7</v>
      </c>
      <c r="P108" s="2228">
        <v>8</v>
      </c>
      <c r="Q108" s="1264">
        <v>10.5</v>
      </c>
      <c r="R108" s="1264">
        <v>7</v>
      </c>
      <c r="S108" s="1265">
        <v>7</v>
      </c>
      <c r="T108" s="2228">
        <v>7.67</v>
      </c>
      <c r="U108" s="1228">
        <v>10</v>
      </c>
      <c r="V108" s="1264">
        <v>11</v>
      </c>
      <c r="W108" s="1265"/>
      <c r="X108" s="3136">
        <v>5</v>
      </c>
      <c r="Y108" s="3133">
        <v>8</v>
      </c>
      <c r="Z108" s="3133">
        <v>18</v>
      </c>
      <c r="AA108" s="3133">
        <v>8</v>
      </c>
      <c r="AB108" s="3133">
        <v>76</v>
      </c>
      <c r="AC108" s="3133"/>
      <c r="AD108" s="3133"/>
      <c r="AE108" s="3133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</row>
    <row r="109" spans="1:109" s="4" customFormat="1">
      <c r="A109" s="1199" t="s">
        <v>186</v>
      </c>
      <c r="B109" s="996"/>
      <c r="C109" s="1163" t="s">
        <v>188</v>
      </c>
      <c r="D109" s="1151">
        <v>11</v>
      </c>
      <c r="E109" s="1151">
        <v>9</v>
      </c>
      <c r="F109" s="1151">
        <v>9</v>
      </c>
      <c r="G109" s="1155">
        <v>12.5</v>
      </c>
      <c r="H109" s="1272">
        <v>6</v>
      </c>
      <c r="I109" s="1151">
        <v>18.5</v>
      </c>
      <c r="J109" s="1152">
        <v>8</v>
      </c>
      <c r="K109" s="1204">
        <v>7.33</v>
      </c>
      <c r="L109" s="1183">
        <v>12</v>
      </c>
      <c r="M109" s="1208">
        <v>11</v>
      </c>
      <c r="N109" s="1624">
        <v>6.67</v>
      </c>
      <c r="O109" s="143">
        <v>5.33</v>
      </c>
      <c r="P109" s="2228">
        <v>13.33</v>
      </c>
      <c r="Q109" s="1264">
        <v>14</v>
      </c>
      <c r="R109" s="1264">
        <v>11.3</v>
      </c>
      <c r="S109" s="1265">
        <v>8.33</v>
      </c>
      <c r="T109" s="2228">
        <v>11.33</v>
      </c>
      <c r="U109" s="1228">
        <v>13.67</v>
      </c>
      <c r="V109" s="1264">
        <v>10</v>
      </c>
      <c r="W109" s="1265"/>
      <c r="X109" s="3136">
        <v>8</v>
      </c>
      <c r="Y109" s="3133">
        <v>10</v>
      </c>
      <c r="Z109" s="3133">
        <v>12</v>
      </c>
      <c r="AA109" s="3133">
        <v>8</v>
      </c>
      <c r="AB109" s="3133">
        <v>68</v>
      </c>
      <c r="AC109" s="3133"/>
      <c r="AD109" s="3133"/>
      <c r="AE109" s="3133"/>
      <c r="BF109" s="83"/>
      <c r="BG109" s="83"/>
      <c r="BH109" s="83"/>
      <c r="BI109" s="83"/>
      <c r="BJ109" s="83"/>
      <c r="BK109" s="83"/>
      <c r="BL109" s="83"/>
      <c r="BM109" s="83"/>
      <c r="BN109" s="83"/>
      <c r="BO109" s="83"/>
      <c r="BP109" s="83"/>
      <c r="BQ109" s="83"/>
      <c r="BR109" s="83"/>
      <c r="BS109" s="83"/>
      <c r="BT109" s="83"/>
      <c r="BU109" s="83"/>
      <c r="BV109" s="83"/>
      <c r="BW109" s="83"/>
      <c r="BX109" s="83"/>
      <c r="BY109" s="83"/>
      <c r="BZ109" s="83"/>
      <c r="CI109" s="83"/>
      <c r="CJ109" s="83"/>
      <c r="CK109" s="83"/>
      <c r="CL109" s="83"/>
      <c r="CM109" s="83"/>
      <c r="CN109" s="83"/>
      <c r="CO109" s="83"/>
      <c r="CP109" s="83"/>
      <c r="CQ109" s="83"/>
      <c r="CR109" s="83"/>
      <c r="CS109" s="83"/>
      <c r="CT109" s="83"/>
      <c r="CU109" s="83"/>
      <c r="CV109" s="83"/>
      <c r="CW109" s="83"/>
      <c r="CX109" s="83"/>
      <c r="CY109" s="83"/>
      <c r="CZ109" s="83"/>
      <c r="DA109" s="83"/>
      <c r="DB109" s="83"/>
      <c r="DC109" s="83"/>
      <c r="DD109" s="83"/>
      <c r="DE109" s="83"/>
    </row>
    <row r="110" spans="1:109" s="4" customFormat="1">
      <c r="A110" s="1199" t="s">
        <v>186</v>
      </c>
      <c r="B110" s="996"/>
      <c r="C110" s="1163" t="s">
        <v>72</v>
      </c>
      <c r="D110" s="1151">
        <v>12</v>
      </c>
      <c r="E110" s="1151">
        <v>10</v>
      </c>
      <c r="F110" s="1151">
        <v>4</v>
      </c>
      <c r="G110" s="1155">
        <v>9</v>
      </c>
      <c r="H110" s="1272">
        <v>12</v>
      </c>
      <c r="I110" s="1151">
        <v>14.5</v>
      </c>
      <c r="J110" s="1152">
        <v>5.5</v>
      </c>
      <c r="K110" s="1204">
        <v>12.33</v>
      </c>
      <c r="L110" s="1183">
        <v>16.329999999999998</v>
      </c>
      <c r="M110" s="1208">
        <v>10</v>
      </c>
      <c r="N110" s="1624">
        <v>6</v>
      </c>
      <c r="O110" s="143">
        <v>9</v>
      </c>
      <c r="P110" s="2228">
        <v>9.67</v>
      </c>
      <c r="Q110" s="2451">
        <v>12</v>
      </c>
      <c r="R110" s="1264">
        <v>12.6</v>
      </c>
      <c r="S110" s="1265">
        <v>10.33</v>
      </c>
      <c r="T110" s="2228">
        <v>12.33</v>
      </c>
      <c r="U110" s="1152">
        <v>16</v>
      </c>
      <c r="V110" s="1264">
        <v>9</v>
      </c>
      <c r="W110" s="1265"/>
      <c r="X110" s="3136">
        <v>8</v>
      </c>
      <c r="Y110" s="3133">
        <v>7</v>
      </c>
      <c r="Z110" s="3133">
        <v>18</v>
      </c>
      <c r="AA110" s="3133">
        <v>8</v>
      </c>
      <c r="AB110" s="3133">
        <v>66</v>
      </c>
      <c r="AC110" s="3133"/>
      <c r="AD110" s="3133"/>
      <c r="AE110" s="3133"/>
      <c r="BF110" s="83"/>
      <c r="BG110" s="83"/>
      <c r="BH110" s="83"/>
      <c r="BI110" s="83"/>
      <c r="BJ110" s="83"/>
      <c r="BK110" s="83"/>
      <c r="BL110" s="83"/>
      <c r="BM110" s="83"/>
      <c r="BN110" s="83"/>
      <c r="BO110" s="83"/>
      <c r="BP110" s="83"/>
      <c r="BQ110" s="83"/>
      <c r="BR110" s="83"/>
      <c r="BS110" s="83"/>
      <c r="BT110" s="83"/>
      <c r="BU110" s="83"/>
      <c r="BV110" s="83"/>
      <c r="BW110" s="83"/>
      <c r="BX110" s="83"/>
      <c r="BY110" s="83"/>
      <c r="BZ110" s="83"/>
      <c r="CI110" s="83"/>
      <c r="CJ110" s="83"/>
      <c r="CK110" s="83"/>
      <c r="CL110" s="83"/>
      <c r="CM110" s="83"/>
      <c r="CN110" s="83"/>
      <c r="CO110" s="83"/>
      <c r="CP110" s="83"/>
      <c r="CQ110" s="83"/>
      <c r="CR110" s="83"/>
      <c r="CS110" s="83"/>
      <c r="CT110" s="83"/>
      <c r="CU110" s="83"/>
      <c r="CV110" s="83"/>
      <c r="CW110" s="83"/>
      <c r="CX110" s="83"/>
      <c r="CY110" s="83"/>
      <c r="CZ110" s="83"/>
      <c r="DA110" s="83"/>
      <c r="DB110" s="83"/>
      <c r="DC110" s="83"/>
      <c r="DD110" s="83"/>
      <c r="DE110" s="83"/>
    </row>
    <row r="111" spans="1:109" s="4" customFormat="1">
      <c r="A111" s="1199" t="s">
        <v>186</v>
      </c>
      <c r="B111" s="996"/>
      <c r="C111" s="1163" t="s">
        <v>76</v>
      </c>
      <c r="D111" s="1151">
        <v>22</v>
      </c>
      <c r="E111" s="1151">
        <v>23</v>
      </c>
      <c r="F111" s="1151">
        <v>11</v>
      </c>
      <c r="G111" s="1155">
        <v>9.5</v>
      </c>
      <c r="H111" s="1272">
        <v>22</v>
      </c>
      <c r="I111" s="1151">
        <v>23</v>
      </c>
      <c r="J111" s="1152">
        <v>11</v>
      </c>
      <c r="K111" s="1204">
        <v>16.329999999999998</v>
      </c>
      <c r="L111" s="1273">
        <v>25.67</v>
      </c>
      <c r="M111" s="1614">
        <v>9.5</v>
      </c>
      <c r="N111" s="1624">
        <v>9.33</v>
      </c>
      <c r="O111" s="143">
        <v>16</v>
      </c>
      <c r="P111" s="2228">
        <v>27</v>
      </c>
      <c r="Q111" s="2460">
        <v>8</v>
      </c>
      <c r="R111" s="1275">
        <v>14.6</v>
      </c>
      <c r="S111" s="1276">
        <v>19.66</v>
      </c>
      <c r="T111" s="2228">
        <v>24</v>
      </c>
      <c r="U111" s="3009">
        <v>32.33</v>
      </c>
      <c r="V111" s="1275">
        <v>10</v>
      </c>
      <c r="W111" s="1276"/>
      <c r="X111" s="3139">
        <v>24</v>
      </c>
      <c r="Y111" s="3143">
        <v>34</v>
      </c>
      <c r="Z111" s="3143">
        <v>19</v>
      </c>
      <c r="AA111" s="3143">
        <v>8</v>
      </c>
      <c r="AB111" s="3143">
        <v>27</v>
      </c>
      <c r="AC111" s="3143"/>
      <c r="AD111" s="3143"/>
      <c r="AE111" s="3143"/>
      <c r="BF111" s="83"/>
      <c r="BG111" s="83"/>
      <c r="BH111" s="83"/>
      <c r="BI111" s="83"/>
      <c r="BJ111" s="83"/>
      <c r="BK111" s="83"/>
      <c r="BL111" s="83"/>
      <c r="BM111" s="83"/>
      <c r="BN111" s="83"/>
      <c r="BO111" s="83"/>
      <c r="BP111" s="83"/>
      <c r="BQ111" s="83"/>
      <c r="BR111" s="83"/>
      <c r="BS111" s="83"/>
      <c r="BT111" s="83"/>
      <c r="BU111" s="83"/>
      <c r="BV111" s="83"/>
      <c r="BW111" s="83"/>
      <c r="BX111" s="83"/>
      <c r="BY111" s="83"/>
      <c r="BZ111" s="83"/>
      <c r="CI111" s="83"/>
      <c r="CJ111" s="83"/>
      <c r="CK111" s="83"/>
      <c r="CL111" s="83"/>
      <c r="CM111" s="83"/>
      <c r="CN111" s="83"/>
      <c r="CO111" s="83"/>
      <c r="CP111" s="83"/>
      <c r="CQ111" s="83"/>
      <c r="CR111" s="83"/>
      <c r="CS111" s="83"/>
      <c r="CT111" s="83"/>
      <c r="CU111" s="83"/>
      <c r="CV111" s="83"/>
      <c r="CW111" s="83"/>
      <c r="CX111" s="83"/>
      <c r="CY111" s="83"/>
      <c r="CZ111" s="83"/>
      <c r="DA111" s="83"/>
      <c r="DB111" s="83"/>
      <c r="DC111" s="83"/>
      <c r="DD111" s="83"/>
      <c r="DE111" s="83"/>
    </row>
    <row r="112" spans="1:109" s="4" customFormat="1">
      <c r="A112" s="1199" t="s">
        <v>186</v>
      </c>
      <c r="B112" s="996"/>
      <c r="C112" s="1163" t="s">
        <v>189</v>
      </c>
      <c r="D112" s="1151">
        <v>10</v>
      </c>
      <c r="E112" s="1151">
        <v>16</v>
      </c>
      <c r="F112" s="1151">
        <v>9</v>
      </c>
      <c r="G112" s="1155">
        <v>11.5</v>
      </c>
      <c r="H112" s="1272">
        <v>11</v>
      </c>
      <c r="I112" s="1151">
        <v>19</v>
      </c>
      <c r="J112" s="1152">
        <v>9</v>
      </c>
      <c r="K112" s="1204">
        <v>11.66</v>
      </c>
      <c r="L112" s="1273">
        <v>13</v>
      </c>
      <c r="M112" s="1614">
        <v>16.5</v>
      </c>
      <c r="N112" s="1624">
        <v>9.33</v>
      </c>
      <c r="O112" s="143">
        <v>9</v>
      </c>
      <c r="P112" s="2228">
        <v>18.670000000000002</v>
      </c>
      <c r="Q112" s="1277">
        <v>12.5</v>
      </c>
      <c r="R112" s="1277">
        <v>9.6</v>
      </c>
      <c r="S112" s="1278">
        <v>11</v>
      </c>
      <c r="T112" s="2228">
        <v>11</v>
      </c>
      <c r="U112" s="3010">
        <v>16</v>
      </c>
      <c r="V112" s="1277">
        <v>8</v>
      </c>
      <c r="W112" s="1278"/>
      <c r="X112" s="3140">
        <v>14</v>
      </c>
      <c r="Y112" s="3144">
        <v>11</v>
      </c>
      <c r="Z112" s="3144"/>
      <c r="AA112" s="3144">
        <v>11</v>
      </c>
      <c r="AB112" s="3144">
        <v>26</v>
      </c>
      <c r="AC112" s="3144"/>
      <c r="AD112" s="3144"/>
      <c r="AE112" s="3144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F112" s="50"/>
      <c r="BG112" s="50"/>
      <c r="BH112" s="50"/>
      <c r="BI112" s="83"/>
      <c r="BJ112" s="83"/>
      <c r="BK112" s="83"/>
      <c r="BL112" s="83"/>
      <c r="BM112" s="83"/>
      <c r="BN112" s="83"/>
      <c r="BO112" s="83"/>
      <c r="BP112" s="83"/>
      <c r="BQ112" s="83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</row>
    <row r="113" spans="1:109" s="4" customFormat="1">
      <c r="A113" s="1199" t="s">
        <v>186</v>
      </c>
      <c r="B113" s="996"/>
      <c r="C113" s="1163" t="s">
        <v>266</v>
      </c>
      <c r="D113" s="1151"/>
      <c r="E113" s="1151"/>
      <c r="F113" s="1151"/>
      <c r="G113" s="1155"/>
      <c r="H113" s="1272"/>
      <c r="I113" s="1151"/>
      <c r="J113" s="1152"/>
      <c r="K113" s="1213"/>
      <c r="L113" s="1273">
        <v>2</v>
      </c>
      <c r="M113" s="1614">
        <v>5</v>
      </c>
      <c r="N113" s="1624">
        <v>4.33</v>
      </c>
      <c r="O113" s="143">
        <v>7.8</v>
      </c>
      <c r="P113" s="2228">
        <v>1.33</v>
      </c>
      <c r="Q113" s="1277">
        <v>5</v>
      </c>
      <c r="R113" s="1277">
        <v>3</v>
      </c>
      <c r="S113" s="1278">
        <v>3</v>
      </c>
      <c r="T113" s="2228">
        <v>5.33</v>
      </c>
      <c r="U113" s="3010">
        <v>9</v>
      </c>
      <c r="V113" s="1277">
        <v>2</v>
      </c>
      <c r="W113" s="1278"/>
      <c r="X113" s="3140">
        <v>1</v>
      </c>
      <c r="Y113" s="3144">
        <v>10</v>
      </c>
      <c r="Z113" s="3144">
        <v>2</v>
      </c>
      <c r="AA113" s="3144">
        <v>3</v>
      </c>
      <c r="AB113" s="3144">
        <v>5</v>
      </c>
      <c r="AC113" s="3144"/>
      <c r="AD113" s="3144"/>
      <c r="AE113" s="3144"/>
      <c r="BF113" s="83"/>
      <c r="BG113" s="83"/>
      <c r="BH113" s="83"/>
      <c r="BI113" s="83"/>
      <c r="BJ113" s="83"/>
      <c r="BK113" s="83"/>
      <c r="BL113" s="83"/>
      <c r="BM113" s="83"/>
      <c r="BN113" s="83"/>
      <c r="BO113" s="83"/>
      <c r="BP113" s="83"/>
      <c r="BQ113" s="83"/>
      <c r="BR113" s="83"/>
      <c r="BS113" s="83"/>
      <c r="BT113" s="83"/>
      <c r="BU113" s="83"/>
      <c r="BV113" s="83"/>
      <c r="BW113" s="83"/>
      <c r="BX113" s="83"/>
      <c r="BY113" s="83"/>
      <c r="BZ113" s="83"/>
      <c r="CI113" s="83"/>
      <c r="CJ113" s="83"/>
      <c r="CK113" s="83"/>
      <c r="CL113" s="83"/>
      <c r="CM113" s="83"/>
      <c r="CN113" s="83"/>
      <c r="CO113" s="83"/>
      <c r="CP113" s="83"/>
      <c r="CQ113" s="83"/>
      <c r="CR113" s="83"/>
      <c r="CS113" s="83"/>
      <c r="CT113" s="83"/>
      <c r="CU113" s="83"/>
      <c r="CV113" s="83"/>
      <c r="CW113" s="83"/>
      <c r="CX113" s="83"/>
      <c r="CY113" s="83"/>
      <c r="CZ113" s="83"/>
      <c r="DA113" s="83"/>
      <c r="DB113" s="83"/>
      <c r="DC113" s="83"/>
      <c r="DD113" s="83"/>
      <c r="DE113" s="83"/>
    </row>
    <row r="114" spans="1:109" s="4" customFormat="1" ht="15.75" thickBot="1">
      <c r="A114" s="1205" t="s">
        <v>186</v>
      </c>
      <c r="B114" s="997">
        <f>COUNTA(C114:C121)</f>
        <v>8</v>
      </c>
      <c r="C114" s="1165" t="s">
        <v>80</v>
      </c>
      <c r="D114" s="1130">
        <v>10</v>
      </c>
      <c r="E114" s="1130">
        <v>15</v>
      </c>
      <c r="F114" s="1130">
        <v>7</v>
      </c>
      <c r="G114" s="1131">
        <v>9.5</v>
      </c>
      <c r="H114" s="1611">
        <v>10</v>
      </c>
      <c r="I114" s="1130">
        <v>16</v>
      </c>
      <c r="J114" s="1133">
        <v>6</v>
      </c>
      <c r="K114" s="1214">
        <v>8.33</v>
      </c>
      <c r="L114" s="1613">
        <v>13</v>
      </c>
      <c r="M114" s="1615">
        <v>12</v>
      </c>
      <c r="N114" s="1622">
        <v>5.33</v>
      </c>
      <c r="O114" s="2020">
        <v>9</v>
      </c>
      <c r="P114" s="2229">
        <v>14.67</v>
      </c>
      <c r="Q114" s="633">
        <v>14.5</v>
      </c>
      <c r="R114" s="633">
        <v>10</v>
      </c>
      <c r="S114" s="634">
        <v>9</v>
      </c>
      <c r="T114" s="2229">
        <v>15</v>
      </c>
      <c r="U114" s="1136">
        <v>17</v>
      </c>
      <c r="V114" s="633">
        <v>9</v>
      </c>
      <c r="W114" s="634"/>
      <c r="X114" s="3141">
        <v>11</v>
      </c>
      <c r="Y114" s="3024">
        <v>14</v>
      </c>
      <c r="Z114" s="3024">
        <v>14</v>
      </c>
      <c r="AA114" s="3024">
        <v>10</v>
      </c>
      <c r="AB114" s="3024">
        <v>24</v>
      </c>
      <c r="AC114" s="3024"/>
      <c r="AD114" s="3024"/>
      <c r="AE114" s="3024"/>
      <c r="BF114" s="83"/>
      <c r="BG114" s="83"/>
      <c r="BH114" s="83"/>
      <c r="BI114" s="83"/>
      <c r="BJ114" s="83"/>
      <c r="BK114" s="83"/>
      <c r="BL114" s="83"/>
      <c r="BM114" s="83"/>
      <c r="BN114" s="83"/>
      <c r="BO114" s="83"/>
      <c r="BP114" s="83"/>
      <c r="BQ114" s="83"/>
      <c r="BR114" s="83"/>
      <c r="BS114" s="83"/>
      <c r="BT114" s="83"/>
      <c r="BU114" s="83"/>
      <c r="BV114" s="83"/>
      <c r="BW114" s="83"/>
      <c r="BX114" s="83"/>
      <c r="BY114" s="83"/>
      <c r="BZ114" s="83"/>
      <c r="CI114" s="83"/>
      <c r="CJ114" s="83"/>
      <c r="CK114" s="83"/>
      <c r="CL114" s="83"/>
      <c r="CM114" s="83"/>
      <c r="CN114" s="83"/>
      <c r="CO114" s="83"/>
      <c r="CP114" s="83"/>
      <c r="CQ114" s="83"/>
      <c r="CR114" s="83"/>
      <c r="CS114" s="83"/>
      <c r="CT114" s="83"/>
      <c r="CU114" s="83"/>
      <c r="CV114" s="83"/>
      <c r="CW114" s="83"/>
      <c r="CX114" s="83"/>
      <c r="CY114" s="83"/>
      <c r="CZ114" s="83"/>
      <c r="DA114" s="83"/>
      <c r="DB114" s="83"/>
      <c r="DC114" s="83"/>
      <c r="DD114" s="83"/>
      <c r="DE114" s="83"/>
    </row>
    <row r="115" spans="1:109" s="4" customFormat="1">
      <c r="A115" s="1023" t="s">
        <v>68</v>
      </c>
      <c r="B115" s="995"/>
      <c r="C115" s="1161" t="s">
        <v>351</v>
      </c>
      <c r="D115" s="1280"/>
      <c r="E115" s="1280"/>
      <c r="F115" s="1280"/>
      <c r="G115" s="1281"/>
      <c r="H115" s="2447"/>
      <c r="I115" s="1149">
        <v>8.5</v>
      </c>
      <c r="J115" s="1150">
        <v>4</v>
      </c>
      <c r="K115" s="1202">
        <v>6.33</v>
      </c>
      <c r="L115" s="1241">
        <v>7.5</v>
      </c>
      <c r="M115" s="1207">
        <v>7.5</v>
      </c>
      <c r="N115" s="1623">
        <v>5.33</v>
      </c>
      <c r="O115" s="2019">
        <v>6</v>
      </c>
      <c r="P115" s="1603">
        <v>12.67</v>
      </c>
      <c r="Q115" s="1119">
        <v>17.5</v>
      </c>
      <c r="R115" s="1119">
        <v>8</v>
      </c>
      <c r="S115" s="1120">
        <v>6</v>
      </c>
      <c r="T115" s="1603">
        <v>11.67</v>
      </c>
      <c r="U115" s="1118">
        <v>11</v>
      </c>
      <c r="V115" s="1119">
        <v>7</v>
      </c>
      <c r="W115" s="1120"/>
      <c r="X115" s="3145">
        <v>12</v>
      </c>
      <c r="Y115" s="3020">
        <v>5</v>
      </c>
      <c r="Z115" s="3020">
        <v>1</v>
      </c>
      <c r="AA115" s="3020">
        <v>6.25</v>
      </c>
      <c r="AB115" s="3020">
        <v>9</v>
      </c>
      <c r="AC115" s="3020"/>
      <c r="AD115" s="3020"/>
      <c r="AE115" s="3020"/>
      <c r="BF115" s="83"/>
      <c r="BG115" s="83"/>
      <c r="BH115" s="83"/>
      <c r="BI115" s="83"/>
      <c r="BJ115" s="83"/>
      <c r="BK115" s="83"/>
      <c r="BL115" s="83"/>
      <c r="BM115" s="83"/>
      <c r="BN115" s="83"/>
      <c r="BO115" s="83"/>
      <c r="BP115" s="83"/>
      <c r="BQ115" s="83"/>
      <c r="BR115" s="83"/>
      <c r="BS115" s="83"/>
      <c r="BT115" s="83"/>
      <c r="BU115" s="83"/>
      <c r="BV115" s="83"/>
      <c r="BW115" s="83"/>
      <c r="BX115" s="83"/>
      <c r="BY115" s="83"/>
      <c r="BZ115" s="83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3"/>
      <c r="CW115" s="83"/>
      <c r="CX115" s="83"/>
      <c r="CY115" s="83"/>
      <c r="CZ115" s="83"/>
      <c r="DA115" s="83"/>
      <c r="DB115" s="83"/>
      <c r="DC115" s="83"/>
      <c r="DD115" s="83"/>
      <c r="DE115" s="83"/>
    </row>
    <row r="116" spans="1:109" s="4" customFormat="1">
      <c r="A116" s="1199" t="s">
        <v>68</v>
      </c>
      <c r="B116" s="996"/>
      <c r="C116" s="1163" t="s">
        <v>78</v>
      </c>
      <c r="D116" s="1282"/>
      <c r="E116" s="1282"/>
      <c r="F116" s="1282"/>
      <c r="G116" s="1283"/>
      <c r="H116" s="2448"/>
      <c r="I116" s="1151">
        <v>11</v>
      </c>
      <c r="J116" s="1152">
        <v>4</v>
      </c>
      <c r="K116" s="1204">
        <v>7.33</v>
      </c>
      <c r="L116" s="1183">
        <v>10.5</v>
      </c>
      <c r="M116" s="1208">
        <v>10.5</v>
      </c>
      <c r="N116" s="1624">
        <v>8.33</v>
      </c>
      <c r="O116" s="143">
        <v>5.67</v>
      </c>
      <c r="P116" s="1604">
        <v>15.67</v>
      </c>
      <c r="Q116" s="1127">
        <v>25</v>
      </c>
      <c r="R116" s="1127">
        <v>5.33</v>
      </c>
      <c r="S116" s="1128">
        <v>11</v>
      </c>
      <c r="T116" s="1604">
        <v>19</v>
      </c>
      <c r="U116" s="1126">
        <v>19</v>
      </c>
      <c r="V116" s="1127">
        <v>15</v>
      </c>
      <c r="W116" s="1128"/>
      <c r="X116" s="3107">
        <v>19</v>
      </c>
      <c r="Y116" s="3021">
        <v>6</v>
      </c>
      <c r="Z116" s="3021">
        <v>10</v>
      </c>
      <c r="AA116" s="3021">
        <v>11.25</v>
      </c>
      <c r="AB116" s="3021">
        <v>9</v>
      </c>
      <c r="AC116" s="3021"/>
      <c r="AD116" s="3021"/>
      <c r="AE116" s="3021"/>
      <c r="BF116" s="83"/>
      <c r="BG116" s="83"/>
      <c r="BH116" s="83"/>
      <c r="BI116" s="83"/>
      <c r="BJ116" s="83"/>
      <c r="BK116" s="83"/>
      <c r="BL116" s="83"/>
      <c r="BM116" s="83"/>
      <c r="BN116" s="83"/>
      <c r="BO116" s="83"/>
      <c r="BP116" s="83"/>
      <c r="BQ116" s="83"/>
      <c r="BR116" s="83"/>
      <c r="BS116" s="83"/>
      <c r="BT116" s="83"/>
      <c r="BU116" s="83"/>
      <c r="BV116" s="83"/>
      <c r="BW116" s="83"/>
      <c r="BX116" s="83"/>
      <c r="BY116" s="83"/>
      <c r="BZ116" s="83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  <c r="DB116" s="83"/>
      <c r="DC116" s="83"/>
      <c r="DD116" s="83"/>
      <c r="DE116" s="83"/>
    </row>
    <row r="117" spans="1:109" s="4" customFormat="1">
      <c r="A117" s="1199" t="s">
        <v>68</v>
      </c>
      <c r="B117" s="996">
        <f>COUNTA(C117:C121)</f>
        <v>5</v>
      </c>
      <c r="C117" s="1163" t="s">
        <v>69</v>
      </c>
      <c r="D117" s="1282"/>
      <c r="E117" s="1282"/>
      <c r="F117" s="1282"/>
      <c r="G117" s="1283"/>
      <c r="H117" s="2448"/>
      <c r="I117" s="1151">
        <v>1</v>
      </c>
      <c r="J117" s="1152">
        <v>1.5</v>
      </c>
      <c r="K117" s="1204">
        <v>2.33</v>
      </c>
      <c r="L117" s="1183">
        <v>1</v>
      </c>
      <c r="M117" s="1208">
        <v>1.5</v>
      </c>
      <c r="N117" s="1624">
        <v>2</v>
      </c>
      <c r="O117" s="143">
        <v>2.33</v>
      </c>
      <c r="P117" s="1604">
        <v>30</v>
      </c>
      <c r="Q117" s="1127">
        <v>2.5</v>
      </c>
      <c r="R117" s="1127">
        <v>1.66</v>
      </c>
      <c r="S117" s="1128">
        <v>1.33</v>
      </c>
      <c r="T117" s="1604">
        <v>7.5</v>
      </c>
      <c r="U117" s="1126">
        <v>2.06</v>
      </c>
      <c r="V117" s="1127">
        <v>1</v>
      </c>
      <c r="W117" s="1128"/>
      <c r="X117" s="3107">
        <v>3</v>
      </c>
      <c r="Y117" s="3021">
        <v>1</v>
      </c>
      <c r="Z117" s="3021">
        <v>12</v>
      </c>
      <c r="AA117" s="3021">
        <v>6.25</v>
      </c>
      <c r="AB117" s="3021">
        <v>4</v>
      </c>
      <c r="AC117" s="3021"/>
      <c r="AD117" s="3021"/>
      <c r="AE117" s="3021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F117" s="50"/>
      <c r="BG117" s="50"/>
      <c r="BH117" s="50"/>
      <c r="BI117" s="83"/>
      <c r="BJ117" s="83"/>
      <c r="BK117" s="83"/>
      <c r="BL117" s="83"/>
      <c r="BM117" s="83"/>
      <c r="BN117" s="83"/>
      <c r="BO117" s="83"/>
      <c r="BP117" s="83"/>
      <c r="BQ117" s="83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</row>
    <row r="118" spans="1:109" s="4" customFormat="1">
      <c r="A118" s="1199" t="s">
        <v>68</v>
      </c>
      <c r="B118" s="996"/>
      <c r="C118" s="1163" t="s">
        <v>75</v>
      </c>
      <c r="D118" s="1282"/>
      <c r="E118" s="1282"/>
      <c r="F118" s="1282"/>
      <c r="G118" s="1283"/>
      <c r="H118" s="2448"/>
      <c r="I118" s="1151">
        <v>6</v>
      </c>
      <c r="J118" s="1152">
        <v>2</v>
      </c>
      <c r="K118" s="1204">
        <v>2.33</v>
      </c>
      <c r="L118" s="1183">
        <v>10.5</v>
      </c>
      <c r="M118" s="1208">
        <v>10.5</v>
      </c>
      <c r="N118" s="1624">
        <v>4</v>
      </c>
      <c r="O118" s="143">
        <v>5</v>
      </c>
      <c r="P118" s="1604">
        <v>35.33</v>
      </c>
      <c r="Q118" s="1127">
        <v>3.5</v>
      </c>
      <c r="R118" s="1127">
        <v>3.55</v>
      </c>
      <c r="S118" s="1128">
        <v>2.33</v>
      </c>
      <c r="T118" s="1604">
        <v>3.11</v>
      </c>
      <c r="U118" s="1126">
        <v>4.78</v>
      </c>
      <c r="V118" s="1127">
        <v>3.33</v>
      </c>
      <c r="W118" s="1128"/>
      <c r="X118" s="3107">
        <v>3</v>
      </c>
      <c r="Y118" s="3021">
        <v>4.67</v>
      </c>
      <c r="Z118" s="3343">
        <f>11/3</f>
        <v>3.6666666666666665</v>
      </c>
      <c r="AA118" s="3021">
        <f>AVERAGE(3.25,4,4)</f>
        <v>3.75</v>
      </c>
      <c r="AB118" s="3021"/>
      <c r="AC118" s="3021"/>
      <c r="AD118" s="3021"/>
      <c r="AE118" s="3021"/>
      <c r="BF118" s="83"/>
      <c r="BG118" s="83"/>
      <c r="BH118" s="83"/>
      <c r="BI118" s="83"/>
      <c r="BJ118" s="83"/>
      <c r="BK118" s="83"/>
      <c r="BL118" s="83"/>
      <c r="BM118" s="83"/>
      <c r="BN118" s="83"/>
      <c r="BO118" s="83"/>
      <c r="BP118" s="83"/>
      <c r="BQ118" s="83"/>
      <c r="BR118" s="83"/>
      <c r="BS118" s="83"/>
      <c r="BT118" s="83"/>
      <c r="BU118" s="83"/>
      <c r="BV118" s="83"/>
      <c r="BW118" s="83"/>
      <c r="BX118" s="83"/>
      <c r="BY118" s="83"/>
      <c r="BZ118" s="83"/>
      <c r="CI118" s="83"/>
      <c r="CJ118" s="83"/>
      <c r="CK118" s="83"/>
      <c r="CL118" s="83"/>
      <c r="CM118" s="83"/>
      <c r="CN118" s="83"/>
      <c r="CO118" s="83"/>
      <c r="CP118" s="83"/>
      <c r="CQ118" s="83"/>
      <c r="CR118" s="83"/>
      <c r="CS118" s="83"/>
      <c r="CT118" s="83"/>
      <c r="CU118" s="83"/>
      <c r="CV118" s="83"/>
      <c r="CW118" s="83"/>
      <c r="CX118" s="83"/>
      <c r="CY118" s="83"/>
      <c r="CZ118" s="83"/>
      <c r="DA118" s="83"/>
      <c r="DB118" s="83"/>
      <c r="DC118" s="83"/>
      <c r="DD118" s="83"/>
      <c r="DE118" s="83"/>
    </row>
    <row r="119" spans="1:109" ht="15.75" thickBot="1">
      <c r="A119" s="1205" t="s">
        <v>68</v>
      </c>
      <c r="B119" s="997"/>
      <c r="C119" s="1165" t="s">
        <v>73</v>
      </c>
      <c r="D119" s="1284"/>
      <c r="E119" s="1284"/>
      <c r="F119" s="1284"/>
      <c r="G119" s="1285"/>
      <c r="H119" s="2449"/>
      <c r="I119" s="1130">
        <v>1</v>
      </c>
      <c r="J119" s="1133">
        <v>2.5</v>
      </c>
      <c r="K119" s="1206">
        <v>4.33</v>
      </c>
      <c r="L119" s="1184">
        <v>1.5</v>
      </c>
      <c r="M119" s="1209">
        <v>1.5</v>
      </c>
      <c r="N119" s="1622">
        <v>3.33</v>
      </c>
      <c r="O119" s="2020">
        <v>4</v>
      </c>
      <c r="P119" s="1605">
        <v>1.67</v>
      </c>
      <c r="Q119" s="633">
        <v>2.5</v>
      </c>
      <c r="R119" s="633">
        <v>3.33</v>
      </c>
      <c r="S119" s="634">
        <v>2.66</v>
      </c>
      <c r="T119" s="1605">
        <v>1.33</v>
      </c>
      <c r="U119" s="1136">
        <v>2.7</v>
      </c>
      <c r="V119" s="633">
        <v>2</v>
      </c>
      <c r="W119" s="634"/>
      <c r="X119" s="3141">
        <v>3</v>
      </c>
      <c r="Y119" s="3024"/>
      <c r="Z119" s="3024">
        <v>5</v>
      </c>
      <c r="AA119" s="3024">
        <v>3.5</v>
      </c>
      <c r="AB119" s="2928" t="s">
        <v>336</v>
      </c>
      <c r="AC119" s="3024"/>
      <c r="AD119" s="3024"/>
      <c r="AE119" s="3024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/>
      <c r="CG119" s="61"/>
    </row>
    <row r="120" spans="1:109" ht="15" customHeight="1">
      <c r="A120" s="1024" t="s">
        <v>70</v>
      </c>
      <c r="B120" s="1065"/>
      <c r="C120" s="1286" t="s">
        <v>192</v>
      </c>
      <c r="D120" s="1149">
        <v>5</v>
      </c>
      <c r="E120" s="1149">
        <v>5</v>
      </c>
      <c r="F120" s="1149">
        <v>3</v>
      </c>
      <c r="G120" s="1200">
        <v>6</v>
      </c>
      <c r="H120" s="2429">
        <v>2</v>
      </c>
      <c r="I120" s="1149">
        <v>5</v>
      </c>
      <c r="J120" s="1150">
        <v>4</v>
      </c>
      <c r="K120" s="1202">
        <v>6</v>
      </c>
      <c r="L120" s="1241">
        <v>1</v>
      </c>
      <c r="M120" s="1207">
        <v>4.5</v>
      </c>
      <c r="N120" s="1623">
        <v>4</v>
      </c>
      <c r="O120" s="2019">
        <v>3.33</v>
      </c>
      <c r="P120" s="1603">
        <v>13.33</v>
      </c>
      <c r="Q120" s="1119">
        <v>4.5</v>
      </c>
      <c r="R120" s="1119">
        <v>4.33</v>
      </c>
      <c r="S120" s="1120">
        <v>3.66</v>
      </c>
      <c r="T120" s="1603">
        <v>4</v>
      </c>
      <c r="U120" s="1118">
        <v>4.33</v>
      </c>
      <c r="V120" s="1119">
        <v>6</v>
      </c>
      <c r="W120" s="1120"/>
      <c r="X120" s="3107">
        <v>1</v>
      </c>
      <c r="Y120" s="3021">
        <v>9</v>
      </c>
      <c r="Z120" s="3021">
        <v>3</v>
      </c>
      <c r="AA120" s="3021">
        <v>4.5</v>
      </c>
      <c r="AB120" s="3021">
        <v>8</v>
      </c>
      <c r="AC120" s="3021"/>
      <c r="AD120" s="3021"/>
      <c r="AE120" s="302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</row>
    <row r="121" spans="1:109" ht="15.75" customHeight="1">
      <c r="A121" s="1279" t="s">
        <v>70</v>
      </c>
      <c r="B121" s="998"/>
      <c r="C121" s="1197" t="s">
        <v>281</v>
      </c>
      <c r="D121" s="1151">
        <v>24</v>
      </c>
      <c r="E121" s="1151">
        <v>9</v>
      </c>
      <c r="F121" s="1151">
        <v>3</v>
      </c>
      <c r="G121" s="1155">
        <v>4.5</v>
      </c>
      <c r="H121" s="1272">
        <v>2</v>
      </c>
      <c r="I121" s="1151">
        <v>5.5</v>
      </c>
      <c r="J121" s="1152">
        <v>4.5</v>
      </c>
      <c r="K121" s="1204">
        <v>5.33</v>
      </c>
      <c r="L121" s="1183">
        <v>5</v>
      </c>
      <c r="M121" s="1208">
        <v>5.5</v>
      </c>
      <c r="N121" s="1624">
        <v>4.33</v>
      </c>
      <c r="O121" s="143">
        <v>5</v>
      </c>
      <c r="P121" s="1604">
        <v>6</v>
      </c>
      <c r="Q121" s="1127">
        <v>6</v>
      </c>
      <c r="R121" s="1127">
        <v>6.33</v>
      </c>
      <c r="S121" s="1128">
        <v>4.33</v>
      </c>
      <c r="T121" s="1604">
        <v>7.67</v>
      </c>
      <c r="U121" s="1126">
        <v>10</v>
      </c>
      <c r="V121" s="1127">
        <v>8</v>
      </c>
      <c r="W121" s="1128"/>
      <c r="X121" s="3107">
        <v>11</v>
      </c>
      <c r="Y121" s="3021">
        <v>5</v>
      </c>
      <c r="Z121" s="3021">
        <v>5</v>
      </c>
      <c r="AA121" s="3021">
        <v>7</v>
      </c>
      <c r="AB121" s="3021">
        <v>6</v>
      </c>
      <c r="AC121" s="3021"/>
      <c r="AD121" s="3021"/>
      <c r="AE121" s="302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</row>
    <row r="122" spans="1:109" s="2" customFormat="1">
      <c r="A122" s="1279" t="s">
        <v>70</v>
      </c>
      <c r="B122" s="998"/>
      <c r="C122" s="1197" t="s">
        <v>270</v>
      </c>
      <c r="D122" s="1151">
        <v>5</v>
      </c>
      <c r="E122" s="1151">
        <v>1</v>
      </c>
      <c r="F122" s="1151">
        <v>1</v>
      </c>
      <c r="G122" s="1155">
        <v>2</v>
      </c>
      <c r="H122" s="1272">
        <v>4</v>
      </c>
      <c r="I122" s="1151">
        <v>0.5</v>
      </c>
      <c r="J122" s="1152">
        <v>3</v>
      </c>
      <c r="K122" s="1204">
        <v>2</v>
      </c>
      <c r="L122" s="1183">
        <v>1.5</v>
      </c>
      <c r="M122" s="1208">
        <v>1.5</v>
      </c>
      <c r="N122" s="1624">
        <v>2.67</v>
      </c>
      <c r="O122" s="143">
        <v>6.67</v>
      </c>
      <c r="P122" s="1604">
        <v>1</v>
      </c>
      <c r="Q122" s="1127">
        <v>3</v>
      </c>
      <c r="R122" s="1127">
        <v>5</v>
      </c>
      <c r="S122" s="1128">
        <v>1.66</v>
      </c>
      <c r="T122" s="1604">
        <v>3.67</v>
      </c>
      <c r="U122" s="1126">
        <v>2.33</v>
      </c>
      <c r="V122" s="1127">
        <v>3</v>
      </c>
      <c r="W122" s="1128"/>
      <c r="X122" s="3107">
        <v>3</v>
      </c>
      <c r="Y122" s="3021">
        <v>1</v>
      </c>
      <c r="Z122" s="3021">
        <v>8</v>
      </c>
      <c r="AA122" s="3021">
        <v>3.5</v>
      </c>
      <c r="AB122" s="3021">
        <v>2</v>
      </c>
      <c r="AC122" s="3021"/>
      <c r="AD122" s="3021"/>
      <c r="AE122" s="3021"/>
      <c r="AF122" s="132"/>
      <c r="AG122" s="132"/>
      <c r="AH122" s="132"/>
      <c r="AI122" s="132"/>
      <c r="AJ122" s="132"/>
      <c r="AK122" s="132"/>
      <c r="AL122" s="132"/>
      <c r="AM122" s="132"/>
      <c r="AN122" s="132"/>
      <c r="AO122" s="132"/>
      <c r="AP122" s="132"/>
      <c r="AQ122" s="132"/>
      <c r="AR122" s="132"/>
      <c r="AS122" s="132"/>
      <c r="AT122" s="132"/>
      <c r="AU122" s="132"/>
      <c r="AV122" s="132"/>
      <c r="AW122" s="132"/>
      <c r="AX122" s="132"/>
      <c r="AY122" s="132"/>
      <c r="AZ122" s="132"/>
      <c r="BA122" s="132"/>
      <c r="BB122" s="132"/>
      <c r="BC122" s="132"/>
      <c r="BD122" s="132"/>
      <c r="BE122" s="132"/>
      <c r="BF122" s="132"/>
      <c r="BG122" s="132"/>
      <c r="BH122" s="132"/>
      <c r="BI122" s="132"/>
      <c r="BJ122" s="132"/>
      <c r="BK122" s="132"/>
      <c r="BL122" s="132"/>
      <c r="BM122" s="132"/>
      <c r="BN122" s="132"/>
      <c r="BO122" s="132"/>
      <c r="BP122" s="132"/>
      <c r="BQ122" s="132"/>
      <c r="BR122" s="132"/>
      <c r="BS122" s="132"/>
      <c r="BT122" s="132"/>
      <c r="BU122" s="132"/>
      <c r="BV122" s="132"/>
      <c r="BW122" s="132"/>
      <c r="BX122" s="132"/>
      <c r="BY122" s="132" t="s">
        <v>292</v>
      </c>
      <c r="BZ122" s="132" t="s">
        <v>293</v>
      </c>
      <c r="CA122" s="132" t="s">
        <v>294</v>
      </c>
      <c r="CB122" s="132"/>
      <c r="CC122" s="132"/>
      <c r="CD122" s="132"/>
      <c r="CE122" s="132"/>
      <c r="CF122" s="132"/>
      <c r="CG122" s="132"/>
    </row>
    <row r="123" spans="1:109">
      <c r="A123" s="1279" t="s">
        <v>70</v>
      </c>
      <c r="B123" s="998">
        <f>COUNTA(C123:C127)</f>
        <v>5</v>
      </c>
      <c r="C123" s="1197" t="s">
        <v>71</v>
      </c>
      <c r="D123" s="1151">
        <v>4</v>
      </c>
      <c r="E123" s="1151">
        <v>5</v>
      </c>
      <c r="F123" s="1151">
        <v>2</v>
      </c>
      <c r="G123" s="1155">
        <v>3</v>
      </c>
      <c r="H123" s="1272">
        <v>2</v>
      </c>
      <c r="I123" s="1151">
        <v>8</v>
      </c>
      <c r="J123" s="1152">
        <v>3.5</v>
      </c>
      <c r="K123" s="1204">
        <v>3.66</v>
      </c>
      <c r="L123" s="1183">
        <v>3.5</v>
      </c>
      <c r="M123" s="1208">
        <v>5</v>
      </c>
      <c r="N123" s="1624">
        <v>4</v>
      </c>
      <c r="O123" s="143">
        <v>3</v>
      </c>
      <c r="P123" s="1604">
        <v>3</v>
      </c>
      <c r="Q123" s="1127">
        <v>8.5</v>
      </c>
      <c r="R123" s="1127">
        <v>11</v>
      </c>
      <c r="S123" s="1128">
        <v>4</v>
      </c>
      <c r="T123" s="1604">
        <v>5.67</v>
      </c>
      <c r="U123" s="1126">
        <v>10</v>
      </c>
      <c r="V123" s="1127">
        <v>4</v>
      </c>
      <c r="W123" s="1128"/>
      <c r="X123" s="3107">
        <v>4</v>
      </c>
      <c r="Y123" s="3021">
        <v>5</v>
      </c>
      <c r="Z123" s="3021">
        <v>6</v>
      </c>
      <c r="AA123" s="3021">
        <v>4.5</v>
      </c>
      <c r="AB123" s="3021">
        <v>7</v>
      </c>
      <c r="AC123" s="3021"/>
      <c r="AD123" s="3021"/>
      <c r="AE123" s="302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</row>
    <row r="124" spans="1:109" ht="15" customHeight="1" thickBot="1">
      <c r="A124" s="1287" t="s">
        <v>70</v>
      </c>
      <c r="B124" s="1288"/>
      <c r="C124" s="1198" t="s">
        <v>81</v>
      </c>
      <c r="D124" s="1130">
        <v>2</v>
      </c>
      <c r="E124" s="1130">
        <v>65</v>
      </c>
      <c r="F124" s="1130">
        <v>3</v>
      </c>
      <c r="G124" s="1131">
        <v>80.5</v>
      </c>
      <c r="H124" s="1611">
        <v>6</v>
      </c>
      <c r="I124" s="1130">
        <v>14.7</v>
      </c>
      <c r="J124" s="1133">
        <v>31.5</v>
      </c>
      <c r="K124" s="1206">
        <v>27.66</v>
      </c>
      <c r="L124" s="1184">
        <v>3.5</v>
      </c>
      <c r="M124" s="1209">
        <v>15</v>
      </c>
      <c r="N124" s="1622">
        <v>15</v>
      </c>
      <c r="O124" s="2020">
        <v>40</v>
      </c>
      <c r="P124" s="1605">
        <v>100.67</v>
      </c>
      <c r="Q124" s="633">
        <v>339</v>
      </c>
      <c r="R124" s="633">
        <v>33</v>
      </c>
      <c r="S124" s="634">
        <v>58.33</v>
      </c>
      <c r="T124" s="1605">
        <v>489</v>
      </c>
      <c r="U124" s="1136">
        <v>685</v>
      </c>
      <c r="V124" s="633" t="s">
        <v>278</v>
      </c>
      <c r="W124" s="634"/>
      <c r="X124" s="3141">
        <v>378</v>
      </c>
      <c r="Y124" s="3024">
        <v>600</v>
      </c>
      <c r="Z124" s="3024">
        <v>990</v>
      </c>
      <c r="AA124" s="3024">
        <v>567</v>
      </c>
      <c r="AB124" s="2928">
        <v>390</v>
      </c>
      <c r="AC124" s="3024"/>
      <c r="AD124" s="3024"/>
      <c r="AE124" s="3024"/>
      <c r="AF124" s="13"/>
      <c r="AG124" s="61"/>
      <c r="AH124" s="61"/>
      <c r="AI124" s="61"/>
      <c r="AJ124" s="61"/>
      <c r="AK124" s="129"/>
      <c r="AL124" s="137"/>
      <c r="AM124" s="129"/>
      <c r="AN124" s="137"/>
      <c r="AO124" s="13"/>
      <c r="AP124" s="61"/>
      <c r="AQ124" s="61"/>
      <c r="AR124" s="61"/>
      <c r="AS124" s="61"/>
      <c r="AT124" s="137"/>
      <c r="AU124" s="129"/>
      <c r="AV124" s="129"/>
      <c r="AW124" s="13"/>
      <c r="AX124" s="61"/>
      <c r="AY124" s="61"/>
      <c r="AZ124" s="61"/>
      <c r="BA124" s="61"/>
      <c r="BB124" s="61"/>
      <c r="BC124" s="129"/>
      <c r="BD124" s="129"/>
      <c r="BE124" s="129"/>
      <c r="BF124" s="13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>
        <v>29.167000000000002</v>
      </c>
      <c r="BZ124" s="61">
        <v>31.86</v>
      </c>
      <c r="CA124" s="61">
        <v>40.950000000000003</v>
      </c>
      <c r="CB124" s="61"/>
      <c r="CC124" s="61"/>
      <c r="CD124" s="61"/>
      <c r="CE124" s="61"/>
      <c r="CF124" s="61"/>
      <c r="CG124" s="61"/>
    </row>
    <row r="125" spans="1:109">
      <c r="A125" s="114"/>
      <c r="B125" s="114"/>
      <c r="C125" s="775" t="s">
        <v>285</v>
      </c>
      <c r="D125" s="1025">
        <f>COUNTIF(D101:D124,"&lt;=10")</f>
        <v>9</v>
      </c>
      <c r="E125" s="1025">
        <f t="shared" ref="E125:T125" si="19">COUNTIF(E101:E124,"&lt;=10")</f>
        <v>9</v>
      </c>
      <c r="F125" s="1025">
        <f t="shared" si="19"/>
        <v>13</v>
      </c>
      <c r="G125" s="1025">
        <f t="shared" si="19"/>
        <v>10</v>
      </c>
      <c r="H125" s="1025">
        <f t="shared" si="19"/>
        <v>11</v>
      </c>
      <c r="I125" s="1025">
        <f t="shared" si="19"/>
        <v>11</v>
      </c>
      <c r="J125" s="1025">
        <f t="shared" si="19"/>
        <v>17</v>
      </c>
      <c r="K125" s="1025">
        <f t="shared" si="19"/>
        <v>15</v>
      </c>
      <c r="L125" s="1025">
        <f t="shared" si="19"/>
        <v>17</v>
      </c>
      <c r="M125" s="1025">
        <f t="shared" si="19"/>
        <v>18</v>
      </c>
      <c r="N125" s="1025">
        <f>COUNTIF(N101:N124,"&lt;=10")</f>
        <v>23</v>
      </c>
      <c r="O125" s="1025">
        <f t="shared" si="19"/>
        <v>22</v>
      </c>
      <c r="P125" s="1025">
        <f t="shared" si="19"/>
        <v>14</v>
      </c>
      <c r="Q125" s="1025">
        <f t="shared" si="19"/>
        <v>16</v>
      </c>
      <c r="R125" s="1025">
        <f t="shared" si="19"/>
        <v>17</v>
      </c>
      <c r="S125" s="1025">
        <f t="shared" si="19"/>
        <v>19</v>
      </c>
      <c r="T125" s="1025">
        <f t="shared" si="19"/>
        <v>16</v>
      </c>
      <c r="U125" s="1025">
        <f t="shared" ref="U125:AA125" si="20">COUNTIF(U101:U124,"&lt;=10")</f>
        <v>14</v>
      </c>
      <c r="V125" s="1025">
        <f t="shared" si="20"/>
        <v>21</v>
      </c>
      <c r="W125" s="1025">
        <f t="shared" si="20"/>
        <v>0</v>
      </c>
      <c r="X125" s="1025">
        <f t="shared" si="20"/>
        <v>15</v>
      </c>
      <c r="Y125" s="1025">
        <f t="shared" si="20"/>
        <v>19</v>
      </c>
      <c r="Z125" s="1025">
        <f t="shared" si="20"/>
        <v>16</v>
      </c>
      <c r="AA125" s="1025">
        <f t="shared" si="20"/>
        <v>21</v>
      </c>
      <c r="AB125" s="1025">
        <f t="shared" ref="AB125:AE125" si="21">COUNTIF(AB101:AB124,"&lt;=10")</f>
        <v>13</v>
      </c>
      <c r="AC125" s="1025">
        <f t="shared" si="21"/>
        <v>0</v>
      </c>
      <c r="AD125" s="1025">
        <f t="shared" si="21"/>
        <v>0</v>
      </c>
      <c r="AE125" s="1025">
        <f t="shared" si="21"/>
        <v>0</v>
      </c>
      <c r="AF125" s="14"/>
      <c r="AG125" s="61"/>
      <c r="AH125" s="61"/>
      <c r="AI125" s="61"/>
      <c r="AJ125" s="28"/>
      <c r="AK125" s="25"/>
      <c r="AL125" s="25"/>
      <c r="AM125" s="25"/>
      <c r="AN125" s="25"/>
      <c r="AO125" s="14"/>
      <c r="AP125" s="61"/>
      <c r="AQ125" s="61"/>
      <c r="AR125" s="61"/>
      <c r="AS125" s="28"/>
      <c r="AT125" s="25"/>
      <c r="AU125" s="25"/>
      <c r="AV125" s="25"/>
      <c r="AW125" s="14"/>
      <c r="AX125" s="61"/>
      <c r="AY125" s="61"/>
      <c r="AZ125" s="61"/>
      <c r="BA125" s="61"/>
      <c r="BB125" s="28"/>
      <c r="BC125" s="25"/>
      <c r="BD125" s="25"/>
      <c r="BE125" s="25"/>
      <c r="BF125" s="14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>
        <f>BZ124-BY124</f>
        <v>2.6929999999999978</v>
      </c>
      <c r="BZ125" s="61">
        <f>CA124-BZ124</f>
        <v>9.0900000000000034</v>
      </c>
      <c r="CA125" s="61"/>
      <c r="CB125" s="61"/>
      <c r="CC125" s="61"/>
      <c r="CD125" s="61"/>
      <c r="CE125" s="61"/>
      <c r="CF125" s="61"/>
      <c r="CG125" s="61"/>
    </row>
    <row r="126" spans="1:109">
      <c r="A126" s="114"/>
      <c r="B126" s="114"/>
      <c r="C126" s="775" t="s">
        <v>287</v>
      </c>
      <c r="D126" s="1027">
        <f>COUNT(D101:D124)</f>
        <v>14</v>
      </c>
      <c r="E126" s="1027">
        <f t="shared" ref="E126:T126" si="22">COUNT(E101:E124)</f>
        <v>14</v>
      </c>
      <c r="F126" s="1027">
        <f t="shared" si="22"/>
        <v>14</v>
      </c>
      <c r="G126" s="1027">
        <f t="shared" si="22"/>
        <v>14</v>
      </c>
      <c r="H126" s="1027">
        <f t="shared" si="22"/>
        <v>14</v>
      </c>
      <c r="I126" s="1027">
        <f t="shared" si="22"/>
        <v>19</v>
      </c>
      <c r="J126" s="1027">
        <f t="shared" si="22"/>
        <v>19</v>
      </c>
      <c r="K126" s="1027">
        <f t="shared" si="22"/>
        <v>19</v>
      </c>
      <c r="L126" s="1027">
        <f t="shared" si="22"/>
        <v>24</v>
      </c>
      <c r="M126" s="1027">
        <f t="shared" si="22"/>
        <v>24</v>
      </c>
      <c r="N126" s="1027">
        <f>COUNT(N101:N124)</f>
        <v>24</v>
      </c>
      <c r="O126" s="1027">
        <f t="shared" si="22"/>
        <v>24</v>
      </c>
      <c r="P126" s="1027">
        <f t="shared" si="22"/>
        <v>24</v>
      </c>
      <c r="Q126" s="1027">
        <f t="shared" si="22"/>
        <v>24</v>
      </c>
      <c r="R126" s="1027">
        <f t="shared" si="22"/>
        <v>24</v>
      </c>
      <c r="S126" s="1027">
        <f t="shared" si="22"/>
        <v>24</v>
      </c>
      <c r="T126" s="1027">
        <f t="shared" si="22"/>
        <v>24</v>
      </c>
      <c r="U126" s="1027">
        <f t="shared" ref="U126:AA126" si="23">COUNT(U101:U124)</f>
        <v>24</v>
      </c>
      <c r="V126" s="1027">
        <f t="shared" si="23"/>
        <v>23</v>
      </c>
      <c r="W126" s="1027">
        <f t="shared" si="23"/>
        <v>0</v>
      </c>
      <c r="X126" s="1027">
        <f t="shared" si="23"/>
        <v>24</v>
      </c>
      <c r="Y126" s="1027">
        <f>COUNT(Y101:Y124)</f>
        <v>23</v>
      </c>
      <c r="Z126" s="1027">
        <f t="shared" si="23"/>
        <v>23</v>
      </c>
      <c r="AA126" s="1027">
        <f t="shared" si="23"/>
        <v>24</v>
      </c>
      <c r="AB126" s="1027">
        <f t="shared" ref="AB126:AE126" si="24">COUNT(AB101:AB124)</f>
        <v>22</v>
      </c>
      <c r="AC126" s="1027">
        <f t="shared" si="24"/>
        <v>0</v>
      </c>
      <c r="AD126" s="1027">
        <f t="shared" si="24"/>
        <v>0</v>
      </c>
      <c r="AE126" s="1027">
        <f t="shared" si="24"/>
        <v>0</v>
      </c>
      <c r="AF126" s="14"/>
      <c r="AG126" s="61"/>
      <c r="AH126" s="61"/>
      <c r="AI126" s="61"/>
      <c r="AJ126" s="61"/>
      <c r="AK126" s="138"/>
      <c r="AL126" s="138"/>
      <c r="AM126" s="138"/>
      <c r="AN126" s="138"/>
      <c r="AO126" s="14"/>
      <c r="AP126" s="61"/>
      <c r="AQ126" s="61"/>
      <c r="AR126" s="61"/>
      <c r="AS126" s="61"/>
      <c r="AT126" s="138"/>
      <c r="AU126" s="138"/>
      <c r="AV126" s="138"/>
      <c r="AW126" s="14"/>
      <c r="AX126" s="61"/>
      <c r="AY126" s="61"/>
      <c r="AZ126" s="61"/>
      <c r="BA126" s="61"/>
      <c r="BB126" s="61"/>
      <c r="BC126" s="138"/>
      <c r="BD126" s="138"/>
      <c r="BE126" s="138"/>
      <c r="BF126" s="14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1063">
        <f>(BZ124-BY124)/BY124</f>
        <v>9.2330373367161434E-2</v>
      </c>
      <c r="BZ126" s="1063">
        <f>(CA124-BZ124)/BZ124</f>
        <v>0.28531073446327693</v>
      </c>
      <c r="CA126" s="61"/>
      <c r="CB126" s="61"/>
      <c r="CC126" s="61"/>
      <c r="CD126" s="61"/>
      <c r="CE126" s="61"/>
      <c r="CF126" s="61"/>
      <c r="CG126" s="61"/>
    </row>
    <row r="127" spans="1:109">
      <c r="A127" s="114"/>
      <c r="B127" s="114"/>
      <c r="C127" s="775" t="s">
        <v>286</v>
      </c>
      <c r="D127" s="1026">
        <f t="shared" ref="D127:T127" si="25">D125/D126</f>
        <v>0.6428571428571429</v>
      </c>
      <c r="E127" s="1026">
        <f t="shared" si="25"/>
        <v>0.6428571428571429</v>
      </c>
      <c r="F127" s="1026">
        <f t="shared" si="25"/>
        <v>0.9285714285714286</v>
      </c>
      <c r="G127" s="1026">
        <f t="shared" si="25"/>
        <v>0.7142857142857143</v>
      </c>
      <c r="H127" s="1026">
        <f t="shared" si="25"/>
        <v>0.7857142857142857</v>
      </c>
      <c r="I127" s="1026">
        <f t="shared" si="25"/>
        <v>0.57894736842105265</v>
      </c>
      <c r="J127" s="1026">
        <f t="shared" si="25"/>
        <v>0.89473684210526316</v>
      </c>
      <c r="K127" s="1026">
        <f t="shared" si="25"/>
        <v>0.78947368421052633</v>
      </c>
      <c r="L127" s="1026">
        <f t="shared" si="25"/>
        <v>0.70833333333333337</v>
      </c>
      <c r="M127" s="1026">
        <f t="shared" si="25"/>
        <v>0.75</v>
      </c>
      <c r="N127" s="1026">
        <f t="shared" si="25"/>
        <v>0.95833333333333337</v>
      </c>
      <c r="O127" s="1026">
        <f t="shared" si="25"/>
        <v>0.91666666666666663</v>
      </c>
      <c r="P127" s="1026">
        <f t="shared" si="25"/>
        <v>0.58333333333333337</v>
      </c>
      <c r="Q127" s="1026">
        <f t="shared" si="25"/>
        <v>0.66666666666666663</v>
      </c>
      <c r="R127" s="1026">
        <f t="shared" si="25"/>
        <v>0.70833333333333337</v>
      </c>
      <c r="S127" s="1026">
        <f t="shared" si="25"/>
        <v>0.79166666666666663</v>
      </c>
      <c r="T127" s="1026">
        <f t="shared" si="25"/>
        <v>0.66666666666666663</v>
      </c>
      <c r="U127" s="1026">
        <f t="shared" ref="U127:AA127" si="26">U125/U126</f>
        <v>0.58333333333333337</v>
      </c>
      <c r="V127" s="1026">
        <f t="shared" si="26"/>
        <v>0.91304347826086951</v>
      </c>
      <c r="W127" s="1026" t="e">
        <f t="shared" si="26"/>
        <v>#DIV/0!</v>
      </c>
      <c r="X127" s="1026">
        <f t="shared" si="26"/>
        <v>0.625</v>
      </c>
      <c r="Y127" s="1026">
        <f t="shared" si="26"/>
        <v>0.82608695652173914</v>
      </c>
      <c r="Z127" s="1026">
        <f t="shared" si="26"/>
        <v>0.69565217391304346</v>
      </c>
      <c r="AA127" s="1026">
        <f t="shared" si="26"/>
        <v>0.875</v>
      </c>
      <c r="AB127" s="1026">
        <f t="shared" ref="AB127:AE127" si="27">AB125/AB126</f>
        <v>0.59090909090909094</v>
      </c>
      <c r="AC127" s="1026" t="e">
        <f t="shared" si="27"/>
        <v>#DIV/0!</v>
      </c>
      <c r="AD127" s="1026" t="e">
        <f t="shared" si="27"/>
        <v>#DIV/0!</v>
      </c>
      <c r="AE127" s="1026" t="e">
        <f t="shared" si="27"/>
        <v>#DIV/0!</v>
      </c>
      <c r="AF127" s="14"/>
      <c r="AG127" s="61"/>
      <c r="AH127" s="61"/>
      <c r="AI127" s="61"/>
      <c r="AJ127" s="61"/>
      <c r="AK127" s="25"/>
      <c r="AL127" s="25"/>
      <c r="AM127" s="25"/>
      <c r="AN127" s="25"/>
      <c r="AO127" s="14"/>
      <c r="AP127" s="61"/>
      <c r="AQ127" s="61"/>
      <c r="AR127" s="61"/>
      <c r="AS127" s="61"/>
      <c r="AT127" s="25"/>
      <c r="AU127" s="25"/>
      <c r="AV127" s="25"/>
      <c r="AW127" s="14"/>
      <c r="AX127" s="61"/>
      <c r="AY127" s="61"/>
      <c r="AZ127" s="61"/>
      <c r="BA127" s="61"/>
      <c r="BB127" s="61"/>
      <c r="BC127" s="25"/>
      <c r="BD127" s="25"/>
      <c r="BE127" s="25"/>
      <c r="BF127" s="14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</row>
    <row r="128" spans="1:109">
      <c r="A128" s="776"/>
      <c r="B128" s="1090"/>
      <c r="C128" s="1088" t="s">
        <v>296</v>
      </c>
      <c r="D128" s="1059">
        <f>COUNTA(C101:C124)</f>
        <v>24</v>
      </c>
      <c r="E128" s="1091"/>
      <c r="F128" s="1091"/>
      <c r="G128" s="1091"/>
      <c r="H128" s="1091"/>
      <c r="I128" s="1092"/>
      <c r="J128" s="1091"/>
      <c r="K128" s="1093"/>
      <c r="L128" s="776"/>
      <c r="M128" s="776"/>
      <c r="N128" s="776"/>
      <c r="O128" s="776"/>
      <c r="P128" s="776"/>
      <c r="Q128" s="776"/>
      <c r="R128" s="776"/>
      <c r="S128" s="776"/>
      <c r="T128" s="776"/>
      <c r="U128" s="776"/>
      <c r="V128" s="776"/>
      <c r="W128" s="776"/>
      <c r="X128" s="770"/>
      <c r="Y128" s="4"/>
      <c r="Z128" s="4"/>
      <c r="AA128" s="50"/>
      <c r="AB128" s="50"/>
      <c r="AC128" s="50"/>
      <c r="AD128" s="50"/>
      <c r="AE128" s="50"/>
      <c r="AF128" s="14"/>
      <c r="AG128" s="61"/>
      <c r="AH128" s="61"/>
      <c r="AI128" s="61"/>
      <c r="AJ128" s="61"/>
      <c r="AK128" s="25"/>
      <c r="AL128" s="25"/>
      <c r="AM128" s="25"/>
      <c r="AN128" s="25"/>
      <c r="AO128" s="14"/>
      <c r="AP128" s="61"/>
      <c r="AQ128" s="61"/>
      <c r="AR128" s="61"/>
      <c r="AS128" s="61"/>
      <c r="AT128" s="25"/>
      <c r="AU128" s="25"/>
      <c r="AV128" s="25"/>
      <c r="AW128" s="14"/>
      <c r="AX128" s="61"/>
      <c r="AY128" s="61"/>
      <c r="AZ128" s="61"/>
      <c r="BA128" s="61"/>
      <c r="BB128" s="61"/>
      <c r="BC128" s="25"/>
      <c r="BD128" s="25"/>
      <c r="BE128" s="25"/>
      <c r="BF128" s="14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</row>
    <row r="129" spans="1:109">
      <c r="A129" s="114"/>
      <c r="B129" s="114"/>
      <c r="C129" s="775"/>
      <c r="D129" s="1026"/>
      <c r="E129" s="1026"/>
      <c r="F129" s="1026"/>
      <c r="G129" s="1026"/>
      <c r="H129" s="1026"/>
      <c r="I129" s="1026"/>
      <c r="J129" s="1026"/>
      <c r="K129" s="1026"/>
      <c r="L129" s="1026"/>
      <c r="M129" s="1026"/>
      <c r="N129" s="1026"/>
      <c r="O129" s="1026"/>
      <c r="P129" s="1026"/>
      <c r="Q129" s="1026"/>
      <c r="R129" s="1026"/>
      <c r="S129" s="1026"/>
      <c r="T129" s="1026"/>
      <c r="U129" s="1026"/>
      <c r="V129" s="1026"/>
      <c r="W129" s="1026"/>
      <c r="X129" s="770"/>
      <c r="Y129" s="4"/>
      <c r="Z129" s="4"/>
      <c r="AA129" s="4"/>
      <c r="AB129" s="4"/>
      <c r="AC129" s="4"/>
      <c r="AD129" s="4"/>
      <c r="AE129" s="4"/>
      <c r="AF129" s="14"/>
      <c r="AG129" s="61"/>
      <c r="AH129" s="61"/>
      <c r="AI129" s="61"/>
      <c r="AJ129" s="61"/>
      <c r="AK129" s="25"/>
      <c r="AL129" s="25"/>
      <c r="AM129" s="25"/>
      <c r="AN129" s="25"/>
      <c r="AO129" s="14"/>
      <c r="AP129" s="61"/>
      <c r="AQ129" s="61"/>
      <c r="AR129" s="61"/>
      <c r="AS129" s="61"/>
      <c r="AT129" s="25"/>
      <c r="AU129" s="25"/>
      <c r="AV129" s="25"/>
      <c r="AW129" s="14"/>
      <c r="AX129" s="61"/>
      <c r="AY129" s="61"/>
      <c r="AZ129" s="61"/>
      <c r="BA129" s="61"/>
      <c r="BB129" s="61"/>
      <c r="BC129" s="25"/>
      <c r="BD129" s="25"/>
      <c r="BE129" s="25"/>
      <c r="BF129" s="14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</row>
    <row r="130" spans="1:109">
      <c r="A130" s="114"/>
      <c r="B130" s="3568" t="s">
        <v>291</v>
      </c>
      <c r="C130" s="775" t="s">
        <v>289</v>
      </c>
      <c r="D130" s="1027">
        <f t="shared" ref="D130:AA130" si="28">SUM(D63,D95,D125)</f>
        <v>25</v>
      </c>
      <c r="E130" s="1027">
        <f t="shared" si="28"/>
        <v>31</v>
      </c>
      <c r="F130" s="1027">
        <f t="shared" si="28"/>
        <v>40</v>
      </c>
      <c r="G130" s="1027">
        <f t="shared" si="28"/>
        <v>38</v>
      </c>
      <c r="H130" s="1027">
        <f t="shared" si="28"/>
        <v>29</v>
      </c>
      <c r="I130" s="1049">
        <f t="shared" si="28"/>
        <v>27</v>
      </c>
      <c r="J130" s="1027">
        <f t="shared" si="28"/>
        <v>41</v>
      </c>
      <c r="K130" s="1027">
        <f t="shared" si="28"/>
        <v>33</v>
      </c>
      <c r="L130" s="1049">
        <f t="shared" si="28"/>
        <v>29</v>
      </c>
      <c r="M130" s="1049">
        <f t="shared" si="28"/>
        <v>34</v>
      </c>
      <c r="N130" s="1027">
        <f t="shared" si="28"/>
        <v>47</v>
      </c>
      <c r="O130" s="1027">
        <f t="shared" si="28"/>
        <v>39</v>
      </c>
      <c r="P130" s="1027">
        <f t="shared" si="28"/>
        <v>23</v>
      </c>
      <c r="Q130" s="1027">
        <f t="shared" si="28"/>
        <v>26</v>
      </c>
      <c r="R130" s="1027">
        <f t="shared" si="28"/>
        <v>27</v>
      </c>
      <c r="S130" s="1027">
        <f t="shared" si="28"/>
        <v>34</v>
      </c>
      <c r="T130" s="1027">
        <f t="shared" si="28"/>
        <v>16</v>
      </c>
      <c r="U130" s="1027">
        <f t="shared" si="28"/>
        <v>14</v>
      </c>
      <c r="V130" s="1027">
        <f t="shared" si="28"/>
        <v>21</v>
      </c>
      <c r="W130" s="1027">
        <f t="shared" si="28"/>
        <v>14</v>
      </c>
      <c r="X130" s="1027">
        <f t="shared" si="28"/>
        <v>27</v>
      </c>
      <c r="Y130" s="1027">
        <f t="shared" si="28"/>
        <v>30</v>
      </c>
      <c r="Z130" s="1027">
        <f t="shared" si="28"/>
        <v>26</v>
      </c>
      <c r="AA130" s="1027">
        <f t="shared" si="28"/>
        <v>33</v>
      </c>
      <c r="AB130" s="1027">
        <f t="shared" ref="AB130:AE130" si="29">SUM(AB63,AB95,AB125)</f>
        <v>29</v>
      </c>
      <c r="AC130" s="1027">
        <f t="shared" si="29"/>
        <v>0</v>
      </c>
      <c r="AD130" s="1027">
        <f t="shared" si="29"/>
        <v>0</v>
      </c>
      <c r="AE130" s="1027">
        <f t="shared" si="29"/>
        <v>0</v>
      </c>
      <c r="AF130" s="14"/>
      <c r="AG130" s="61"/>
      <c r="AH130" s="61"/>
      <c r="AI130" s="61"/>
      <c r="AJ130" s="61"/>
      <c r="AK130" s="138"/>
      <c r="AL130" s="138"/>
      <c r="AM130" s="138"/>
      <c r="AN130" s="138"/>
      <c r="AO130" s="14"/>
      <c r="AP130" s="61"/>
      <c r="AQ130" s="61"/>
      <c r="AR130" s="61"/>
      <c r="AS130" s="61"/>
      <c r="AT130" s="138"/>
      <c r="AU130" s="138"/>
      <c r="AV130" s="138"/>
      <c r="AW130" s="14"/>
      <c r="AX130" s="61"/>
      <c r="AY130" s="61"/>
      <c r="AZ130" s="61"/>
      <c r="BA130" s="61"/>
      <c r="BB130" s="61"/>
      <c r="BC130" s="138"/>
      <c r="BD130" s="138"/>
      <c r="BE130" s="138"/>
      <c r="BF130" s="14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</row>
    <row r="131" spans="1:109">
      <c r="A131" s="114"/>
      <c r="B131" s="3568"/>
      <c r="C131" s="775" t="s">
        <v>288</v>
      </c>
      <c r="D131" s="1027">
        <f t="shared" ref="D131:AA131" si="30">SUM(D64,D96,D126)</f>
        <v>73</v>
      </c>
      <c r="E131" s="1027">
        <f t="shared" si="30"/>
        <v>73</v>
      </c>
      <c r="F131" s="1027">
        <f t="shared" si="30"/>
        <v>74</v>
      </c>
      <c r="G131" s="1027">
        <f t="shared" si="30"/>
        <v>74</v>
      </c>
      <c r="H131" s="1027">
        <f t="shared" si="30"/>
        <v>74</v>
      </c>
      <c r="I131" s="1049">
        <f t="shared" si="30"/>
        <v>79</v>
      </c>
      <c r="J131" s="1027">
        <f t="shared" si="30"/>
        <v>79</v>
      </c>
      <c r="K131" s="1027">
        <f t="shared" si="30"/>
        <v>79</v>
      </c>
      <c r="L131" s="1049">
        <f t="shared" si="30"/>
        <v>80</v>
      </c>
      <c r="M131" s="1049">
        <f t="shared" si="30"/>
        <v>84</v>
      </c>
      <c r="N131" s="1027">
        <f t="shared" si="30"/>
        <v>84</v>
      </c>
      <c r="O131" s="1027">
        <f t="shared" si="30"/>
        <v>53</v>
      </c>
      <c r="P131" s="1027">
        <f t="shared" si="30"/>
        <v>76</v>
      </c>
      <c r="Q131" s="1027">
        <f t="shared" si="30"/>
        <v>78</v>
      </c>
      <c r="R131" s="1027">
        <f t="shared" si="30"/>
        <v>79</v>
      </c>
      <c r="S131" s="1027">
        <f t="shared" si="30"/>
        <v>84</v>
      </c>
      <c r="T131" s="1027">
        <f t="shared" si="30"/>
        <v>63</v>
      </c>
      <c r="U131" s="1027">
        <f t="shared" si="30"/>
        <v>62</v>
      </c>
      <c r="V131" s="1027">
        <f t="shared" si="30"/>
        <v>62</v>
      </c>
      <c r="W131" s="1027">
        <f t="shared" si="30"/>
        <v>60</v>
      </c>
      <c r="X131" s="1027">
        <f t="shared" si="30"/>
        <v>83</v>
      </c>
      <c r="Y131" s="1027">
        <f t="shared" si="30"/>
        <v>98</v>
      </c>
      <c r="Z131" s="1027">
        <f t="shared" si="30"/>
        <v>98</v>
      </c>
      <c r="AA131" s="1027">
        <f t="shared" si="30"/>
        <v>98</v>
      </c>
      <c r="AB131" s="1027">
        <f t="shared" ref="AB131:AE131" si="31">SUM(AB64,AB96,AB126)</f>
        <v>90</v>
      </c>
      <c r="AC131" s="1027">
        <f t="shared" si="31"/>
        <v>0</v>
      </c>
      <c r="AD131" s="1027">
        <f t="shared" si="31"/>
        <v>0</v>
      </c>
      <c r="AE131" s="1027">
        <f t="shared" si="31"/>
        <v>0</v>
      </c>
      <c r="AF131" s="14"/>
      <c r="AG131" s="61"/>
      <c r="AH131" s="61"/>
      <c r="AI131" s="61"/>
      <c r="AJ131" s="61"/>
      <c r="AK131" s="139"/>
      <c r="AL131" s="139"/>
      <c r="AM131" s="139"/>
      <c r="AN131" s="139"/>
      <c r="AO131" s="14"/>
      <c r="AP131" s="61"/>
      <c r="AQ131" s="61"/>
      <c r="AR131" s="61"/>
      <c r="AS131" s="61"/>
      <c r="AT131" s="139"/>
      <c r="AU131" s="139"/>
      <c r="AV131" s="139"/>
      <c r="AW131" s="14"/>
      <c r="AX131" s="61"/>
      <c r="AY131" s="61"/>
      <c r="AZ131" s="61"/>
      <c r="BA131" s="61"/>
      <c r="BB131" s="61"/>
      <c r="BC131" s="139"/>
      <c r="BD131" s="148"/>
      <c r="BE131" s="139"/>
      <c r="BF131" s="14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</row>
    <row r="132" spans="1:109">
      <c r="A132" s="114"/>
      <c r="B132" s="3568"/>
      <c r="C132" s="775" t="s">
        <v>290</v>
      </c>
      <c r="D132" s="1026">
        <f>D130/D131</f>
        <v>0.34246575342465752</v>
      </c>
      <c r="E132" s="1026">
        <f t="shared" ref="E132:S132" si="32">E130/E131</f>
        <v>0.42465753424657532</v>
      </c>
      <c r="F132" s="1026">
        <f t="shared" si="32"/>
        <v>0.54054054054054057</v>
      </c>
      <c r="G132" s="1026">
        <f t="shared" si="32"/>
        <v>0.51351351351351349</v>
      </c>
      <c r="H132" s="1026">
        <f t="shared" si="32"/>
        <v>0.39189189189189189</v>
      </c>
      <c r="I132" s="1050">
        <f t="shared" si="32"/>
        <v>0.34177215189873417</v>
      </c>
      <c r="J132" s="1026">
        <f t="shared" si="32"/>
        <v>0.51898734177215189</v>
      </c>
      <c r="K132" s="1026">
        <f t="shared" si="32"/>
        <v>0.41772151898734178</v>
      </c>
      <c r="L132" s="1050">
        <f t="shared" si="32"/>
        <v>0.36249999999999999</v>
      </c>
      <c r="M132" s="1050">
        <f t="shared" si="32"/>
        <v>0.40476190476190477</v>
      </c>
      <c r="N132" s="1026">
        <f t="shared" si="32"/>
        <v>0.55952380952380953</v>
      </c>
      <c r="O132" s="1026">
        <f t="shared" si="32"/>
        <v>0.73584905660377353</v>
      </c>
      <c r="P132" s="1026">
        <f t="shared" si="32"/>
        <v>0.30263157894736842</v>
      </c>
      <c r="Q132" s="1026">
        <f t="shared" si="32"/>
        <v>0.33333333333333331</v>
      </c>
      <c r="R132" s="1026">
        <f t="shared" si="32"/>
        <v>0.34177215189873417</v>
      </c>
      <c r="S132" s="1026">
        <f t="shared" si="32"/>
        <v>0.40476190476190477</v>
      </c>
      <c r="T132" s="1026">
        <f t="shared" ref="T132:AA132" si="33">T130/T131</f>
        <v>0.25396825396825395</v>
      </c>
      <c r="U132" s="1026">
        <f t="shared" si="33"/>
        <v>0.22580645161290322</v>
      </c>
      <c r="V132" s="1026">
        <f t="shared" si="33"/>
        <v>0.33870967741935482</v>
      </c>
      <c r="W132" s="1026">
        <f t="shared" si="33"/>
        <v>0.23333333333333334</v>
      </c>
      <c r="X132" s="1026">
        <f t="shared" si="33"/>
        <v>0.3253012048192771</v>
      </c>
      <c r="Y132" s="1026">
        <f t="shared" si="33"/>
        <v>0.30612244897959184</v>
      </c>
      <c r="Z132" s="1026">
        <f t="shared" si="33"/>
        <v>0.26530612244897961</v>
      </c>
      <c r="AA132" s="1026">
        <f t="shared" si="33"/>
        <v>0.33673469387755101</v>
      </c>
      <c r="AB132" s="1026">
        <f t="shared" ref="AB132:AE132" si="34">AB130/AB131</f>
        <v>0.32222222222222224</v>
      </c>
      <c r="AC132" s="1026" t="e">
        <f t="shared" si="34"/>
        <v>#DIV/0!</v>
      </c>
      <c r="AD132" s="1026" t="e">
        <f t="shared" si="34"/>
        <v>#DIV/0!</v>
      </c>
      <c r="AE132" s="1026" t="e">
        <f t="shared" si="34"/>
        <v>#DIV/0!</v>
      </c>
      <c r="AF132" s="14"/>
      <c r="AG132" s="61"/>
      <c r="AH132" s="61"/>
      <c r="AI132" s="61"/>
      <c r="AJ132" s="61"/>
      <c r="AK132" s="61"/>
      <c r="AL132" s="61"/>
      <c r="AM132" s="61"/>
      <c r="AN132" s="61"/>
      <c r="AO132" s="14"/>
      <c r="AP132" s="61"/>
      <c r="AQ132" s="61"/>
      <c r="AR132" s="61"/>
      <c r="AS132" s="61"/>
      <c r="AT132" s="61"/>
      <c r="AU132" s="61"/>
      <c r="AV132" s="61"/>
      <c r="AW132" s="14"/>
      <c r="AX132" s="61"/>
      <c r="AY132" s="61"/>
      <c r="AZ132" s="61"/>
      <c r="BA132" s="61"/>
      <c r="BB132" s="61"/>
      <c r="BC132" s="61"/>
      <c r="BD132" s="61"/>
      <c r="BE132" s="61"/>
      <c r="BF132" s="14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</row>
    <row r="133" spans="1:109">
      <c r="A133" s="776"/>
      <c r="B133" s="1090"/>
      <c r="C133" s="1088" t="s">
        <v>296</v>
      </c>
      <c r="D133" s="1059">
        <f>SUM(D66,D98,D128)</f>
        <v>100</v>
      </c>
      <c r="E133" s="1091"/>
      <c r="F133" s="1091"/>
      <c r="G133" s="1091"/>
      <c r="H133" s="1091"/>
      <c r="I133" s="1092"/>
      <c r="J133" s="1091"/>
      <c r="K133" s="1093"/>
      <c r="L133" s="776"/>
      <c r="M133" s="776"/>
      <c r="N133" s="776"/>
      <c r="O133" s="776"/>
      <c r="P133" s="776"/>
      <c r="Q133" s="776"/>
      <c r="R133" s="776"/>
      <c r="S133" s="776"/>
      <c r="T133" s="776"/>
      <c r="U133" s="776"/>
      <c r="V133" s="776"/>
      <c r="W133" s="776"/>
      <c r="X133" s="770"/>
      <c r="Y133" s="4"/>
      <c r="Z133" s="4"/>
      <c r="AA133" s="50"/>
      <c r="AB133" s="50"/>
      <c r="AC133" s="50"/>
      <c r="AD133" s="50"/>
      <c r="AE133" s="50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</row>
    <row r="134" spans="1:109">
      <c r="A134" s="114"/>
      <c r="B134" s="114"/>
      <c r="C134" s="775"/>
      <c r="D134" s="1026"/>
      <c r="E134" s="1026"/>
      <c r="F134" s="1026"/>
      <c r="G134" s="1026"/>
      <c r="H134" s="1026"/>
      <c r="I134" s="1026"/>
      <c r="J134" s="1026"/>
      <c r="K134" s="1026"/>
      <c r="L134" s="1099">
        <v>22</v>
      </c>
      <c r="M134" s="1026"/>
      <c r="N134" s="1026"/>
      <c r="O134" s="1026"/>
      <c r="P134" s="1026"/>
      <c r="Q134" s="1026"/>
      <c r="R134" s="1026"/>
      <c r="S134" s="1026"/>
      <c r="T134" s="1026"/>
      <c r="U134" s="1026"/>
      <c r="V134" s="1026"/>
      <c r="W134" s="1026"/>
      <c r="X134" s="770"/>
      <c r="Y134" s="4"/>
      <c r="Z134" s="4"/>
      <c r="AA134" s="4"/>
      <c r="AB134" s="4"/>
      <c r="AC134" s="4"/>
      <c r="AD134" s="4"/>
      <c r="AE134" s="4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</row>
    <row r="135" spans="1:109">
      <c r="A135" s="122"/>
      <c r="B135" s="122"/>
      <c r="C135" s="117"/>
      <c r="D135" s="110"/>
      <c r="E135" s="110"/>
      <c r="F135" s="110"/>
      <c r="G135" s="110"/>
      <c r="H135" s="110"/>
      <c r="I135" s="111"/>
      <c r="J135" s="110"/>
      <c r="K135" s="112">
        <f>AVERAGE(L134:L136)</f>
        <v>52.666666666666664</v>
      </c>
      <c r="L135" s="107">
        <v>52</v>
      </c>
      <c r="M135" s="120"/>
      <c r="N135" s="121"/>
      <c r="O135" s="120"/>
      <c r="P135" s="120"/>
      <c r="Q135" s="120"/>
      <c r="R135" s="120"/>
      <c r="S135" s="120"/>
      <c r="T135" s="120"/>
      <c r="U135" s="120"/>
      <c r="V135" s="120"/>
      <c r="W135" s="120"/>
      <c r="X135" s="767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</row>
    <row r="136" spans="1:109">
      <c r="A136" s="122"/>
      <c r="B136" s="122"/>
      <c r="C136" s="117"/>
      <c r="D136" s="110"/>
      <c r="E136" s="110"/>
      <c r="F136" s="3546" t="s">
        <v>227</v>
      </c>
      <c r="G136" s="3546"/>
      <c r="H136" s="3546"/>
      <c r="I136" s="3546"/>
      <c r="J136" s="766"/>
      <c r="K136" s="112"/>
      <c r="L136" s="107">
        <v>84</v>
      </c>
      <c r="M136" s="120"/>
      <c r="N136" s="3546" t="s">
        <v>227</v>
      </c>
      <c r="O136" s="3546"/>
      <c r="P136" s="3546"/>
      <c r="Q136" s="3546"/>
      <c r="R136" s="120"/>
      <c r="S136" s="120"/>
      <c r="T136" s="120"/>
      <c r="U136" s="120"/>
      <c r="V136" s="120"/>
      <c r="W136" s="120"/>
      <c r="X136" s="767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</row>
    <row r="137" spans="1:109" s="4" customFormat="1" ht="15.75" thickBot="1">
      <c r="A137" s="122"/>
      <c r="B137" s="122"/>
      <c r="C137" s="124"/>
      <c r="D137" s="783"/>
      <c r="E137" s="783"/>
      <c r="F137" s="3546"/>
      <c r="G137" s="3546"/>
      <c r="H137" s="3546"/>
      <c r="I137" s="3546"/>
      <c r="J137" s="766"/>
      <c r="K137" s="121"/>
      <c r="L137" s="107"/>
      <c r="M137" s="120"/>
      <c r="N137" s="3546"/>
      <c r="O137" s="3546"/>
      <c r="P137" s="3546"/>
      <c r="Q137" s="3546"/>
      <c r="R137" s="120"/>
      <c r="S137" s="120"/>
      <c r="T137" s="120"/>
      <c r="U137" s="120"/>
      <c r="V137" s="120"/>
      <c r="W137" s="120"/>
      <c r="X137" s="767"/>
      <c r="Y137" s="61"/>
      <c r="Z137" s="61"/>
      <c r="AA137" s="61"/>
      <c r="AB137" s="61"/>
      <c r="AC137" s="61"/>
      <c r="AD137" s="61"/>
      <c r="AE137" s="61"/>
      <c r="BF137" s="83"/>
      <c r="BG137" s="83"/>
      <c r="BH137" s="83"/>
      <c r="BI137" s="83"/>
      <c r="BJ137" s="83"/>
      <c r="BK137" s="83"/>
      <c r="BL137" s="83"/>
      <c r="BM137" s="83"/>
      <c r="BN137" s="83"/>
      <c r="BO137" s="83"/>
      <c r="BP137" s="83"/>
      <c r="BQ137" s="83"/>
      <c r="BR137" s="83"/>
      <c r="BS137" s="83"/>
      <c r="BT137" s="83"/>
      <c r="BU137" s="83"/>
      <c r="BV137" s="83"/>
      <c r="BW137" s="83"/>
      <c r="BX137" s="83"/>
      <c r="BY137" s="83"/>
      <c r="BZ137" s="83"/>
      <c r="CI137" s="83"/>
      <c r="CJ137" s="83"/>
      <c r="CK137" s="83"/>
      <c r="CL137" s="83"/>
      <c r="CM137" s="83"/>
      <c r="CN137" s="83"/>
      <c r="CO137" s="83"/>
      <c r="CP137" s="83"/>
      <c r="CQ137" s="83"/>
      <c r="CR137" s="83"/>
      <c r="CS137" s="83"/>
      <c r="CT137" s="83"/>
      <c r="CU137" s="83"/>
      <c r="CV137" s="83"/>
      <c r="CW137" s="83"/>
      <c r="CX137" s="83"/>
      <c r="CY137" s="83"/>
      <c r="CZ137" s="83"/>
      <c r="DA137" s="83"/>
      <c r="DB137" s="83"/>
      <c r="DC137" s="83"/>
      <c r="DD137" s="83"/>
      <c r="DE137" s="83"/>
    </row>
    <row r="138" spans="1:109" s="4" customFormat="1" ht="15.75" thickBot="1">
      <c r="A138" s="328"/>
      <c r="B138" s="113" t="s">
        <v>284</v>
      </c>
      <c r="C138" s="266" t="s">
        <v>168</v>
      </c>
      <c r="D138" s="268">
        <v>10</v>
      </c>
      <c r="E138" s="268">
        <v>10</v>
      </c>
      <c r="F138" s="268">
        <v>10</v>
      </c>
      <c r="G138" s="345">
        <v>10</v>
      </c>
      <c r="H138" s="346">
        <v>10</v>
      </c>
      <c r="I138" s="268">
        <v>10</v>
      </c>
      <c r="J138" s="268">
        <v>10</v>
      </c>
      <c r="K138" s="269">
        <v>10</v>
      </c>
      <c r="L138" s="346">
        <v>10</v>
      </c>
      <c r="M138" s="268">
        <v>10</v>
      </c>
      <c r="N138" s="268">
        <v>10</v>
      </c>
      <c r="O138" s="269">
        <v>10</v>
      </c>
      <c r="P138" s="346">
        <v>10</v>
      </c>
      <c r="Q138" s="268">
        <v>10</v>
      </c>
      <c r="R138" s="268">
        <v>10</v>
      </c>
      <c r="S138" s="269">
        <v>10</v>
      </c>
      <c r="T138" s="269">
        <v>10</v>
      </c>
      <c r="U138" s="269">
        <v>10</v>
      </c>
      <c r="V138" s="269">
        <v>10</v>
      </c>
      <c r="W138" s="269">
        <v>10</v>
      </c>
      <c r="X138" s="768"/>
      <c r="Y138" s="132"/>
      <c r="Z138" s="132"/>
      <c r="AA138" s="132"/>
      <c r="AB138" s="3497"/>
      <c r="AC138" s="3497"/>
      <c r="AD138" s="3497"/>
      <c r="AE138" s="3497"/>
      <c r="BF138" s="83"/>
      <c r="BG138" s="83"/>
      <c r="BH138" s="83"/>
      <c r="BI138" s="83"/>
      <c r="BJ138" s="83"/>
      <c r="BK138" s="83"/>
      <c r="BL138" s="83"/>
      <c r="BM138" s="83"/>
      <c r="BN138" s="83"/>
      <c r="BO138" s="83"/>
      <c r="BP138" s="83"/>
      <c r="BQ138" s="83"/>
      <c r="BR138" s="83"/>
      <c r="BS138" s="83"/>
      <c r="BT138" s="83"/>
      <c r="BU138" s="83"/>
      <c r="BV138" s="83"/>
      <c r="BW138" s="83"/>
      <c r="BX138" s="83"/>
      <c r="BY138" s="83"/>
      <c r="BZ138" s="83"/>
      <c r="CI138" s="83"/>
      <c r="CJ138" s="83"/>
      <c r="CK138" s="83"/>
      <c r="CL138" s="83"/>
      <c r="CM138" s="83"/>
      <c r="CN138" s="83"/>
      <c r="CO138" s="83"/>
      <c r="CP138" s="83"/>
      <c r="CQ138" s="83"/>
      <c r="CR138" s="83"/>
      <c r="CS138" s="83"/>
      <c r="CT138" s="83"/>
      <c r="CU138" s="83"/>
      <c r="CV138" s="83"/>
      <c r="CW138" s="83"/>
      <c r="CX138" s="83"/>
      <c r="CY138" s="83"/>
      <c r="CZ138" s="83"/>
      <c r="DA138" s="83"/>
      <c r="DB138" s="83"/>
      <c r="DC138" s="83"/>
      <c r="DD138" s="83"/>
      <c r="DE138" s="83"/>
    </row>
    <row r="139" spans="1:109" s="4" customFormat="1">
      <c r="A139" s="328"/>
      <c r="B139" s="113">
        <f>COUNTA(C139:C152)</f>
        <v>14</v>
      </c>
      <c r="C139" s="366" t="s">
        <v>116</v>
      </c>
      <c r="D139" s="504">
        <v>13</v>
      </c>
      <c r="E139" s="505">
        <v>11</v>
      </c>
      <c r="F139" s="504">
        <v>9</v>
      </c>
      <c r="G139" s="506">
        <v>14.666666666666666</v>
      </c>
      <c r="H139" s="507">
        <v>10.666666666666666</v>
      </c>
      <c r="I139" s="504">
        <v>13</v>
      </c>
      <c r="J139" s="480">
        <v>10.67</v>
      </c>
      <c r="K139" s="740">
        <v>8.3333333333333339</v>
      </c>
      <c r="L139" s="741">
        <v>9.3333333333333339</v>
      </c>
      <c r="M139" s="738">
        <v>19</v>
      </c>
      <c r="N139" s="743">
        <v>18.670000000000002</v>
      </c>
      <c r="O139" s="2060"/>
      <c r="P139" s="369">
        <v>24.67</v>
      </c>
      <c r="Q139" s="358"/>
      <c r="R139" s="358">
        <v>6</v>
      </c>
      <c r="S139" s="354">
        <v>4</v>
      </c>
      <c r="T139" s="354">
        <v>27.5</v>
      </c>
      <c r="U139" s="354">
        <v>48.67</v>
      </c>
      <c r="V139" s="354">
        <v>37.33</v>
      </c>
      <c r="W139" s="3091">
        <v>36.33</v>
      </c>
      <c r="X139" s="767">
        <v>42.67</v>
      </c>
      <c r="Y139" s="61"/>
      <c r="Z139" s="61"/>
      <c r="AA139" s="61"/>
      <c r="AB139" s="61"/>
      <c r="AC139" s="61"/>
      <c r="AD139" s="61"/>
      <c r="AE139" s="61"/>
      <c r="BF139" s="83"/>
      <c r="BG139" s="83"/>
      <c r="BH139" s="83"/>
      <c r="BI139" s="83"/>
      <c r="BJ139" s="83"/>
      <c r="BK139" s="83"/>
      <c r="BL139" s="83"/>
      <c r="BM139" s="83"/>
      <c r="BN139" s="83"/>
      <c r="BO139" s="83"/>
      <c r="BP139" s="83"/>
      <c r="BQ139" s="83"/>
      <c r="BR139" s="83"/>
      <c r="BS139" s="83"/>
      <c r="BT139" s="83"/>
      <c r="BU139" s="83"/>
      <c r="BV139" s="83"/>
      <c r="BW139" s="83"/>
      <c r="BX139" s="83"/>
      <c r="BY139" s="83"/>
      <c r="BZ139" s="83"/>
      <c r="CI139" s="83"/>
      <c r="CJ139" s="83"/>
      <c r="CK139" s="83"/>
      <c r="CL139" s="83"/>
      <c r="CM139" s="83"/>
      <c r="CN139" s="83"/>
      <c r="CO139" s="83"/>
      <c r="CP139" s="83"/>
      <c r="CQ139" s="83"/>
      <c r="CR139" s="83"/>
      <c r="CS139" s="83"/>
      <c r="CT139" s="83"/>
      <c r="CU139" s="83"/>
      <c r="CV139" s="83"/>
      <c r="CW139" s="83"/>
      <c r="CX139" s="83"/>
      <c r="CY139" s="83"/>
      <c r="CZ139" s="83"/>
      <c r="DA139" s="83"/>
      <c r="DB139" s="83"/>
      <c r="DC139" s="83"/>
      <c r="DD139" s="83"/>
      <c r="DE139" s="83"/>
    </row>
    <row r="140" spans="1:109" s="4" customFormat="1">
      <c r="A140" s="784"/>
      <c r="B140" s="1374"/>
      <c r="C140" s="199" t="s">
        <v>124</v>
      </c>
      <c r="D140" s="456">
        <v>64</v>
      </c>
      <c r="E140" s="508">
        <v>134.25</v>
      </c>
      <c r="F140" s="456">
        <v>84.333333333333329</v>
      </c>
      <c r="G140" s="457">
        <v>71.333333333333329</v>
      </c>
      <c r="H140" s="509">
        <v>42.666666666666664</v>
      </c>
      <c r="I140" s="456">
        <v>81.333333333333329</v>
      </c>
      <c r="J140" s="484">
        <v>51.11</v>
      </c>
      <c r="K140" s="740">
        <v>70.666666666666671</v>
      </c>
      <c r="L140" s="734">
        <v>74.666666666666671</v>
      </c>
      <c r="M140" s="410">
        <v>54</v>
      </c>
      <c r="N140" s="499">
        <v>53.67</v>
      </c>
      <c r="O140" s="2053"/>
      <c r="P140" s="2359">
        <v>106.67</v>
      </c>
      <c r="Q140" s="807"/>
      <c r="R140" s="807">
        <v>34</v>
      </c>
      <c r="S140" s="808">
        <v>169</v>
      </c>
      <c r="T140" s="808">
        <v>91</v>
      </c>
      <c r="U140" s="808">
        <v>108.33</v>
      </c>
      <c r="V140" s="808">
        <v>104</v>
      </c>
      <c r="W140" s="3091">
        <v>95.33</v>
      </c>
      <c r="X140" s="793">
        <v>105.33</v>
      </c>
      <c r="Y140" s="137"/>
      <c r="Z140" s="137"/>
      <c r="AA140" s="129"/>
      <c r="AB140" s="129"/>
      <c r="AC140" s="129"/>
      <c r="AD140" s="129"/>
      <c r="AE140" s="129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U140" s="83"/>
      <c r="AV140" s="83"/>
      <c r="AW140" s="83"/>
      <c r="AX140" s="83"/>
      <c r="AY140" s="83"/>
      <c r="AZ140" s="83"/>
      <c r="BA140" s="83"/>
      <c r="BB140" s="83"/>
      <c r="BC140" s="83"/>
      <c r="BD140" s="83"/>
      <c r="BF140" s="50"/>
      <c r="BG140" s="50"/>
      <c r="BH140" s="50"/>
      <c r="BI140" s="83"/>
      <c r="BJ140" s="83"/>
      <c r="BK140" s="83"/>
      <c r="BL140" s="83"/>
      <c r="BM140" s="83"/>
      <c r="BN140" s="83"/>
      <c r="BO140" s="83"/>
      <c r="BP140" s="83"/>
      <c r="BQ140" s="83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  <c r="CH140" s="50"/>
      <c r="CI140" s="50"/>
      <c r="CJ140" s="50"/>
      <c r="CK140" s="50"/>
      <c r="CL140" s="50"/>
      <c r="CM140" s="50"/>
      <c r="CN140" s="50"/>
    </row>
    <row r="141" spans="1:109" ht="15" customHeight="1">
      <c r="A141" s="784"/>
      <c r="B141" s="1374"/>
      <c r="C141" s="198" t="s">
        <v>118</v>
      </c>
      <c r="D141" s="456">
        <v>10</v>
      </c>
      <c r="E141" s="508">
        <v>6.5</v>
      </c>
      <c r="F141" s="456">
        <v>13</v>
      </c>
      <c r="G141" s="457">
        <v>11.333333333333334</v>
      </c>
      <c r="H141" s="509">
        <v>9.3333333333333304</v>
      </c>
      <c r="I141" s="456">
        <v>17.3333333333333</v>
      </c>
      <c r="J141" s="484">
        <v>12.22</v>
      </c>
      <c r="K141" s="740">
        <v>9.3333333333333339</v>
      </c>
      <c r="L141" s="734">
        <v>9.3333333333333339</v>
      </c>
      <c r="M141" s="410">
        <v>12</v>
      </c>
      <c r="N141" s="499">
        <v>10</v>
      </c>
      <c r="O141" s="2054"/>
      <c r="P141" s="2057">
        <v>11.33</v>
      </c>
      <c r="Q141" s="809"/>
      <c r="R141" s="809">
        <v>8</v>
      </c>
      <c r="S141" s="810">
        <v>3.67</v>
      </c>
      <c r="T141" s="810">
        <v>7.5</v>
      </c>
      <c r="U141" s="810">
        <v>12.67</v>
      </c>
      <c r="V141" s="810">
        <v>8</v>
      </c>
      <c r="W141" s="3091">
        <v>7.33</v>
      </c>
      <c r="X141" s="794">
        <v>11.33</v>
      </c>
      <c r="Y141" s="25"/>
      <c r="Z141" s="25"/>
      <c r="AA141" s="25"/>
      <c r="AB141" s="25"/>
      <c r="AC141" s="25"/>
      <c r="AD141" s="25"/>
      <c r="AE141" s="25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</row>
    <row r="142" spans="1:109" ht="15.75" customHeight="1">
      <c r="A142" s="784"/>
      <c r="B142" s="1374"/>
      <c r="C142" s="198" t="s">
        <v>113</v>
      </c>
      <c r="D142" s="456">
        <v>48</v>
      </c>
      <c r="E142" s="508">
        <v>10.25</v>
      </c>
      <c r="F142" s="456">
        <v>11.833333333333334</v>
      </c>
      <c r="G142" s="457">
        <v>7.666666666666667</v>
      </c>
      <c r="H142" s="509">
        <v>8.6666666666666661</v>
      </c>
      <c r="I142" s="456">
        <v>6.666666666666667</v>
      </c>
      <c r="J142" s="484">
        <v>8.2200000000000006</v>
      </c>
      <c r="K142" s="740">
        <v>7.333333333333333</v>
      </c>
      <c r="L142" s="734">
        <v>9.3333333333333339</v>
      </c>
      <c r="M142" s="410">
        <v>16</v>
      </c>
      <c r="N142" s="499">
        <v>12</v>
      </c>
      <c r="O142" s="2055"/>
      <c r="P142" s="2058">
        <v>12</v>
      </c>
      <c r="Q142" s="811"/>
      <c r="R142" s="811">
        <v>11.5</v>
      </c>
      <c r="S142" s="812">
        <v>5</v>
      </c>
      <c r="T142" s="812">
        <v>25</v>
      </c>
      <c r="U142" s="812">
        <v>38.67</v>
      </c>
      <c r="V142" s="812">
        <v>25.67</v>
      </c>
      <c r="W142" s="3091">
        <v>22</v>
      </c>
      <c r="X142" s="795">
        <v>21.33</v>
      </c>
      <c r="Y142" s="138"/>
      <c r="Z142" s="138"/>
      <c r="AA142" s="138"/>
      <c r="AB142" s="138"/>
      <c r="AC142" s="138"/>
      <c r="AD142" s="138"/>
      <c r="AE142" s="138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</row>
    <row r="143" spans="1:109">
      <c r="A143" s="784"/>
      <c r="B143" s="1374"/>
      <c r="C143" s="199" t="s">
        <v>123</v>
      </c>
      <c r="D143" s="456">
        <v>107</v>
      </c>
      <c r="E143" s="508">
        <v>90.5</v>
      </c>
      <c r="F143" s="456">
        <v>38.5</v>
      </c>
      <c r="G143" s="457">
        <v>67.833333333333329</v>
      </c>
      <c r="H143" s="509">
        <v>68</v>
      </c>
      <c r="I143" s="456">
        <v>60.666666666666664</v>
      </c>
      <c r="J143" s="484">
        <v>52</v>
      </c>
      <c r="K143" s="740">
        <v>40.666666666666664</v>
      </c>
      <c r="L143" s="734">
        <v>82.666666666666671</v>
      </c>
      <c r="M143" s="410">
        <v>98.33</v>
      </c>
      <c r="N143" s="499">
        <v>54.67</v>
      </c>
      <c r="O143" s="2054"/>
      <c r="P143" s="2057">
        <v>99.33</v>
      </c>
      <c r="Q143" s="809"/>
      <c r="R143" s="809">
        <v>139.5</v>
      </c>
      <c r="S143" s="810">
        <v>80.5</v>
      </c>
      <c r="T143" s="810">
        <v>139</v>
      </c>
      <c r="U143" s="810">
        <v>116</v>
      </c>
      <c r="V143" s="810">
        <v>84</v>
      </c>
      <c r="W143" s="3091">
        <v>91.33</v>
      </c>
      <c r="X143" s="794">
        <v>115.67</v>
      </c>
      <c r="Y143" s="25"/>
      <c r="Z143" s="25"/>
      <c r="AA143" s="25"/>
      <c r="AB143" s="25"/>
      <c r="AC143" s="25"/>
      <c r="AD143" s="25"/>
      <c r="AE143" s="25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</row>
    <row r="144" spans="1:109">
      <c r="A144" s="784"/>
      <c r="B144" s="1374"/>
      <c r="C144" s="199" t="s">
        <v>120</v>
      </c>
      <c r="D144" s="456">
        <v>26</v>
      </c>
      <c r="E144" s="508">
        <v>18</v>
      </c>
      <c r="F144" s="456">
        <v>23.166666666666668</v>
      </c>
      <c r="G144" s="457">
        <v>39.666666666666664</v>
      </c>
      <c r="H144" s="509">
        <v>45.3333333333333</v>
      </c>
      <c r="I144" s="456">
        <v>43.333333333333336</v>
      </c>
      <c r="J144" s="484">
        <v>36.44</v>
      </c>
      <c r="K144" s="740">
        <v>29.333333333333332</v>
      </c>
      <c r="L144" s="734">
        <v>43.666666666666664</v>
      </c>
      <c r="M144" s="410">
        <v>51.67</v>
      </c>
      <c r="N144" s="499">
        <v>50</v>
      </c>
      <c r="O144" s="2054"/>
      <c r="P144" s="2057">
        <v>69.33</v>
      </c>
      <c r="Q144" s="809"/>
      <c r="R144" s="809">
        <v>28.5</v>
      </c>
      <c r="S144" s="810">
        <v>50.5</v>
      </c>
      <c r="T144" s="810">
        <v>124</v>
      </c>
      <c r="U144" s="810">
        <v>125</v>
      </c>
      <c r="V144" s="810">
        <v>88.67</v>
      </c>
      <c r="W144" s="3091">
        <v>110.67</v>
      </c>
      <c r="X144" s="794">
        <v>138</v>
      </c>
      <c r="Y144" s="25"/>
      <c r="Z144" s="25"/>
      <c r="AA144" s="25"/>
      <c r="AB144" s="25"/>
      <c r="AC144" s="25"/>
      <c r="AD144" s="25"/>
      <c r="AE144" s="25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</row>
    <row r="145" spans="1:85">
      <c r="A145" s="784"/>
      <c r="B145" s="1374"/>
      <c r="C145" s="199" t="s">
        <v>122</v>
      </c>
      <c r="D145" s="456">
        <v>146</v>
      </c>
      <c r="E145" s="508">
        <v>92.5</v>
      </c>
      <c r="F145" s="456">
        <v>81.5</v>
      </c>
      <c r="G145" s="457">
        <v>110</v>
      </c>
      <c r="H145" s="509">
        <v>58.666666666666664</v>
      </c>
      <c r="I145" s="456">
        <v>57.333333333333336</v>
      </c>
      <c r="J145" s="484">
        <v>57.44</v>
      </c>
      <c r="K145" s="740">
        <v>44</v>
      </c>
      <c r="L145" s="734">
        <v>65.666666666666671</v>
      </c>
      <c r="M145" s="410">
        <v>99</v>
      </c>
      <c r="N145" s="499">
        <v>101.33</v>
      </c>
      <c r="O145" s="2054"/>
      <c r="P145" s="2057">
        <v>109.33</v>
      </c>
      <c r="Q145" s="809"/>
      <c r="R145" s="809">
        <v>132</v>
      </c>
      <c r="S145" s="810">
        <v>94.5</v>
      </c>
      <c r="T145" s="810">
        <v>169.5</v>
      </c>
      <c r="U145" s="810">
        <v>113.33</v>
      </c>
      <c r="V145" s="810">
        <v>71.33</v>
      </c>
      <c r="W145" s="3091">
        <v>78</v>
      </c>
      <c r="X145" s="794">
        <v>105.33</v>
      </c>
      <c r="Y145" s="25"/>
      <c r="Z145" s="25"/>
      <c r="AA145" s="25"/>
      <c r="AB145" s="25"/>
      <c r="AC145" s="25"/>
      <c r="AD145" s="25"/>
      <c r="AE145" s="25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</row>
    <row r="146" spans="1:85">
      <c r="A146" s="784"/>
      <c r="B146" s="1374"/>
      <c r="C146" s="199" t="s">
        <v>114</v>
      </c>
      <c r="D146" s="456">
        <v>19</v>
      </c>
      <c r="E146" s="508">
        <v>14.25</v>
      </c>
      <c r="F146" s="456">
        <v>9.1666666666666661</v>
      </c>
      <c r="G146" s="457">
        <v>10.333333333333334</v>
      </c>
      <c r="H146" s="509">
        <v>8</v>
      </c>
      <c r="I146" s="456">
        <v>9.3333333333333339</v>
      </c>
      <c r="J146" s="484">
        <v>8.44</v>
      </c>
      <c r="K146" s="740">
        <v>7</v>
      </c>
      <c r="L146" s="734">
        <v>12</v>
      </c>
      <c r="M146" s="410">
        <v>16.670000000000002</v>
      </c>
      <c r="N146" s="499">
        <v>9.33</v>
      </c>
      <c r="O146" s="2055"/>
      <c r="P146" s="2058">
        <v>13.33</v>
      </c>
      <c r="Q146" s="811"/>
      <c r="R146" s="811">
        <v>12</v>
      </c>
      <c r="S146" s="812">
        <v>5.5</v>
      </c>
      <c r="T146" s="812">
        <v>15</v>
      </c>
      <c r="U146" s="812">
        <v>35.33</v>
      </c>
      <c r="V146" s="812">
        <v>18.670000000000002</v>
      </c>
      <c r="W146" s="3091">
        <v>22</v>
      </c>
      <c r="X146" s="795">
        <v>33.33</v>
      </c>
      <c r="Y146" s="138"/>
      <c r="Z146" s="138"/>
      <c r="AA146" s="138"/>
      <c r="AB146" s="138"/>
      <c r="AC146" s="138"/>
      <c r="AD146" s="138"/>
      <c r="AE146" s="138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</row>
    <row r="147" spans="1:85">
      <c r="A147" s="784"/>
      <c r="B147" s="1374"/>
      <c r="C147" s="200" t="s">
        <v>115</v>
      </c>
      <c r="D147" s="456">
        <v>9.5</v>
      </c>
      <c r="E147" s="508">
        <v>12</v>
      </c>
      <c r="F147" s="456">
        <v>7.5</v>
      </c>
      <c r="G147" s="457">
        <v>12.6666666666667</v>
      </c>
      <c r="H147" s="509">
        <v>8.6666666666666661</v>
      </c>
      <c r="I147" s="456">
        <v>11.333333333333334</v>
      </c>
      <c r="J147" s="484">
        <v>11.56</v>
      </c>
      <c r="K147" s="740">
        <v>9.3333333333333339</v>
      </c>
      <c r="L147" s="734">
        <v>10</v>
      </c>
      <c r="M147" s="410">
        <v>13.67</v>
      </c>
      <c r="N147" s="499">
        <v>12.67</v>
      </c>
      <c r="O147" s="2056"/>
      <c r="P147" s="2059">
        <v>12.67</v>
      </c>
      <c r="Q147" s="813"/>
      <c r="R147" s="813">
        <v>8.5</v>
      </c>
      <c r="S147" s="814">
        <v>6</v>
      </c>
      <c r="T147" s="814">
        <v>20.5</v>
      </c>
      <c r="U147" s="814">
        <v>27</v>
      </c>
      <c r="V147" s="814">
        <v>26.67</v>
      </c>
      <c r="W147" s="3091">
        <v>18</v>
      </c>
      <c r="X147" s="796">
        <v>28</v>
      </c>
      <c r="Y147" s="139"/>
      <c r="Z147" s="139"/>
      <c r="AA147" s="139"/>
      <c r="AB147" s="139"/>
      <c r="AC147" s="139"/>
      <c r="AD147" s="139"/>
      <c r="AE147" s="139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</row>
    <row r="148" spans="1:85">
      <c r="A148" s="784"/>
      <c r="B148" s="1374"/>
      <c r="C148" s="199" t="s">
        <v>112</v>
      </c>
      <c r="D148" s="456">
        <v>9</v>
      </c>
      <c r="E148" s="508">
        <v>48.5</v>
      </c>
      <c r="F148" s="456">
        <v>5</v>
      </c>
      <c r="G148" s="457">
        <v>6</v>
      </c>
      <c r="H148" s="509">
        <v>3.6666666666666665</v>
      </c>
      <c r="I148" s="456">
        <v>4.333333333333333</v>
      </c>
      <c r="J148" s="484">
        <v>5.1100000000000003</v>
      </c>
      <c r="K148" s="740">
        <v>5</v>
      </c>
      <c r="L148" s="734">
        <v>6.666666666666667</v>
      </c>
      <c r="M148" s="410">
        <v>8.67</v>
      </c>
      <c r="N148" s="499">
        <v>6</v>
      </c>
      <c r="O148" s="2052"/>
      <c r="P148" s="370">
        <v>9.33</v>
      </c>
      <c r="Q148" s="304"/>
      <c r="R148" s="304">
        <v>11</v>
      </c>
      <c r="S148" s="319">
        <v>15.5</v>
      </c>
      <c r="T148" s="319">
        <v>4</v>
      </c>
      <c r="U148" s="319">
        <v>14</v>
      </c>
      <c r="V148" s="319">
        <v>6.67</v>
      </c>
      <c r="W148" s="3091">
        <v>6.33</v>
      </c>
      <c r="X148" s="767">
        <v>9.67</v>
      </c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</row>
    <row r="149" spans="1:85" ht="15" customHeight="1">
      <c r="A149" s="784"/>
      <c r="B149" s="1374"/>
      <c r="C149" s="198" t="s">
        <v>187</v>
      </c>
      <c r="D149" s="456">
        <v>20</v>
      </c>
      <c r="E149" s="508">
        <v>8.25</v>
      </c>
      <c r="F149" s="456">
        <v>8.5</v>
      </c>
      <c r="G149" s="457">
        <v>9</v>
      </c>
      <c r="H149" s="509">
        <v>6</v>
      </c>
      <c r="I149" s="456">
        <v>8</v>
      </c>
      <c r="J149" s="484">
        <v>6.67</v>
      </c>
      <c r="K149" s="740">
        <v>9.3333333333333339</v>
      </c>
      <c r="L149" s="734">
        <v>14</v>
      </c>
      <c r="M149" s="410">
        <v>19.670000000000002</v>
      </c>
      <c r="N149" s="499">
        <v>15.33</v>
      </c>
      <c r="O149" s="2052"/>
      <c r="P149" s="370">
        <v>31</v>
      </c>
      <c r="Q149" s="304"/>
      <c r="R149" s="304">
        <v>7</v>
      </c>
      <c r="S149" s="319">
        <v>6</v>
      </c>
      <c r="T149" s="319">
        <v>23.5</v>
      </c>
      <c r="U149" s="319">
        <v>24</v>
      </c>
      <c r="V149" s="319">
        <v>13.33</v>
      </c>
      <c r="W149" s="3091">
        <v>12</v>
      </c>
      <c r="X149" s="767">
        <v>18</v>
      </c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130"/>
      <c r="AK149" s="130"/>
      <c r="AL149" s="130"/>
      <c r="AM149" s="130"/>
      <c r="AN149" s="13"/>
      <c r="AO149" s="61"/>
      <c r="AP149" s="61"/>
      <c r="AQ149" s="61"/>
      <c r="AR149" s="61"/>
      <c r="AS149" s="130"/>
      <c r="AT149" s="130"/>
      <c r="AU149" s="130"/>
      <c r="AV149" s="130"/>
      <c r="AW149" s="13"/>
      <c r="AX149" s="61"/>
      <c r="AY149" s="61"/>
      <c r="AZ149" s="61"/>
      <c r="BA149" s="61"/>
      <c r="BB149" s="130"/>
      <c r="BC149" s="130"/>
      <c r="BD149" s="130"/>
      <c r="BE149" s="130"/>
      <c r="BF149" s="13"/>
      <c r="BG149" s="61"/>
      <c r="BH149" s="61"/>
      <c r="BI149" s="61"/>
      <c r="BJ149" s="61"/>
      <c r="BK149" s="130"/>
      <c r="BL149" s="130"/>
      <c r="BM149" s="130"/>
      <c r="BN149" s="130"/>
      <c r="BO149" s="13"/>
      <c r="BP149" s="61"/>
      <c r="BQ149" s="61"/>
      <c r="BR149" s="61"/>
      <c r="BS149" s="61"/>
      <c r="BT149" s="130"/>
      <c r="BU149" s="130"/>
      <c r="BV149" s="130"/>
      <c r="BW149" s="130"/>
      <c r="BX149" s="13"/>
      <c r="BY149" s="61"/>
      <c r="BZ149" s="61"/>
      <c r="CA149" s="61"/>
      <c r="CB149" s="61"/>
      <c r="CC149" s="130"/>
      <c r="CD149" s="130"/>
      <c r="CE149" s="130"/>
      <c r="CF149" s="13"/>
      <c r="CG149" s="61"/>
    </row>
    <row r="150" spans="1:85">
      <c r="A150" s="784"/>
      <c r="B150" s="1374"/>
      <c r="C150" s="199" t="s">
        <v>117</v>
      </c>
      <c r="D150" s="456">
        <v>24.5</v>
      </c>
      <c r="E150" s="508">
        <v>17.25</v>
      </c>
      <c r="F150" s="456">
        <v>10</v>
      </c>
      <c r="G150" s="457">
        <v>14.333333333333334</v>
      </c>
      <c r="H150" s="509">
        <v>8.6666666666666661</v>
      </c>
      <c r="I150" s="456">
        <v>14</v>
      </c>
      <c r="J150" s="484">
        <v>10.44</v>
      </c>
      <c r="K150" s="740">
        <v>8</v>
      </c>
      <c r="L150" s="734">
        <v>17.333333333333332</v>
      </c>
      <c r="M150" s="410">
        <v>32.33</v>
      </c>
      <c r="N150" s="499">
        <v>15.33</v>
      </c>
      <c r="O150" s="2052"/>
      <c r="P150" s="370">
        <v>11.33</v>
      </c>
      <c r="Q150" s="304"/>
      <c r="R150" s="304">
        <v>21.5</v>
      </c>
      <c r="S150" s="319">
        <v>5.5</v>
      </c>
      <c r="T150" s="319">
        <v>46.5</v>
      </c>
      <c r="U150" s="319">
        <v>36</v>
      </c>
      <c r="V150" s="319">
        <v>16</v>
      </c>
      <c r="W150" s="3091">
        <v>14.67</v>
      </c>
      <c r="X150" s="767">
        <v>27.67</v>
      </c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28"/>
      <c r="AJ150" s="131"/>
      <c r="AK150" s="131"/>
      <c r="AL150" s="131"/>
      <c r="AM150" s="131"/>
      <c r="AN150" s="14"/>
      <c r="AO150" s="61"/>
      <c r="AP150" s="61"/>
      <c r="AQ150" s="61"/>
      <c r="AR150" s="28"/>
      <c r="AS150" s="131"/>
      <c r="AT150" s="131"/>
      <c r="AU150" s="131"/>
      <c r="AV150" s="131"/>
      <c r="AW150" s="14"/>
      <c r="AX150" s="61"/>
      <c r="AY150" s="61"/>
      <c r="AZ150" s="61"/>
      <c r="BA150" s="28"/>
      <c r="BB150" s="131"/>
      <c r="BC150" s="131"/>
      <c r="BD150" s="131"/>
      <c r="BE150" s="131"/>
      <c r="BF150" s="14"/>
      <c r="BG150" s="61"/>
      <c r="BH150" s="61"/>
      <c r="BI150" s="61"/>
      <c r="BJ150" s="28"/>
      <c r="BK150" s="131"/>
      <c r="BL150" s="131"/>
      <c r="BM150" s="131"/>
      <c r="BN150" s="131"/>
      <c r="BO150" s="14"/>
      <c r="BP150" s="61"/>
      <c r="BQ150" s="61"/>
      <c r="BR150" s="61"/>
      <c r="BS150" s="28"/>
      <c r="BT150" s="131"/>
      <c r="BU150" s="131"/>
      <c r="BV150" s="131"/>
      <c r="BW150" s="131"/>
      <c r="BX150" s="14"/>
      <c r="BY150" s="61"/>
      <c r="BZ150" s="61"/>
      <c r="CA150" s="61"/>
      <c r="CB150" s="28"/>
      <c r="CC150" s="131"/>
      <c r="CD150" s="131"/>
      <c r="CE150" s="131"/>
      <c r="CF150" s="14"/>
      <c r="CG150" s="61"/>
    </row>
    <row r="151" spans="1:85">
      <c r="A151" s="773"/>
      <c r="B151" s="210"/>
      <c r="C151" s="199" t="s">
        <v>121</v>
      </c>
      <c r="D151" s="456">
        <v>80</v>
      </c>
      <c r="E151" s="508">
        <v>56</v>
      </c>
      <c r="F151" s="456">
        <v>31.333333333333332</v>
      </c>
      <c r="G151" s="457">
        <v>50.166666666666664</v>
      </c>
      <c r="H151" s="509">
        <v>39.666666666666664</v>
      </c>
      <c r="I151" s="456">
        <v>54.666666666666664</v>
      </c>
      <c r="J151" s="484">
        <v>39.89</v>
      </c>
      <c r="K151" s="740">
        <v>32</v>
      </c>
      <c r="L151" s="734">
        <v>50</v>
      </c>
      <c r="M151" s="410">
        <v>78</v>
      </c>
      <c r="N151" s="499">
        <v>39.33</v>
      </c>
      <c r="O151" s="2052"/>
      <c r="P151" s="370">
        <v>68.67</v>
      </c>
      <c r="Q151" s="304"/>
      <c r="R151" s="304">
        <v>75.5</v>
      </c>
      <c r="S151" s="319">
        <v>48.5</v>
      </c>
      <c r="T151" s="319">
        <v>85</v>
      </c>
      <c r="U151" s="319">
        <v>102.67</v>
      </c>
      <c r="V151" s="319">
        <v>106.67</v>
      </c>
      <c r="W151" s="3091">
        <v>120</v>
      </c>
      <c r="X151" s="767">
        <v>117.33</v>
      </c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131"/>
      <c r="AK151" s="131"/>
      <c r="AL151" s="131"/>
      <c r="AM151" s="131"/>
      <c r="AN151" s="14"/>
      <c r="AO151" s="61"/>
      <c r="AP151" s="61"/>
      <c r="AQ151" s="61"/>
      <c r="AR151" s="61"/>
      <c r="AS151" s="131"/>
      <c r="AT151" s="131"/>
      <c r="AU151" s="131"/>
      <c r="AV151" s="131"/>
      <c r="AW151" s="14"/>
      <c r="AX151" s="61"/>
      <c r="AY151" s="61"/>
      <c r="AZ151" s="61"/>
      <c r="BA151" s="61"/>
      <c r="BB151" s="131"/>
      <c r="BC151" s="131"/>
      <c r="BD151" s="131"/>
      <c r="BE151" s="131"/>
      <c r="BF151" s="14"/>
      <c r="BG151" s="61"/>
      <c r="BH151" s="61"/>
      <c r="BI151" s="61"/>
      <c r="BJ151" s="61"/>
      <c r="BK151" s="131"/>
      <c r="BL151" s="131"/>
      <c r="BM151" s="131"/>
      <c r="BN151" s="131"/>
      <c r="BO151" s="14"/>
      <c r="BP151" s="61"/>
      <c r="BQ151" s="61"/>
      <c r="BR151" s="61"/>
      <c r="BS151" s="61"/>
      <c r="BT151" s="131"/>
      <c r="BU151" s="131"/>
      <c r="BV151" s="131"/>
      <c r="BW151" s="131"/>
      <c r="BX151" s="14"/>
      <c r="BY151" s="61"/>
      <c r="BZ151" s="61"/>
      <c r="CA151" s="61"/>
      <c r="CB151" s="61"/>
      <c r="CC151" s="131"/>
      <c r="CD151" s="131"/>
      <c r="CE151" s="131"/>
      <c r="CF151" s="14"/>
      <c r="CG151" s="61"/>
    </row>
    <row r="152" spans="1:85" ht="15.75" thickBot="1">
      <c r="A152" s="773"/>
      <c r="B152" s="210"/>
      <c r="C152" s="201" t="s">
        <v>119</v>
      </c>
      <c r="D152" s="510">
        <v>16</v>
      </c>
      <c r="E152" s="511">
        <v>13</v>
      </c>
      <c r="F152" s="510">
        <v>10.666666666666666</v>
      </c>
      <c r="G152" s="512">
        <v>11</v>
      </c>
      <c r="H152" s="513">
        <v>26.666666666666668</v>
      </c>
      <c r="I152" s="510">
        <v>27</v>
      </c>
      <c r="J152" s="486">
        <v>22.56</v>
      </c>
      <c r="K152" s="740">
        <v>14.333333333333334</v>
      </c>
      <c r="L152" s="737">
        <v>41.333333333333336</v>
      </c>
      <c r="M152" s="661">
        <v>54.33</v>
      </c>
      <c r="N152" s="2034">
        <v>27.33</v>
      </c>
      <c r="O152" s="2061"/>
      <c r="P152" s="371">
        <v>52.67</v>
      </c>
      <c r="Q152" s="321"/>
      <c r="R152" s="321">
        <v>8</v>
      </c>
      <c r="S152" s="322">
        <v>10.5</v>
      </c>
      <c r="T152" s="322">
        <v>47.5</v>
      </c>
      <c r="U152" s="322">
        <v>54.33</v>
      </c>
      <c r="V152" s="322">
        <v>30.67</v>
      </c>
      <c r="W152" s="3091">
        <v>27</v>
      </c>
      <c r="X152" s="767">
        <v>46.33</v>
      </c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131"/>
      <c r="AK152" s="131"/>
      <c r="AL152" s="131"/>
      <c r="AM152" s="131"/>
      <c r="AN152" s="14"/>
      <c r="AO152" s="61"/>
      <c r="AP152" s="61"/>
      <c r="AQ152" s="61"/>
      <c r="AR152" s="61"/>
      <c r="AS152" s="131"/>
      <c r="AT152" s="131"/>
      <c r="AU152" s="131"/>
      <c r="AV152" s="131"/>
      <c r="AW152" s="14"/>
      <c r="AX152" s="61"/>
      <c r="AY152" s="61"/>
      <c r="AZ152" s="61"/>
      <c r="BA152" s="61"/>
      <c r="BB152" s="131"/>
      <c r="BC152" s="131"/>
      <c r="BD152" s="131"/>
      <c r="BE152" s="131"/>
      <c r="BF152" s="14"/>
      <c r="BG152" s="61"/>
      <c r="BH152" s="61"/>
      <c r="BI152" s="61"/>
      <c r="BJ152" s="61"/>
      <c r="BK152" s="131"/>
      <c r="BL152" s="131"/>
      <c r="BM152" s="131"/>
      <c r="BN152" s="131"/>
      <c r="BO152" s="14"/>
      <c r="BP152" s="61"/>
      <c r="BQ152" s="61"/>
      <c r="BR152" s="61"/>
      <c r="BS152" s="61"/>
      <c r="BT152" s="131"/>
      <c r="BU152" s="131"/>
      <c r="BV152" s="131"/>
      <c r="BW152" s="131"/>
      <c r="BX152" s="14"/>
      <c r="BY152" s="61"/>
      <c r="BZ152" s="61"/>
      <c r="CA152" s="61"/>
      <c r="CB152" s="61"/>
      <c r="CC152" s="131"/>
      <c r="CD152" s="131"/>
      <c r="CE152" s="131"/>
      <c r="CF152" s="14"/>
      <c r="CG152" s="61"/>
    </row>
    <row r="153" spans="1:85">
      <c r="A153" s="114"/>
      <c r="B153" s="114"/>
      <c r="C153" s="775" t="s">
        <v>285</v>
      </c>
      <c r="D153" s="1025">
        <f>COUNTIF(D139:D152,"&lt;=10")</f>
        <v>3</v>
      </c>
      <c r="E153" s="1025">
        <f t="shared" ref="E153:S153" si="35">COUNTIF(E139:E152,"&lt;=10")</f>
        <v>2</v>
      </c>
      <c r="F153" s="1025">
        <f t="shared" si="35"/>
        <v>6</v>
      </c>
      <c r="G153" s="1025">
        <f t="shared" si="35"/>
        <v>3</v>
      </c>
      <c r="H153" s="1025">
        <f t="shared" si="35"/>
        <v>7</v>
      </c>
      <c r="I153" s="1025">
        <f t="shared" si="35"/>
        <v>4</v>
      </c>
      <c r="J153" s="1025">
        <f t="shared" si="35"/>
        <v>4</v>
      </c>
      <c r="K153" s="1025">
        <f t="shared" si="35"/>
        <v>8</v>
      </c>
      <c r="L153" s="1025">
        <f t="shared" si="35"/>
        <v>5</v>
      </c>
      <c r="M153" s="1025">
        <f t="shared" si="35"/>
        <v>1</v>
      </c>
      <c r="N153" s="1025">
        <f t="shared" si="35"/>
        <v>3</v>
      </c>
      <c r="O153" s="1025">
        <f>COUNTIF(O139:O152,"&lt;=10")</f>
        <v>0</v>
      </c>
      <c r="P153" s="1025">
        <f t="shared" si="35"/>
        <v>1</v>
      </c>
      <c r="Q153" s="1025">
        <f t="shared" si="35"/>
        <v>0</v>
      </c>
      <c r="R153" s="1025">
        <f t="shared" si="35"/>
        <v>5</v>
      </c>
      <c r="S153" s="1025">
        <f t="shared" si="35"/>
        <v>7</v>
      </c>
      <c r="T153" s="1025">
        <f t="shared" ref="T153:W153" si="36">COUNTIF(T139:T152,"&lt;=10")</f>
        <v>2</v>
      </c>
      <c r="U153" s="1025">
        <f t="shared" si="36"/>
        <v>0</v>
      </c>
      <c r="V153" s="1025">
        <f t="shared" si="36"/>
        <v>2</v>
      </c>
      <c r="W153" s="1025">
        <f t="shared" si="36"/>
        <v>2</v>
      </c>
      <c r="X153" s="770"/>
      <c r="Y153" s="4"/>
      <c r="Z153" s="4"/>
      <c r="AA153" s="4"/>
      <c r="AB153" s="4"/>
      <c r="AC153" s="4"/>
      <c r="AD153" s="4"/>
      <c r="AE153" s="4"/>
      <c r="AF153" s="61"/>
      <c r="AG153" s="61"/>
      <c r="AH153" s="61"/>
      <c r="AI153" s="61"/>
      <c r="AJ153" s="131"/>
      <c r="AK153" s="131"/>
      <c r="AL153" s="131"/>
      <c r="AM153" s="131"/>
      <c r="AN153" s="14"/>
      <c r="AO153" s="61"/>
      <c r="AP153" s="61"/>
      <c r="AQ153" s="61"/>
      <c r="AR153" s="61"/>
      <c r="AS153" s="131"/>
      <c r="AT153" s="131"/>
      <c r="AU153" s="131"/>
      <c r="AV153" s="131"/>
      <c r="AW153" s="14"/>
      <c r="AX153" s="61"/>
      <c r="AY153" s="61"/>
      <c r="AZ153" s="61"/>
      <c r="BA153" s="61"/>
      <c r="BB153" s="131"/>
      <c r="BC153" s="131"/>
      <c r="BD153" s="131"/>
      <c r="BE153" s="131"/>
      <c r="BF153" s="14"/>
      <c r="BG153" s="61"/>
      <c r="BH153" s="61"/>
      <c r="BI153" s="61"/>
      <c r="BJ153" s="61"/>
      <c r="BK153" s="131"/>
      <c r="BL153" s="131"/>
      <c r="BM153" s="131"/>
      <c r="BN153" s="131"/>
      <c r="BO153" s="14"/>
      <c r="BP153" s="61"/>
      <c r="BQ153" s="61"/>
      <c r="BR153" s="61"/>
      <c r="BS153" s="61"/>
      <c r="BT153" s="131"/>
      <c r="BU153" s="131"/>
      <c r="BV153" s="131"/>
      <c r="BW153" s="131"/>
      <c r="BX153" s="14"/>
      <c r="BY153" s="61"/>
      <c r="BZ153" s="61"/>
      <c r="CA153" s="61"/>
      <c r="CB153" s="61"/>
      <c r="CC153" s="131"/>
      <c r="CD153" s="131"/>
      <c r="CE153" s="131"/>
      <c r="CF153" s="14"/>
      <c r="CG153" s="61"/>
    </row>
    <row r="154" spans="1:85">
      <c r="A154" s="114"/>
      <c r="B154" s="114"/>
      <c r="C154" s="775" t="s">
        <v>287</v>
      </c>
      <c r="D154" s="1027">
        <f>COUNT(D139:D152)</f>
        <v>14</v>
      </c>
      <c r="E154" s="1027">
        <f t="shared" ref="E154:S154" si="37">COUNT(E139:E152)</f>
        <v>14</v>
      </c>
      <c r="F154" s="1027">
        <f t="shared" si="37"/>
        <v>14</v>
      </c>
      <c r="G154" s="1027">
        <f t="shared" si="37"/>
        <v>14</v>
      </c>
      <c r="H154" s="1027">
        <f t="shared" si="37"/>
        <v>14</v>
      </c>
      <c r="I154" s="1027">
        <f t="shared" si="37"/>
        <v>14</v>
      </c>
      <c r="J154" s="1027">
        <f t="shared" si="37"/>
        <v>14</v>
      </c>
      <c r="K154" s="1027">
        <f t="shared" si="37"/>
        <v>14</v>
      </c>
      <c r="L154" s="1027">
        <f t="shared" si="37"/>
        <v>14</v>
      </c>
      <c r="M154" s="1027">
        <f t="shared" si="37"/>
        <v>14</v>
      </c>
      <c r="N154" s="1027">
        <f t="shared" si="37"/>
        <v>14</v>
      </c>
      <c r="O154" s="1027">
        <f>COUNT(O139:O152)</f>
        <v>0</v>
      </c>
      <c r="P154" s="1027">
        <f t="shared" si="37"/>
        <v>14</v>
      </c>
      <c r="Q154" s="1027">
        <f t="shared" si="37"/>
        <v>0</v>
      </c>
      <c r="R154" s="1027">
        <f t="shared" si="37"/>
        <v>14</v>
      </c>
      <c r="S154" s="1027">
        <f t="shared" si="37"/>
        <v>14</v>
      </c>
      <c r="T154" s="1027">
        <f t="shared" ref="T154:W154" si="38">COUNT(T139:T152)</f>
        <v>14</v>
      </c>
      <c r="U154" s="1027">
        <f t="shared" si="38"/>
        <v>14</v>
      </c>
      <c r="V154" s="1027">
        <f t="shared" si="38"/>
        <v>14</v>
      </c>
      <c r="W154" s="1027">
        <f t="shared" si="38"/>
        <v>14</v>
      </c>
      <c r="X154" s="770"/>
      <c r="Y154" s="4"/>
      <c r="Z154" s="4"/>
      <c r="AA154" s="4"/>
      <c r="AB154" s="4"/>
      <c r="AC154" s="4"/>
      <c r="AD154" s="4"/>
      <c r="AE154" s="4"/>
      <c r="AF154" s="61"/>
      <c r="AG154" s="61"/>
      <c r="AH154" s="61"/>
      <c r="AI154" s="61"/>
      <c r="AJ154" s="131"/>
      <c r="AK154" s="131"/>
      <c r="AL154" s="131"/>
      <c r="AM154" s="131"/>
      <c r="AN154" s="14"/>
      <c r="AO154" s="61"/>
      <c r="AP154" s="61"/>
      <c r="AQ154" s="61"/>
      <c r="AR154" s="61"/>
      <c r="AS154" s="131"/>
      <c r="AT154" s="131"/>
      <c r="AU154" s="131"/>
      <c r="AV154" s="131"/>
      <c r="AW154" s="14"/>
      <c r="AX154" s="61"/>
      <c r="AY154" s="61"/>
      <c r="AZ154" s="61"/>
      <c r="BA154" s="61"/>
      <c r="BB154" s="131"/>
      <c r="BC154" s="131"/>
      <c r="BD154" s="131"/>
      <c r="BE154" s="131"/>
      <c r="BF154" s="14"/>
      <c r="BG154" s="61"/>
      <c r="BH154" s="61"/>
      <c r="BI154" s="61"/>
      <c r="BJ154" s="61"/>
      <c r="BK154" s="131"/>
      <c r="BL154" s="131"/>
      <c r="BM154" s="131"/>
      <c r="BN154" s="131"/>
      <c r="BO154" s="14"/>
      <c r="BP154" s="61"/>
      <c r="BQ154" s="61"/>
      <c r="BR154" s="61"/>
      <c r="BS154" s="61"/>
      <c r="BT154" s="131"/>
      <c r="BU154" s="131"/>
      <c r="BV154" s="131"/>
      <c r="BW154" s="131"/>
      <c r="BX154" s="14"/>
      <c r="BY154" s="61"/>
      <c r="BZ154" s="61"/>
      <c r="CA154" s="61"/>
      <c r="CB154" s="61"/>
      <c r="CC154" s="131"/>
      <c r="CD154" s="131"/>
      <c r="CE154" s="131"/>
      <c r="CF154" s="14"/>
      <c r="CG154" s="61"/>
    </row>
    <row r="155" spans="1:85">
      <c r="A155" s="114"/>
      <c r="B155" s="114"/>
      <c r="C155" s="775" t="s">
        <v>286</v>
      </c>
      <c r="D155" s="1026">
        <f t="shared" ref="D155:S155" si="39">D153/D154</f>
        <v>0.21428571428571427</v>
      </c>
      <c r="E155" s="1026">
        <f t="shared" si="39"/>
        <v>0.14285714285714285</v>
      </c>
      <c r="F155" s="1026">
        <f t="shared" si="39"/>
        <v>0.42857142857142855</v>
      </c>
      <c r="G155" s="1026">
        <f t="shared" si="39"/>
        <v>0.21428571428571427</v>
      </c>
      <c r="H155" s="1026">
        <f t="shared" si="39"/>
        <v>0.5</v>
      </c>
      <c r="I155" s="1026">
        <f t="shared" si="39"/>
        <v>0.2857142857142857</v>
      </c>
      <c r="J155" s="1026">
        <f t="shared" si="39"/>
        <v>0.2857142857142857</v>
      </c>
      <c r="K155" s="1026">
        <f t="shared" si="39"/>
        <v>0.5714285714285714</v>
      </c>
      <c r="L155" s="1026">
        <f t="shared" si="39"/>
        <v>0.35714285714285715</v>
      </c>
      <c r="M155" s="1026">
        <f t="shared" si="39"/>
        <v>7.1428571428571425E-2</v>
      </c>
      <c r="N155" s="1026">
        <f t="shared" si="39"/>
        <v>0.21428571428571427</v>
      </c>
      <c r="O155" s="1026" t="e">
        <f t="shared" si="39"/>
        <v>#DIV/0!</v>
      </c>
      <c r="P155" s="1026">
        <f t="shared" si="39"/>
        <v>7.1428571428571425E-2</v>
      </c>
      <c r="Q155" s="1026" t="e">
        <f t="shared" si="39"/>
        <v>#DIV/0!</v>
      </c>
      <c r="R155" s="1026">
        <f t="shared" si="39"/>
        <v>0.35714285714285715</v>
      </c>
      <c r="S155" s="1026">
        <f t="shared" si="39"/>
        <v>0.5</v>
      </c>
      <c r="T155" s="1026">
        <f t="shared" ref="T155:W155" si="40">T153/T154</f>
        <v>0.14285714285714285</v>
      </c>
      <c r="U155" s="1026">
        <f t="shared" si="40"/>
        <v>0</v>
      </c>
      <c r="V155" s="1026">
        <f t="shared" si="40"/>
        <v>0.14285714285714285</v>
      </c>
      <c r="W155" s="1026">
        <f t="shared" si="40"/>
        <v>0.14285714285714285</v>
      </c>
      <c r="X155" s="770"/>
      <c r="Y155" s="4"/>
      <c r="Z155" s="4"/>
      <c r="AA155" s="4"/>
      <c r="AB155" s="4"/>
      <c r="AC155" s="4"/>
      <c r="AD155" s="4"/>
      <c r="AE155" s="4"/>
      <c r="AF155" s="61"/>
      <c r="AG155" s="61"/>
      <c r="AH155" s="61"/>
      <c r="AI155" s="61"/>
      <c r="AJ155" s="131"/>
      <c r="AK155" s="131"/>
      <c r="AL155" s="131"/>
      <c r="AM155" s="131"/>
      <c r="AN155" s="14"/>
      <c r="AO155" s="61"/>
      <c r="AP155" s="61"/>
      <c r="AQ155" s="61"/>
      <c r="AR155" s="61"/>
      <c r="AS155" s="131"/>
      <c r="AT155" s="131"/>
      <c r="AU155" s="131"/>
      <c r="AV155" s="131"/>
      <c r="AW155" s="14"/>
      <c r="AX155" s="61"/>
      <c r="AY155" s="61"/>
      <c r="AZ155" s="61"/>
      <c r="BA155" s="61"/>
      <c r="BB155" s="131"/>
      <c r="BC155" s="131"/>
      <c r="BD155" s="131"/>
      <c r="BE155" s="131"/>
      <c r="BF155" s="14"/>
      <c r="BG155" s="61"/>
      <c r="BH155" s="61"/>
      <c r="BI155" s="61"/>
      <c r="BJ155" s="61"/>
      <c r="BK155" s="131"/>
      <c r="BL155" s="131"/>
      <c r="BM155" s="131"/>
      <c r="BN155" s="131"/>
      <c r="BO155" s="14"/>
      <c r="BP155" s="61"/>
      <c r="BQ155" s="61"/>
      <c r="BR155" s="61"/>
      <c r="BS155" s="61"/>
      <c r="BT155" s="131"/>
      <c r="BU155" s="131"/>
      <c r="BV155" s="131"/>
      <c r="BW155" s="131"/>
      <c r="BX155" s="14"/>
      <c r="BY155" s="61"/>
      <c r="BZ155" s="61"/>
      <c r="CA155" s="61"/>
      <c r="CB155" s="61"/>
      <c r="CC155" s="131"/>
      <c r="CD155" s="131"/>
      <c r="CE155" s="131"/>
      <c r="CF155" s="14"/>
      <c r="CG155" s="61"/>
    </row>
    <row r="156" spans="1:85">
      <c r="A156" s="776"/>
      <c r="B156" s="1090"/>
      <c r="C156" s="1088" t="s">
        <v>296</v>
      </c>
      <c r="D156" s="1059">
        <f>COUNTA(C139:C152)</f>
        <v>14</v>
      </c>
      <c r="E156" s="1091"/>
      <c r="F156" s="1091"/>
      <c r="G156" s="1091"/>
      <c r="H156" s="1091"/>
      <c r="I156" s="1092"/>
      <c r="J156" s="1091"/>
      <c r="K156" s="1093"/>
      <c r="L156" s="776"/>
      <c r="M156" s="776"/>
      <c r="N156" s="776"/>
      <c r="O156" s="776"/>
      <c r="P156" s="776"/>
      <c r="Q156" s="776"/>
      <c r="R156" s="776"/>
      <c r="S156" s="776"/>
      <c r="T156" s="776"/>
      <c r="U156" s="776"/>
      <c r="V156" s="776"/>
      <c r="W156" s="776"/>
      <c r="X156" s="770"/>
      <c r="Y156" s="4"/>
      <c r="Z156" s="4"/>
      <c r="AA156" s="50"/>
      <c r="AB156" s="50"/>
      <c r="AC156" s="50"/>
      <c r="AD156" s="50"/>
      <c r="AE156" s="50"/>
      <c r="AF156" s="61"/>
      <c r="AG156" s="61"/>
      <c r="AH156" s="61"/>
      <c r="AI156" s="61"/>
      <c r="AJ156" s="140"/>
      <c r="AK156" s="140"/>
      <c r="AL156" s="140"/>
      <c r="AM156" s="140"/>
      <c r="AN156" s="14"/>
      <c r="AO156" s="61"/>
      <c r="AP156" s="61"/>
      <c r="AQ156" s="61"/>
      <c r="AR156" s="61"/>
      <c r="AS156" s="140"/>
      <c r="AT156" s="140"/>
      <c r="AU156" s="140"/>
      <c r="AV156" s="140"/>
      <c r="AW156" s="14"/>
      <c r="AX156" s="61"/>
      <c r="AY156" s="61"/>
      <c r="AZ156" s="61"/>
      <c r="BA156" s="61"/>
      <c r="BB156" s="140"/>
      <c r="BC156" s="140"/>
      <c r="BD156" s="140"/>
      <c r="BE156" s="140"/>
      <c r="BF156" s="14"/>
      <c r="BG156" s="61"/>
      <c r="BH156" s="61"/>
      <c r="BI156" s="61"/>
      <c r="BJ156" s="61"/>
      <c r="BK156" s="140"/>
      <c r="BL156" s="140"/>
      <c r="BM156" s="140"/>
      <c r="BN156" s="140"/>
      <c r="BO156" s="14"/>
      <c r="BP156" s="61"/>
      <c r="BQ156" s="61"/>
      <c r="BR156" s="61"/>
      <c r="BS156" s="61"/>
      <c r="BT156" s="140"/>
      <c r="BU156" s="140"/>
      <c r="BV156" s="140"/>
      <c r="BW156" s="140"/>
      <c r="BX156" s="14"/>
      <c r="BY156" s="61"/>
      <c r="BZ156" s="61"/>
      <c r="CA156" s="61"/>
      <c r="CB156" s="61"/>
      <c r="CC156" s="140"/>
      <c r="CD156" s="140"/>
      <c r="CE156" s="140"/>
      <c r="CF156" s="14"/>
      <c r="CG156" s="61"/>
    </row>
    <row r="157" spans="1:85">
      <c r="A157" s="773"/>
      <c r="B157" s="210"/>
      <c r="C157" s="117"/>
      <c r="D157" s="110"/>
      <c r="E157" s="110"/>
      <c r="F157" s="3546" t="s">
        <v>228</v>
      </c>
      <c r="G157" s="3546"/>
      <c r="H157" s="3546"/>
      <c r="I157" s="3546"/>
      <c r="J157" s="766"/>
      <c r="K157" s="112"/>
      <c r="L157" s="107"/>
      <c r="M157" s="120"/>
      <c r="N157" s="3546" t="s">
        <v>228</v>
      </c>
      <c r="O157" s="3546"/>
      <c r="P157" s="3546"/>
      <c r="Q157" s="3546"/>
      <c r="R157" s="120"/>
      <c r="S157" s="120"/>
      <c r="T157" s="120"/>
      <c r="U157" s="120"/>
      <c r="V157" s="120"/>
      <c r="W157" s="120"/>
      <c r="X157" s="767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141"/>
      <c r="AK157" s="141"/>
      <c r="AL157" s="141"/>
      <c r="AM157" s="141"/>
      <c r="AN157" s="14"/>
      <c r="AO157" s="61"/>
      <c r="AP157" s="61"/>
      <c r="AQ157" s="61"/>
      <c r="AR157" s="61"/>
      <c r="AS157" s="141"/>
      <c r="AT157" s="141"/>
      <c r="AU157" s="141"/>
      <c r="AV157" s="141"/>
      <c r="AW157" s="14"/>
      <c r="AX157" s="61"/>
      <c r="AY157" s="61"/>
      <c r="AZ157" s="61"/>
      <c r="BA157" s="61"/>
      <c r="BB157" s="141"/>
      <c r="BC157" s="141"/>
      <c r="BD157" s="141"/>
      <c r="BE157" s="141"/>
      <c r="BF157" s="14"/>
      <c r="BG157" s="61"/>
      <c r="BH157" s="61"/>
      <c r="BI157" s="61"/>
      <c r="BJ157" s="61"/>
      <c r="BK157" s="141"/>
      <c r="BL157" s="141"/>
      <c r="BM157" s="141"/>
      <c r="BN157" s="141"/>
      <c r="BO157" s="14"/>
      <c r="BP157" s="61"/>
      <c r="BQ157" s="61"/>
      <c r="BR157" s="61"/>
      <c r="BS157" s="61"/>
      <c r="BT157" s="141"/>
      <c r="BU157" s="141"/>
      <c r="BV157" s="141"/>
      <c r="BW157" s="141"/>
      <c r="BX157" s="14"/>
      <c r="BY157" s="61"/>
      <c r="BZ157" s="61"/>
      <c r="CA157" s="61"/>
      <c r="CB157" s="61"/>
      <c r="CC157" s="141"/>
      <c r="CD157" s="141"/>
      <c r="CE157" s="141"/>
      <c r="CF157" s="14"/>
      <c r="CG157" s="61"/>
    </row>
    <row r="158" spans="1:85" ht="15.75" thickBot="1">
      <c r="A158" s="365"/>
      <c r="B158" s="1016"/>
      <c r="C158" s="117"/>
      <c r="D158" s="110"/>
      <c r="E158" s="110"/>
      <c r="F158" s="3546"/>
      <c r="G158" s="3546"/>
      <c r="H158" s="3546"/>
      <c r="I158" s="3546"/>
      <c r="J158" s="766"/>
      <c r="K158" s="112"/>
      <c r="L158" s="107"/>
      <c r="M158" s="120"/>
      <c r="N158" s="3546"/>
      <c r="O158" s="3546"/>
      <c r="P158" s="3546"/>
      <c r="Q158" s="3546"/>
      <c r="R158" s="120"/>
      <c r="S158" s="120"/>
      <c r="T158" s="120"/>
      <c r="U158" s="120"/>
      <c r="V158" s="120"/>
      <c r="W158" s="120"/>
      <c r="X158" s="767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</row>
    <row r="159" spans="1:85" ht="15.75" thickBot="1">
      <c r="A159" s="365"/>
      <c r="B159" s="1016" t="s">
        <v>284</v>
      </c>
      <c r="C159" s="266" t="s">
        <v>168</v>
      </c>
      <c r="D159" s="268">
        <v>10</v>
      </c>
      <c r="E159" s="268">
        <v>10</v>
      </c>
      <c r="F159" s="268">
        <v>10</v>
      </c>
      <c r="G159" s="345">
        <v>10</v>
      </c>
      <c r="H159" s="346">
        <v>10</v>
      </c>
      <c r="I159" s="268">
        <v>10</v>
      </c>
      <c r="J159" s="268">
        <v>10</v>
      </c>
      <c r="K159" s="269">
        <v>10</v>
      </c>
      <c r="L159" s="346">
        <v>10</v>
      </c>
      <c r="M159" s="268">
        <v>10</v>
      </c>
      <c r="N159" s="268">
        <v>10</v>
      </c>
      <c r="O159" s="269">
        <v>10</v>
      </c>
      <c r="P159" s="346">
        <v>10</v>
      </c>
      <c r="Q159" s="268">
        <v>10</v>
      </c>
      <c r="R159" s="268">
        <v>10</v>
      </c>
      <c r="S159" s="269">
        <v>10</v>
      </c>
      <c r="T159" s="269">
        <v>10</v>
      </c>
      <c r="U159" s="269">
        <v>10</v>
      </c>
      <c r="V159" s="269">
        <v>10</v>
      </c>
      <c r="W159" s="269">
        <v>10</v>
      </c>
      <c r="X159" s="269">
        <v>10</v>
      </c>
      <c r="Y159" s="269">
        <v>10</v>
      </c>
      <c r="Z159" s="269">
        <v>7</v>
      </c>
      <c r="AA159" s="269">
        <v>7</v>
      </c>
      <c r="AB159" s="269">
        <v>7</v>
      </c>
      <c r="AC159" s="269">
        <v>7</v>
      </c>
      <c r="AD159" s="269">
        <v>7</v>
      </c>
      <c r="AE159" s="269">
        <v>7</v>
      </c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</row>
    <row r="160" spans="1:85">
      <c r="A160" s="773"/>
      <c r="B160" s="210">
        <f>COUNTA(C160:C195)</f>
        <v>36</v>
      </c>
      <c r="C160" s="263" t="s">
        <v>105</v>
      </c>
      <c r="D160" s="463">
        <v>143.66666666666666</v>
      </c>
      <c r="E160" s="463">
        <v>107.66666666666667</v>
      </c>
      <c r="F160" s="463">
        <v>70.666666666666671</v>
      </c>
      <c r="G160" s="464">
        <v>17.333333333333332</v>
      </c>
      <c r="H160" s="465">
        <v>71</v>
      </c>
      <c r="I160" s="463">
        <v>127</v>
      </c>
      <c r="J160" s="466">
        <v>13</v>
      </c>
      <c r="K160" s="467">
        <v>29</v>
      </c>
      <c r="L160" s="409"/>
      <c r="M160" s="410">
        <v>90</v>
      </c>
      <c r="N160" s="499">
        <v>36</v>
      </c>
      <c r="O160" s="846"/>
      <c r="P160" s="2398">
        <v>163.66999999999999</v>
      </c>
      <c r="Q160" s="304">
        <v>153.33000000000001</v>
      </c>
      <c r="R160" s="304"/>
      <c r="S160" s="319"/>
      <c r="T160" s="319"/>
      <c r="U160" s="319"/>
      <c r="V160" s="319"/>
      <c r="W160" s="319">
        <v>153</v>
      </c>
      <c r="X160" s="319">
        <v>568.66999999999996</v>
      </c>
      <c r="Y160" s="319">
        <v>386.33</v>
      </c>
      <c r="Z160" s="319"/>
      <c r="AA160" s="319">
        <v>77</v>
      </c>
      <c r="AB160" s="319"/>
      <c r="AC160" s="319"/>
      <c r="AD160" s="319"/>
      <c r="AE160" s="319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</row>
    <row r="161" spans="1:108">
      <c r="A161" s="773"/>
      <c r="B161" s="210"/>
      <c r="C161" s="106" t="s">
        <v>94</v>
      </c>
      <c r="D161" s="468">
        <v>5.666666666666667</v>
      </c>
      <c r="E161" s="468">
        <v>9</v>
      </c>
      <c r="F161" s="468">
        <v>4.333333333333333</v>
      </c>
      <c r="G161" s="469">
        <v>3</v>
      </c>
      <c r="H161" s="470">
        <v>6</v>
      </c>
      <c r="I161" s="468">
        <v>5</v>
      </c>
      <c r="J161" s="471">
        <v>3</v>
      </c>
      <c r="K161" s="472">
        <v>4</v>
      </c>
      <c r="L161" s="950">
        <v>5</v>
      </c>
      <c r="M161" s="410">
        <v>11</v>
      </c>
      <c r="N161" s="499">
        <v>5</v>
      </c>
      <c r="O161" s="846"/>
      <c r="P161" s="2398">
        <v>7.33</v>
      </c>
      <c r="Q161" s="304">
        <v>19</v>
      </c>
      <c r="R161" s="304"/>
      <c r="S161" s="319"/>
      <c r="T161" s="319"/>
      <c r="U161" s="319"/>
      <c r="V161" s="319"/>
      <c r="W161" s="319">
        <v>11.67</v>
      </c>
      <c r="X161" s="319">
        <v>8.33</v>
      </c>
      <c r="Y161" s="319">
        <v>9</v>
      </c>
      <c r="Z161" s="319"/>
      <c r="AA161" s="319">
        <v>7.333333333333333</v>
      </c>
      <c r="AB161" s="319"/>
      <c r="AC161" s="319"/>
      <c r="AD161" s="319"/>
      <c r="AE161" s="319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</row>
    <row r="162" spans="1:108">
      <c r="A162" s="773"/>
      <c r="B162" s="210"/>
      <c r="C162" s="106" t="s">
        <v>166</v>
      </c>
      <c r="D162" s="468"/>
      <c r="E162" s="468"/>
      <c r="F162" s="468"/>
      <c r="G162" s="469"/>
      <c r="H162" s="470">
        <v>20</v>
      </c>
      <c r="I162" s="468"/>
      <c r="J162" s="471">
        <v>5</v>
      </c>
      <c r="K162" s="472">
        <v>7</v>
      </c>
      <c r="L162" s="950">
        <v>18</v>
      </c>
      <c r="M162" s="410"/>
      <c r="N162" s="499"/>
      <c r="O162" s="846"/>
      <c r="P162" s="2398"/>
      <c r="Q162" s="304"/>
      <c r="R162" s="304"/>
      <c r="S162" s="319"/>
      <c r="T162" s="319"/>
      <c r="U162" s="319"/>
      <c r="V162" s="319"/>
      <c r="W162" s="319"/>
      <c r="X162" s="319"/>
      <c r="Y162" s="319"/>
      <c r="Z162" s="319"/>
      <c r="AA162" s="319" t="e">
        <v>#DIV/0!</v>
      </c>
      <c r="AB162" s="319"/>
      <c r="AC162" s="319"/>
      <c r="AD162" s="319"/>
      <c r="AE162" s="319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</row>
    <row r="163" spans="1:108">
      <c r="A163" s="773"/>
      <c r="B163" s="210"/>
      <c r="C163" s="106" t="s">
        <v>162</v>
      </c>
      <c r="D163" s="468">
        <v>3.3333333333333335</v>
      </c>
      <c r="E163" s="468">
        <v>2</v>
      </c>
      <c r="F163" s="468">
        <v>2.6666666666666665</v>
      </c>
      <c r="G163" s="469">
        <v>3</v>
      </c>
      <c r="H163" s="470">
        <v>2</v>
      </c>
      <c r="I163" s="468">
        <v>2</v>
      </c>
      <c r="J163" s="471">
        <v>2</v>
      </c>
      <c r="K163" s="472">
        <v>2</v>
      </c>
      <c r="L163" s="950">
        <v>2</v>
      </c>
      <c r="M163" s="410">
        <v>10</v>
      </c>
      <c r="N163" s="499">
        <v>4</v>
      </c>
      <c r="O163" s="846"/>
      <c r="P163" s="2402">
        <v>1</v>
      </c>
      <c r="Q163" s="304">
        <v>2</v>
      </c>
      <c r="R163" s="304"/>
      <c r="S163" s="319"/>
      <c r="T163" s="319"/>
      <c r="U163" s="319"/>
      <c r="V163" s="319"/>
      <c r="W163" s="319">
        <v>3</v>
      </c>
      <c r="X163" s="319">
        <v>2</v>
      </c>
      <c r="Y163" s="319">
        <v>3</v>
      </c>
      <c r="Z163" s="319"/>
      <c r="AA163" s="319">
        <v>2</v>
      </c>
      <c r="AB163" s="319"/>
      <c r="AC163" s="319"/>
      <c r="AD163" s="319"/>
      <c r="AE163" s="319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</row>
    <row r="164" spans="1:108">
      <c r="A164" s="773"/>
      <c r="B164" s="210"/>
      <c r="C164" s="106" t="s">
        <v>101</v>
      </c>
      <c r="D164" s="468">
        <v>57.333333333333336</v>
      </c>
      <c r="E164" s="468">
        <v>19.333333333333332</v>
      </c>
      <c r="F164" s="468">
        <v>10.666666666666666</v>
      </c>
      <c r="G164" s="469">
        <v>7.333333333333333</v>
      </c>
      <c r="H164" s="470">
        <v>23</v>
      </c>
      <c r="I164" s="468">
        <v>21</v>
      </c>
      <c r="J164" s="471">
        <v>8</v>
      </c>
      <c r="K164" s="472">
        <v>28</v>
      </c>
      <c r="L164" s="950">
        <v>20</v>
      </c>
      <c r="M164" s="410">
        <v>13</v>
      </c>
      <c r="N164" s="499">
        <v>22</v>
      </c>
      <c r="O164" s="846"/>
      <c r="P164" s="2402">
        <v>47</v>
      </c>
      <c r="Q164" s="304">
        <v>43.33</v>
      </c>
      <c r="R164" s="304"/>
      <c r="S164" s="319"/>
      <c r="T164" s="319"/>
      <c r="U164" s="319"/>
      <c r="V164" s="319"/>
      <c r="W164" s="319">
        <v>31.67</v>
      </c>
      <c r="X164" s="319">
        <v>32.33</v>
      </c>
      <c r="Y164" s="319">
        <v>29</v>
      </c>
      <c r="Z164" s="319"/>
      <c r="AA164" s="319">
        <v>41.333333333333336</v>
      </c>
      <c r="AB164" s="319"/>
      <c r="AC164" s="319"/>
      <c r="AD164" s="319"/>
      <c r="AE164" s="319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</row>
    <row r="165" spans="1:108">
      <c r="A165" s="773"/>
      <c r="B165" s="210"/>
      <c r="C165" s="106" t="s">
        <v>158</v>
      </c>
      <c r="D165" s="468">
        <v>181</v>
      </c>
      <c r="E165" s="468">
        <v>119.33333333333333</v>
      </c>
      <c r="F165" s="468">
        <v>223.66666666666666</v>
      </c>
      <c r="G165" s="469">
        <v>26</v>
      </c>
      <c r="H165" s="470">
        <v>60</v>
      </c>
      <c r="I165" s="468">
        <v>269</v>
      </c>
      <c r="J165" s="471">
        <v>47</v>
      </c>
      <c r="K165" s="472">
        <v>118</v>
      </c>
      <c r="L165" s="950">
        <v>206</v>
      </c>
      <c r="M165" s="410">
        <v>111</v>
      </c>
      <c r="N165" s="499">
        <v>95</v>
      </c>
      <c r="O165" s="2062"/>
      <c r="P165" s="2399">
        <v>417.67</v>
      </c>
      <c r="Q165" s="815">
        <v>560</v>
      </c>
      <c r="R165" s="815"/>
      <c r="S165" s="816"/>
      <c r="T165" s="816"/>
      <c r="U165" s="816"/>
      <c r="V165" s="816"/>
      <c r="W165" s="816">
        <v>232.33</v>
      </c>
      <c r="X165" s="816">
        <v>277.33</v>
      </c>
      <c r="Y165" s="816">
        <v>497.67</v>
      </c>
      <c r="Z165" s="816"/>
      <c r="AA165" s="816">
        <v>59.333333333333336</v>
      </c>
      <c r="AB165" s="816"/>
      <c r="AC165" s="816"/>
      <c r="AD165" s="816"/>
      <c r="AE165" s="816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</row>
    <row r="166" spans="1:108">
      <c r="A166" s="773"/>
      <c r="B166" s="210"/>
      <c r="C166" s="106" t="s">
        <v>97</v>
      </c>
      <c r="D166" s="468">
        <v>37.666666666666664</v>
      </c>
      <c r="E166" s="468">
        <v>22.333333333333332</v>
      </c>
      <c r="F166" s="468">
        <v>12</v>
      </c>
      <c r="G166" s="469">
        <v>9.6666666666666661</v>
      </c>
      <c r="H166" s="470">
        <v>15</v>
      </c>
      <c r="I166" s="468">
        <v>15</v>
      </c>
      <c r="J166" s="471">
        <v>8</v>
      </c>
      <c r="K166" s="472">
        <v>30</v>
      </c>
      <c r="L166" s="950">
        <v>32</v>
      </c>
      <c r="M166" s="410">
        <v>32</v>
      </c>
      <c r="N166" s="473">
        <v>9</v>
      </c>
      <c r="O166" s="2063"/>
      <c r="P166" s="2401">
        <v>17.5</v>
      </c>
      <c r="Q166" s="817">
        <v>25.5</v>
      </c>
      <c r="R166" s="817"/>
      <c r="S166" s="818"/>
      <c r="T166" s="818"/>
      <c r="U166" s="818"/>
      <c r="V166" s="818"/>
      <c r="W166" s="818">
        <v>37.5</v>
      </c>
      <c r="X166" s="818">
        <v>25.5</v>
      </c>
      <c r="Y166" s="818">
        <v>26.33</v>
      </c>
      <c r="Z166" s="818"/>
      <c r="AA166" s="818" t="e">
        <v>#DIV/0!</v>
      </c>
      <c r="AB166" s="818"/>
      <c r="AC166" s="818"/>
      <c r="AD166" s="818"/>
      <c r="AE166" s="818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</row>
    <row r="167" spans="1:108">
      <c r="A167" s="773"/>
      <c r="B167" s="210"/>
      <c r="C167" s="106" t="s">
        <v>167</v>
      </c>
      <c r="D167" s="468">
        <v>26.666666666666668</v>
      </c>
      <c r="E167" s="468">
        <v>18</v>
      </c>
      <c r="F167" s="468">
        <v>7.666666666666667</v>
      </c>
      <c r="G167" s="469">
        <v>6.333333333333333</v>
      </c>
      <c r="H167" s="470">
        <v>19</v>
      </c>
      <c r="I167" s="468">
        <v>17</v>
      </c>
      <c r="J167" s="471">
        <v>8</v>
      </c>
      <c r="K167" s="472">
        <v>8</v>
      </c>
      <c r="L167" s="950">
        <v>32</v>
      </c>
      <c r="M167" s="410">
        <v>24</v>
      </c>
      <c r="N167" s="499">
        <v>10</v>
      </c>
      <c r="O167" s="2063"/>
      <c r="P167" s="2401">
        <v>34.33</v>
      </c>
      <c r="Q167" s="817">
        <v>25.67</v>
      </c>
      <c r="R167" s="817"/>
      <c r="S167" s="818"/>
      <c r="T167" s="818"/>
      <c r="U167" s="818"/>
      <c r="V167" s="818"/>
      <c r="W167" s="818">
        <v>19.670000000000002</v>
      </c>
      <c r="X167" s="818">
        <v>26.67</v>
      </c>
      <c r="Y167" s="818">
        <v>22.33</v>
      </c>
      <c r="Z167" s="818"/>
      <c r="AA167" s="818">
        <v>21</v>
      </c>
      <c r="AB167" s="818"/>
      <c r="AC167" s="818"/>
      <c r="AD167" s="818"/>
      <c r="AE167" s="818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</row>
    <row r="168" spans="1:108">
      <c r="A168" s="773"/>
      <c r="B168" s="210"/>
      <c r="C168" s="106" t="s">
        <v>165</v>
      </c>
      <c r="D168" s="468"/>
      <c r="E168" s="468"/>
      <c r="F168" s="468"/>
      <c r="G168" s="469"/>
      <c r="H168" s="470">
        <v>3</v>
      </c>
      <c r="I168" s="468"/>
      <c r="J168" s="471">
        <v>3</v>
      </c>
      <c r="K168" s="472">
        <v>3</v>
      </c>
      <c r="L168" s="409"/>
      <c r="M168" s="410"/>
      <c r="N168" s="499">
        <v>2</v>
      </c>
      <c r="O168" s="2063"/>
      <c r="P168" s="2395"/>
      <c r="Q168" s="817"/>
      <c r="R168" s="817"/>
      <c r="S168" s="818"/>
      <c r="T168" s="818"/>
      <c r="U168" s="818"/>
      <c r="V168" s="818"/>
      <c r="W168" s="818">
        <v>2</v>
      </c>
      <c r="X168" s="818"/>
      <c r="Y168" s="3266" t="s">
        <v>336</v>
      </c>
      <c r="Z168" s="818"/>
      <c r="AA168" s="818">
        <v>5</v>
      </c>
      <c r="AB168" s="818"/>
      <c r="AC168" s="818"/>
      <c r="AD168" s="818"/>
      <c r="AE168" s="818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</row>
    <row r="169" spans="1:108" ht="15" customHeight="1">
      <c r="A169" s="773"/>
      <c r="B169" s="210"/>
      <c r="C169" s="106" t="s">
        <v>87</v>
      </c>
      <c r="D169" s="468">
        <v>3.6666666666666665</v>
      </c>
      <c r="E169" s="468">
        <v>2.3333333333333335</v>
      </c>
      <c r="F169" s="468">
        <v>6</v>
      </c>
      <c r="G169" s="469">
        <v>3</v>
      </c>
      <c r="H169" s="470">
        <v>4</v>
      </c>
      <c r="I169" s="468">
        <v>2</v>
      </c>
      <c r="J169" s="471">
        <v>4</v>
      </c>
      <c r="K169" s="472">
        <v>3</v>
      </c>
      <c r="L169" s="950">
        <v>3</v>
      </c>
      <c r="M169" s="410">
        <v>3</v>
      </c>
      <c r="N169" s="499">
        <v>2</v>
      </c>
      <c r="O169" s="2063"/>
      <c r="P169" s="2401">
        <v>3.5</v>
      </c>
      <c r="Q169" s="817">
        <v>1.67</v>
      </c>
      <c r="R169" s="817"/>
      <c r="S169" s="818"/>
      <c r="T169" s="818"/>
      <c r="U169" s="818"/>
      <c r="V169" s="818"/>
      <c r="W169" s="818">
        <v>2.33</v>
      </c>
      <c r="X169" s="818">
        <v>2.67</v>
      </c>
      <c r="Y169" s="818">
        <v>3</v>
      </c>
      <c r="Z169" s="818"/>
      <c r="AA169" s="818">
        <v>5</v>
      </c>
      <c r="AB169" s="818"/>
      <c r="AC169" s="818"/>
      <c r="AD169" s="818"/>
      <c r="AE169" s="818"/>
      <c r="AF169" s="61"/>
      <c r="AG169" s="61"/>
      <c r="AH169" s="61"/>
      <c r="AI169" s="96"/>
      <c r="AJ169" s="95"/>
      <c r="AK169" s="95"/>
      <c r="AL169" s="13"/>
      <c r="AM169" s="61"/>
      <c r="AN169" s="61"/>
      <c r="AO169" s="61"/>
      <c r="AP169" s="61"/>
      <c r="AQ169" s="61"/>
      <c r="AR169" s="95"/>
      <c r="AS169" s="70"/>
      <c r="AT169" s="70"/>
      <c r="AU169" s="13"/>
      <c r="AV169" s="61"/>
      <c r="AW169" s="61"/>
      <c r="AX169" s="61"/>
    </row>
    <row r="170" spans="1:108">
      <c r="A170" s="773"/>
      <c r="B170" s="210"/>
      <c r="C170" s="1717" t="s">
        <v>435</v>
      </c>
      <c r="D170" s="1710">
        <v>64.666666666666671</v>
      </c>
      <c r="E170" s="1710">
        <v>30.333333333333332</v>
      </c>
      <c r="F170" s="1710">
        <v>32.333333333333336</v>
      </c>
      <c r="G170" s="1711">
        <v>12</v>
      </c>
      <c r="H170" s="1712">
        <v>28</v>
      </c>
      <c r="I170" s="1710">
        <v>35</v>
      </c>
      <c r="J170" s="1713">
        <v>19</v>
      </c>
      <c r="K170" s="1714">
        <v>7</v>
      </c>
      <c r="L170" s="1715"/>
      <c r="M170" s="1707"/>
      <c r="N170" s="1728"/>
      <c r="O170" s="2063"/>
      <c r="P170" s="2401">
        <v>11</v>
      </c>
      <c r="Q170" s="817">
        <v>28</v>
      </c>
      <c r="R170" s="817"/>
      <c r="S170" s="818"/>
      <c r="T170" s="818"/>
      <c r="U170" s="818"/>
      <c r="V170" s="818"/>
      <c r="W170" s="818">
        <v>25.5</v>
      </c>
      <c r="X170" s="818">
        <v>32.5</v>
      </c>
      <c r="Y170" s="818">
        <v>99.5</v>
      </c>
      <c r="Z170" s="818"/>
      <c r="AA170" s="818">
        <v>26</v>
      </c>
      <c r="AB170" s="818"/>
      <c r="AC170" s="818"/>
      <c r="AD170" s="818"/>
      <c r="AE170" s="818"/>
      <c r="AF170" s="61"/>
      <c r="AG170" s="61"/>
      <c r="AH170" s="28"/>
      <c r="AI170" s="142"/>
      <c r="AJ170" s="142"/>
      <c r="AK170" s="142"/>
      <c r="AL170" s="14"/>
      <c r="AM170" s="61"/>
      <c r="AN170" s="61"/>
      <c r="AO170" s="61"/>
      <c r="AP170" s="61"/>
      <c r="AQ170" s="28"/>
      <c r="AR170" s="142"/>
      <c r="AS170" s="142"/>
      <c r="AT170" s="142"/>
      <c r="AU170" s="14"/>
      <c r="AV170" s="61"/>
      <c r="AW170" s="61"/>
      <c r="AX170" s="61"/>
    </row>
    <row r="171" spans="1:108" s="3452" customFormat="1">
      <c r="A171" s="773"/>
      <c r="B171" s="210"/>
      <c r="C171" s="1717" t="s">
        <v>436</v>
      </c>
      <c r="D171" s="1710"/>
      <c r="E171" s="1710"/>
      <c r="F171" s="1710"/>
      <c r="G171" s="1711"/>
      <c r="H171" s="1712"/>
      <c r="I171" s="1710"/>
      <c r="J171" s="1713"/>
      <c r="K171" s="1714"/>
      <c r="L171" s="1715"/>
      <c r="M171" s="1707"/>
      <c r="N171" s="1728"/>
      <c r="O171" s="2063"/>
      <c r="P171" s="2401"/>
      <c r="Q171" s="817"/>
      <c r="R171" s="817"/>
      <c r="S171" s="818"/>
      <c r="T171" s="818"/>
      <c r="U171" s="818"/>
      <c r="V171" s="818"/>
      <c r="W171" s="818"/>
      <c r="X171" s="818"/>
      <c r="Y171" s="818"/>
      <c r="Z171" s="818"/>
      <c r="AA171" s="818">
        <v>9.3333333333333339</v>
      </c>
      <c r="AB171" s="818"/>
      <c r="AC171" s="818"/>
      <c r="AD171" s="818"/>
      <c r="AE171" s="818"/>
      <c r="AF171" s="61"/>
      <c r="AG171" s="61"/>
      <c r="AH171" s="28"/>
      <c r="AI171" s="142"/>
      <c r="AJ171" s="142"/>
      <c r="AK171" s="142"/>
      <c r="AL171" s="14"/>
      <c r="AM171" s="61"/>
      <c r="AN171" s="61"/>
      <c r="AO171" s="61"/>
      <c r="AP171" s="61"/>
      <c r="AQ171" s="28"/>
      <c r="AR171" s="142"/>
      <c r="AS171" s="142"/>
      <c r="AT171" s="142"/>
      <c r="AU171" s="14"/>
      <c r="AV171" s="61"/>
      <c r="AW171" s="61"/>
      <c r="AX171" s="61"/>
    </row>
    <row r="172" spans="1:108" s="4" customFormat="1">
      <c r="A172" s="773"/>
      <c r="B172" s="210"/>
      <c r="C172" s="106" t="s">
        <v>95</v>
      </c>
      <c r="D172" s="468">
        <v>20.333333333333332</v>
      </c>
      <c r="E172" s="468">
        <v>18.333333333333332</v>
      </c>
      <c r="F172" s="468">
        <v>4</v>
      </c>
      <c r="G172" s="469">
        <v>4.666666666666667</v>
      </c>
      <c r="H172" s="470">
        <v>12</v>
      </c>
      <c r="I172" s="468">
        <v>14</v>
      </c>
      <c r="J172" s="471">
        <v>4</v>
      </c>
      <c r="K172" s="472">
        <v>18</v>
      </c>
      <c r="L172" s="950">
        <v>22</v>
      </c>
      <c r="M172" s="410">
        <v>24</v>
      </c>
      <c r="N172" s="499">
        <v>15</v>
      </c>
      <c r="O172" s="2063"/>
      <c r="P172" s="2401">
        <v>33</v>
      </c>
      <c r="Q172" s="817">
        <v>23</v>
      </c>
      <c r="R172" s="817"/>
      <c r="S172" s="818"/>
      <c r="T172" s="818"/>
      <c r="U172" s="818"/>
      <c r="V172" s="818"/>
      <c r="W172" s="818">
        <v>8.33</v>
      </c>
      <c r="X172" s="818">
        <v>14</v>
      </c>
      <c r="Y172" s="818">
        <v>31.33</v>
      </c>
      <c r="Z172" s="818"/>
      <c r="AA172" s="818">
        <v>9</v>
      </c>
      <c r="AB172" s="818"/>
      <c r="AC172" s="818"/>
      <c r="AD172" s="818"/>
      <c r="AE172" s="818"/>
      <c r="BE172" s="83"/>
      <c r="BF172" s="83"/>
      <c r="BG172" s="83"/>
      <c r="BH172" s="83"/>
      <c r="BI172" s="83"/>
      <c r="BJ172" s="83"/>
      <c r="BK172" s="83"/>
      <c r="BL172" s="83"/>
      <c r="BM172" s="83"/>
      <c r="BN172" s="83"/>
      <c r="BO172" s="83"/>
      <c r="BP172" s="83"/>
      <c r="BQ172" s="83"/>
      <c r="BR172" s="83"/>
      <c r="BS172" s="83"/>
      <c r="BT172" s="83"/>
      <c r="BU172" s="83"/>
      <c r="BV172" s="83"/>
      <c r="BW172" s="83"/>
      <c r="BX172" s="83"/>
      <c r="BY172" s="83"/>
      <c r="CH172" s="83"/>
      <c r="CI172" s="83"/>
      <c r="CJ172" s="83"/>
      <c r="CK172" s="83"/>
      <c r="CL172" s="83"/>
      <c r="CM172" s="83"/>
      <c r="CN172" s="83"/>
      <c r="CO172" s="83"/>
      <c r="CP172" s="83"/>
      <c r="CQ172" s="83"/>
      <c r="CR172" s="83"/>
      <c r="CS172" s="83"/>
      <c r="CT172" s="83"/>
      <c r="CU172" s="83"/>
      <c r="CV172" s="83"/>
      <c r="CW172" s="83"/>
      <c r="CX172" s="83"/>
      <c r="CY172" s="83"/>
      <c r="CZ172" s="83"/>
      <c r="DA172" s="83"/>
      <c r="DB172" s="83"/>
      <c r="DC172" s="83"/>
      <c r="DD172" s="83"/>
    </row>
    <row r="173" spans="1:108" s="4" customFormat="1">
      <c r="A173" s="773"/>
      <c r="B173" s="210"/>
      <c r="C173" s="1717" t="s">
        <v>437</v>
      </c>
      <c r="D173" s="1710">
        <v>41.666666666666664</v>
      </c>
      <c r="E173" s="1710">
        <v>14</v>
      </c>
      <c r="F173" s="1710">
        <v>11.666666666666666</v>
      </c>
      <c r="G173" s="1711">
        <v>11</v>
      </c>
      <c r="H173" s="1712">
        <v>9</v>
      </c>
      <c r="I173" s="1710">
        <v>27</v>
      </c>
      <c r="J173" s="1713">
        <v>10</v>
      </c>
      <c r="K173" s="1714">
        <v>10</v>
      </c>
      <c r="L173" s="1716">
        <v>9</v>
      </c>
      <c r="M173" s="1707"/>
      <c r="N173" s="1728"/>
      <c r="O173" s="2064"/>
      <c r="P173" s="2396">
        <v>11.5</v>
      </c>
      <c r="Q173" s="819">
        <v>19.329999999999998</v>
      </c>
      <c r="R173" s="819"/>
      <c r="S173" s="820"/>
      <c r="T173" s="820"/>
      <c r="U173" s="820"/>
      <c r="V173" s="820"/>
      <c r="W173" s="820">
        <v>10</v>
      </c>
      <c r="X173" s="820">
        <v>21.83</v>
      </c>
      <c r="Y173" s="820">
        <v>13</v>
      </c>
      <c r="Z173" s="820"/>
      <c r="AA173" s="820">
        <v>15.666666666666666</v>
      </c>
      <c r="AB173" s="820"/>
      <c r="AC173" s="820"/>
      <c r="AD173" s="820"/>
      <c r="AE173" s="820"/>
      <c r="BE173" s="83"/>
      <c r="BF173" s="83"/>
      <c r="BG173" s="83"/>
      <c r="BH173" s="83"/>
      <c r="BI173" s="83"/>
      <c r="BJ173" s="83"/>
      <c r="BK173" s="83"/>
      <c r="BL173" s="83"/>
      <c r="BM173" s="83"/>
      <c r="BN173" s="83"/>
      <c r="BO173" s="83"/>
      <c r="BP173" s="83"/>
      <c r="BQ173" s="83"/>
      <c r="BR173" s="83"/>
      <c r="BS173" s="83"/>
      <c r="BT173" s="83"/>
      <c r="BU173" s="83"/>
      <c r="BV173" s="83"/>
      <c r="BW173" s="83"/>
      <c r="BX173" s="83"/>
      <c r="BY173" s="83"/>
      <c r="CH173" s="83"/>
      <c r="CI173" s="83"/>
      <c r="CJ173" s="83"/>
      <c r="CK173" s="83"/>
      <c r="CL173" s="83"/>
      <c r="CM173" s="83"/>
      <c r="CN173" s="83"/>
      <c r="CO173" s="83"/>
      <c r="CP173" s="83"/>
      <c r="CQ173" s="83"/>
      <c r="CR173" s="83"/>
      <c r="CS173" s="83"/>
      <c r="CT173" s="83"/>
      <c r="CU173" s="83"/>
      <c r="CV173" s="83"/>
      <c r="CW173" s="83"/>
      <c r="CX173" s="83"/>
      <c r="CY173" s="83"/>
      <c r="CZ173" s="83"/>
      <c r="DA173" s="83"/>
      <c r="DB173" s="83"/>
      <c r="DC173" s="83"/>
      <c r="DD173" s="83"/>
    </row>
    <row r="174" spans="1:108" s="4" customFormat="1">
      <c r="A174" s="773"/>
      <c r="B174" s="210"/>
      <c r="C174" s="1717" t="s">
        <v>438</v>
      </c>
      <c r="D174" s="1710"/>
      <c r="E174" s="1710"/>
      <c r="F174" s="1710"/>
      <c r="G174" s="1711"/>
      <c r="H174" s="1712"/>
      <c r="I174" s="1710"/>
      <c r="J174" s="1713"/>
      <c r="K174" s="1714"/>
      <c r="L174" s="1716"/>
      <c r="M174" s="1707"/>
      <c r="N174" s="1728"/>
      <c r="O174" s="2064"/>
      <c r="P174" s="2396"/>
      <c r="Q174" s="819"/>
      <c r="R174" s="819"/>
      <c r="S174" s="820"/>
      <c r="T174" s="820"/>
      <c r="U174" s="820"/>
      <c r="V174" s="820"/>
      <c r="W174" s="820"/>
      <c r="X174" s="820"/>
      <c r="Y174" s="820"/>
      <c r="Z174" s="820"/>
      <c r="AA174" s="820">
        <v>20.666666666666668</v>
      </c>
      <c r="AB174" s="820"/>
      <c r="AC174" s="820"/>
      <c r="AD174" s="820"/>
      <c r="AE174" s="820"/>
      <c r="BE174" s="83"/>
      <c r="BF174" s="83"/>
      <c r="BG174" s="83"/>
      <c r="BH174" s="83"/>
      <c r="BI174" s="83"/>
      <c r="BJ174" s="83"/>
      <c r="BK174" s="83"/>
      <c r="BL174" s="83"/>
      <c r="BM174" s="83"/>
      <c r="BN174" s="83"/>
      <c r="BO174" s="83"/>
      <c r="BP174" s="83"/>
      <c r="BQ174" s="83"/>
      <c r="BR174" s="83"/>
      <c r="BS174" s="83"/>
      <c r="BT174" s="83"/>
      <c r="BU174" s="83"/>
      <c r="BV174" s="83"/>
      <c r="BW174" s="83"/>
      <c r="BX174" s="83"/>
      <c r="BY174" s="83"/>
      <c r="CH174" s="83"/>
      <c r="CI174" s="83"/>
      <c r="CJ174" s="83"/>
      <c r="CK174" s="83"/>
      <c r="CL174" s="83"/>
      <c r="CM174" s="83"/>
      <c r="CN174" s="83"/>
      <c r="CO174" s="83"/>
      <c r="CP174" s="83"/>
      <c r="CQ174" s="83"/>
      <c r="CR174" s="83"/>
      <c r="CS174" s="83"/>
      <c r="CT174" s="83"/>
      <c r="CU174" s="83"/>
      <c r="CV174" s="83"/>
      <c r="CW174" s="83"/>
      <c r="CX174" s="83"/>
      <c r="CY174" s="83"/>
      <c r="CZ174" s="83"/>
      <c r="DA174" s="83"/>
      <c r="DB174" s="83"/>
      <c r="DC174" s="83"/>
      <c r="DD174" s="83"/>
    </row>
    <row r="175" spans="1:108" s="4" customFormat="1">
      <c r="A175" s="773"/>
      <c r="B175" s="210"/>
      <c r="C175" s="106" t="s">
        <v>164</v>
      </c>
      <c r="D175" s="468">
        <v>3.3333333333333335</v>
      </c>
      <c r="E175" s="468">
        <v>1</v>
      </c>
      <c r="F175" s="468">
        <v>2</v>
      </c>
      <c r="G175" s="469">
        <v>1</v>
      </c>
      <c r="H175" s="470">
        <v>1</v>
      </c>
      <c r="I175" s="468">
        <v>1</v>
      </c>
      <c r="J175" s="471">
        <v>2</v>
      </c>
      <c r="K175" s="472">
        <v>3</v>
      </c>
      <c r="L175" s="950">
        <v>2</v>
      </c>
      <c r="M175" s="410">
        <v>4</v>
      </c>
      <c r="N175" s="499">
        <v>1</v>
      </c>
      <c r="O175" s="2065"/>
      <c r="P175" s="2125">
        <v>2</v>
      </c>
      <c r="Q175" s="399">
        <v>1.67</v>
      </c>
      <c r="R175" s="399"/>
      <c r="S175" s="359"/>
      <c r="T175" s="359"/>
      <c r="U175" s="359"/>
      <c r="V175" s="359"/>
      <c r="W175" s="359">
        <v>2.33</v>
      </c>
      <c r="X175" s="359">
        <v>2</v>
      </c>
      <c r="Y175" s="359">
        <v>1.33</v>
      </c>
      <c r="Z175" s="359"/>
      <c r="AA175" s="359">
        <v>2.6666666666666665</v>
      </c>
      <c r="AB175" s="359"/>
      <c r="AC175" s="359"/>
      <c r="AD175" s="359"/>
      <c r="AE175" s="359"/>
      <c r="BE175" s="83"/>
      <c r="BF175" s="83"/>
      <c r="BG175" s="83"/>
      <c r="BH175" s="83"/>
      <c r="BI175" s="83"/>
      <c r="BJ175" s="83"/>
      <c r="BK175" s="83"/>
      <c r="BL175" s="83"/>
      <c r="BM175" s="83"/>
      <c r="BN175" s="83"/>
      <c r="BO175" s="83"/>
      <c r="BP175" s="83"/>
      <c r="BQ175" s="83"/>
      <c r="BR175" s="83"/>
      <c r="BS175" s="83"/>
      <c r="BT175" s="83"/>
      <c r="BU175" s="83"/>
      <c r="BV175" s="83"/>
      <c r="BW175" s="83"/>
      <c r="BX175" s="83"/>
      <c r="BY175" s="83"/>
      <c r="CH175" s="83"/>
      <c r="CI175" s="83"/>
      <c r="CJ175" s="83"/>
      <c r="CK175" s="83"/>
      <c r="CL175" s="83"/>
      <c r="CM175" s="83"/>
      <c r="CN175" s="83"/>
      <c r="CO175" s="83"/>
      <c r="CP175" s="83"/>
      <c r="CQ175" s="83"/>
      <c r="CR175" s="83"/>
      <c r="CS175" s="83"/>
      <c r="CT175" s="83"/>
      <c r="CU175" s="83"/>
      <c r="CV175" s="83"/>
      <c r="CW175" s="83"/>
      <c r="CX175" s="83"/>
      <c r="CY175" s="83"/>
      <c r="CZ175" s="83"/>
      <c r="DA175" s="83"/>
      <c r="DB175" s="83"/>
      <c r="DC175" s="83"/>
      <c r="DD175" s="83"/>
    </row>
    <row r="176" spans="1:108" s="4" customFormat="1">
      <c r="A176" s="773"/>
      <c r="B176" s="210"/>
      <c r="C176" s="1717" t="s">
        <v>439</v>
      </c>
      <c r="D176" s="1710">
        <v>2</v>
      </c>
      <c r="E176" s="1710">
        <v>2.6666666666666665</v>
      </c>
      <c r="F176" s="1710">
        <v>2.3333333333333335</v>
      </c>
      <c r="G176" s="1711">
        <v>1.6666666666666667</v>
      </c>
      <c r="H176" s="1712">
        <v>1</v>
      </c>
      <c r="I176" s="1710">
        <v>2</v>
      </c>
      <c r="J176" s="1713">
        <v>3</v>
      </c>
      <c r="K176" s="1714">
        <v>3</v>
      </c>
      <c r="L176" s="1716">
        <v>2</v>
      </c>
      <c r="M176" s="1707"/>
      <c r="N176" s="1728"/>
      <c r="O176" s="846"/>
      <c r="P176" s="2402">
        <v>1</v>
      </c>
      <c r="Q176" s="304">
        <v>2</v>
      </c>
      <c r="R176" s="304"/>
      <c r="S176" s="319"/>
      <c r="T176" s="319"/>
      <c r="U176" s="319"/>
      <c r="V176" s="319"/>
      <c r="W176" s="319">
        <v>1.33</v>
      </c>
      <c r="X176" s="319">
        <v>1.17</v>
      </c>
      <c r="Y176" s="319">
        <v>2</v>
      </c>
      <c r="Z176" s="319"/>
      <c r="AA176" s="319">
        <v>2</v>
      </c>
      <c r="AB176" s="319"/>
      <c r="AC176" s="319"/>
      <c r="AD176" s="319"/>
      <c r="AE176" s="319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  <c r="AS176" s="83"/>
      <c r="AT176" s="83"/>
      <c r="AU176" s="83"/>
      <c r="AV176" s="83"/>
      <c r="AW176" s="83"/>
      <c r="AX176" s="83"/>
      <c r="AY176" s="83"/>
      <c r="AZ176" s="83"/>
      <c r="BA176" s="83"/>
      <c r="BB176" s="83"/>
      <c r="BC176" s="83"/>
      <c r="BE176" s="50"/>
      <c r="BF176" s="50"/>
      <c r="BG176" s="50"/>
      <c r="BH176" s="83"/>
      <c r="BI176" s="83"/>
      <c r="BJ176" s="83"/>
      <c r="BK176" s="83"/>
      <c r="BL176" s="83"/>
      <c r="BM176" s="83"/>
      <c r="BN176" s="83"/>
      <c r="BO176" s="83"/>
      <c r="BP176" s="83"/>
      <c r="BQ176" s="50"/>
      <c r="BR176" s="50"/>
      <c r="BS176" s="50"/>
      <c r="BT176" s="50"/>
      <c r="BU176" s="50"/>
      <c r="BV176" s="50"/>
      <c r="BW176" s="50"/>
      <c r="BX176" s="50"/>
      <c r="BY176" s="50"/>
      <c r="BZ176" s="50"/>
      <c r="CA176" s="50"/>
      <c r="CB176" s="50"/>
      <c r="CC176" s="50"/>
      <c r="CD176" s="50"/>
      <c r="CE176" s="50"/>
      <c r="CF176" s="50"/>
      <c r="CG176" s="50"/>
      <c r="CH176" s="50"/>
      <c r="CI176" s="50"/>
      <c r="CJ176" s="50"/>
      <c r="CK176" s="50"/>
      <c r="CL176" s="50"/>
      <c r="CM176" s="50"/>
    </row>
    <row r="177" spans="1:91" s="4" customFormat="1">
      <c r="A177" s="773"/>
      <c r="B177" s="210"/>
      <c r="C177" s="1717" t="s">
        <v>440</v>
      </c>
      <c r="D177" s="1710"/>
      <c r="E177" s="1710"/>
      <c r="F177" s="1710"/>
      <c r="G177" s="1711"/>
      <c r="H177" s="1712"/>
      <c r="I177" s="1710"/>
      <c r="J177" s="1713"/>
      <c r="K177" s="1714"/>
      <c r="L177" s="1716"/>
      <c r="M177" s="1707"/>
      <c r="N177" s="1728"/>
      <c r="O177" s="846"/>
      <c r="P177" s="2402"/>
      <c r="Q177" s="304"/>
      <c r="R177" s="304"/>
      <c r="S177" s="319"/>
      <c r="T177" s="319"/>
      <c r="U177" s="319"/>
      <c r="V177" s="319"/>
      <c r="W177" s="319"/>
      <c r="X177" s="319"/>
      <c r="Y177" s="319"/>
      <c r="Z177" s="319"/>
      <c r="AA177" s="319">
        <v>3.3333333333333335</v>
      </c>
      <c r="AB177" s="319"/>
      <c r="AC177" s="319"/>
      <c r="AD177" s="319"/>
      <c r="AE177" s="319"/>
      <c r="AF177" s="83"/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  <c r="AR177" s="83"/>
      <c r="AS177" s="83"/>
      <c r="AT177" s="83"/>
      <c r="AU177" s="83"/>
      <c r="AV177" s="83"/>
      <c r="AW177" s="83"/>
      <c r="AX177" s="83"/>
      <c r="AY177" s="83"/>
      <c r="AZ177" s="83"/>
      <c r="BA177" s="83"/>
      <c r="BB177" s="83"/>
      <c r="BC177" s="83"/>
      <c r="BE177" s="50"/>
      <c r="BF177" s="50"/>
      <c r="BG177" s="50"/>
      <c r="BH177" s="83"/>
      <c r="BI177" s="83"/>
      <c r="BJ177" s="83"/>
      <c r="BK177" s="83"/>
      <c r="BL177" s="83"/>
      <c r="BM177" s="83"/>
      <c r="BN177" s="83"/>
      <c r="BO177" s="83"/>
      <c r="BP177" s="83"/>
      <c r="BQ177" s="50"/>
      <c r="BR177" s="50"/>
      <c r="BS177" s="50"/>
      <c r="BT177" s="50"/>
      <c r="BU177" s="50"/>
      <c r="BV177" s="50"/>
      <c r="BW177" s="50"/>
      <c r="BX177" s="50"/>
      <c r="BY177" s="50"/>
      <c r="BZ177" s="50"/>
      <c r="CA177" s="50"/>
      <c r="CB177" s="50"/>
      <c r="CC177" s="50"/>
      <c r="CD177" s="50"/>
      <c r="CE177" s="50"/>
      <c r="CF177" s="50"/>
      <c r="CG177" s="50"/>
      <c r="CH177" s="50"/>
      <c r="CI177" s="50"/>
      <c r="CJ177" s="50"/>
      <c r="CK177" s="50"/>
      <c r="CL177" s="50"/>
      <c r="CM177" s="50"/>
    </row>
    <row r="178" spans="1:91" ht="15" customHeight="1">
      <c r="A178" s="773"/>
      <c r="B178" s="210"/>
      <c r="C178" s="106" t="s">
        <v>90</v>
      </c>
      <c r="D178" s="468">
        <v>3</v>
      </c>
      <c r="E178" s="468">
        <v>1.6666666666666667</v>
      </c>
      <c r="F178" s="468">
        <v>6.666666666666667</v>
      </c>
      <c r="G178" s="469">
        <v>2</v>
      </c>
      <c r="H178" s="470">
        <v>3</v>
      </c>
      <c r="I178" s="468">
        <v>3</v>
      </c>
      <c r="J178" s="471">
        <v>3</v>
      </c>
      <c r="K178" s="472">
        <v>2</v>
      </c>
      <c r="L178" s="950">
        <v>3</v>
      </c>
      <c r="M178" s="410">
        <v>2</v>
      </c>
      <c r="N178" s="499">
        <v>5</v>
      </c>
      <c r="O178" s="846"/>
      <c r="P178" s="2402">
        <v>3</v>
      </c>
      <c r="Q178" s="304">
        <v>3.33</v>
      </c>
      <c r="R178" s="304"/>
      <c r="S178" s="319"/>
      <c r="T178" s="319"/>
      <c r="U178" s="319"/>
      <c r="V178" s="319"/>
      <c r="W178" s="319">
        <v>2.33</v>
      </c>
      <c r="X178" s="319">
        <v>2.33</v>
      </c>
      <c r="Y178" s="319">
        <v>3</v>
      </c>
      <c r="Z178" s="319"/>
      <c r="AA178" s="319">
        <v>3</v>
      </c>
      <c r="AB178" s="319"/>
      <c r="AC178" s="319"/>
      <c r="AD178" s="319"/>
      <c r="AE178" s="319"/>
      <c r="AF178" s="61"/>
      <c r="AG178" s="61"/>
      <c r="AH178" s="28"/>
      <c r="AI178" s="142"/>
      <c r="AJ178" s="142"/>
      <c r="AK178" s="142"/>
      <c r="AL178" s="14"/>
      <c r="AM178" s="61"/>
      <c r="AN178" s="61"/>
      <c r="AO178" s="61"/>
      <c r="AP178" s="61"/>
      <c r="AQ178" s="28"/>
      <c r="AR178" s="142"/>
      <c r="AS178" s="142"/>
      <c r="AT178" s="142"/>
      <c r="AU178" s="14"/>
      <c r="AV178" s="61"/>
      <c r="AW178" s="61"/>
      <c r="AX178" s="61"/>
    </row>
    <row r="179" spans="1:91" ht="15.75" customHeight="1">
      <c r="A179" s="773"/>
      <c r="B179" s="210"/>
      <c r="C179" s="106" t="s">
        <v>92</v>
      </c>
      <c r="D179" s="468">
        <v>4.666666666666667</v>
      </c>
      <c r="E179" s="468">
        <v>3</v>
      </c>
      <c r="F179" s="468">
        <v>2.6666666666666665</v>
      </c>
      <c r="G179" s="469">
        <v>2</v>
      </c>
      <c r="H179" s="470">
        <v>4</v>
      </c>
      <c r="I179" s="468">
        <v>4</v>
      </c>
      <c r="J179" s="471">
        <v>2</v>
      </c>
      <c r="K179" s="472">
        <v>4</v>
      </c>
      <c r="L179" s="950">
        <v>8</v>
      </c>
      <c r="M179" s="410">
        <v>6</v>
      </c>
      <c r="N179" s="499">
        <v>2</v>
      </c>
      <c r="O179" s="846"/>
      <c r="P179" s="2402">
        <v>3</v>
      </c>
      <c r="Q179" s="304">
        <v>5</v>
      </c>
      <c r="R179" s="304"/>
      <c r="S179" s="319"/>
      <c r="T179" s="319"/>
      <c r="U179" s="319"/>
      <c r="V179" s="319"/>
      <c r="W179" s="319">
        <v>4.33</v>
      </c>
      <c r="X179" s="319">
        <v>16</v>
      </c>
      <c r="Y179" s="319">
        <v>9.33</v>
      </c>
      <c r="Z179" s="319"/>
      <c r="AA179" s="319">
        <v>3.6666666666666665</v>
      </c>
      <c r="AB179" s="319"/>
      <c r="AC179" s="319"/>
      <c r="AD179" s="319"/>
      <c r="AE179" s="319"/>
      <c r="AF179" s="61"/>
      <c r="AG179" s="61"/>
      <c r="AH179" s="28"/>
      <c r="AI179" s="142"/>
      <c r="AJ179" s="142"/>
      <c r="AK179" s="142"/>
      <c r="AL179" s="14"/>
      <c r="AM179" s="61"/>
      <c r="AN179" s="61"/>
      <c r="AO179" s="61"/>
      <c r="AP179" s="61"/>
      <c r="AQ179" s="28"/>
      <c r="AR179" s="142"/>
      <c r="AS179" s="142"/>
      <c r="AT179" s="142"/>
      <c r="AU179" s="14"/>
      <c r="AV179" s="61"/>
      <c r="AW179" s="61"/>
      <c r="AX179" s="61"/>
    </row>
    <row r="180" spans="1:91">
      <c r="A180" s="773"/>
      <c r="B180" s="210"/>
      <c r="C180" s="106" t="s">
        <v>160</v>
      </c>
      <c r="D180" s="468">
        <v>112.66666666666667</v>
      </c>
      <c r="E180" s="468">
        <v>80.666666666666671</v>
      </c>
      <c r="F180" s="468">
        <v>46.333333333333336</v>
      </c>
      <c r="G180" s="469">
        <v>17</v>
      </c>
      <c r="H180" s="470">
        <v>49</v>
      </c>
      <c r="I180" s="468">
        <v>55</v>
      </c>
      <c r="J180" s="471">
        <v>12</v>
      </c>
      <c r="K180" s="472">
        <v>17</v>
      </c>
      <c r="L180" s="950">
        <v>31</v>
      </c>
      <c r="M180" s="410">
        <v>66</v>
      </c>
      <c r="N180" s="499">
        <v>18</v>
      </c>
      <c r="O180" s="846"/>
      <c r="P180" s="2402">
        <v>53</v>
      </c>
      <c r="Q180" s="304">
        <v>45</v>
      </c>
      <c r="R180" s="304"/>
      <c r="S180" s="319"/>
      <c r="T180" s="319"/>
      <c r="U180" s="319"/>
      <c r="V180" s="319"/>
      <c r="W180" s="319">
        <v>83.67</v>
      </c>
      <c r="X180" s="319">
        <v>117.33</v>
      </c>
      <c r="Y180" s="319">
        <v>108.33</v>
      </c>
      <c r="Z180" s="319"/>
      <c r="AA180" s="319">
        <v>64</v>
      </c>
      <c r="AB180" s="319"/>
      <c r="AC180" s="319"/>
      <c r="AD180" s="319"/>
      <c r="AE180" s="319"/>
      <c r="AF180" s="61"/>
      <c r="AG180" s="61"/>
      <c r="AH180" s="61"/>
      <c r="AI180" s="142"/>
      <c r="AJ180" s="142"/>
      <c r="AK180" s="142"/>
      <c r="AL180" s="14"/>
      <c r="AM180" s="61"/>
      <c r="AN180" s="61"/>
      <c r="AO180" s="61"/>
      <c r="AP180" s="61"/>
      <c r="AQ180" s="61"/>
      <c r="AR180" s="142"/>
      <c r="AS180" s="142"/>
      <c r="AT180" s="142"/>
      <c r="AU180" s="14"/>
      <c r="AV180" s="61"/>
      <c r="AW180" s="61"/>
      <c r="AX180" s="61"/>
    </row>
    <row r="181" spans="1:91">
      <c r="A181" s="773"/>
      <c r="B181" s="210"/>
      <c r="C181" s="106" t="s">
        <v>161</v>
      </c>
      <c r="D181" s="468">
        <v>19</v>
      </c>
      <c r="E181" s="468">
        <v>4</v>
      </c>
      <c r="F181" s="468">
        <v>5.666666666666667</v>
      </c>
      <c r="G181" s="469">
        <v>6</v>
      </c>
      <c r="H181" s="470">
        <v>4</v>
      </c>
      <c r="I181" s="468">
        <v>5</v>
      </c>
      <c r="J181" s="471">
        <v>4</v>
      </c>
      <c r="K181" s="472">
        <v>4</v>
      </c>
      <c r="L181" s="950">
        <v>4</v>
      </c>
      <c r="M181" s="410">
        <v>3</v>
      </c>
      <c r="N181" s="499">
        <v>7</v>
      </c>
      <c r="O181" s="846"/>
      <c r="P181" s="2402">
        <v>8</v>
      </c>
      <c r="Q181" s="304">
        <v>3.67</v>
      </c>
      <c r="R181" s="304"/>
      <c r="S181" s="319"/>
      <c r="T181" s="319"/>
      <c r="U181" s="319"/>
      <c r="V181" s="319"/>
      <c r="W181" s="319">
        <v>3</v>
      </c>
      <c r="X181" s="319">
        <v>44</v>
      </c>
      <c r="Y181" s="319">
        <v>8.33</v>
      </c>
      <c r="Z181" s="319"/>
      <c r="AA181" s="319">
        <v>4.666666666666667</v>
      </c>
      <c r="AB181" s="319"/>
      <c r="AC181" s="319"/>
      <c r="AD181" s="319"/>
      <c r="AE181" s="319"/>
      <c r="AF181" s="61"/>
      <c r="AG181" s="61"/>
      <c r="AH181" s="61"/>
      <c r="AI181" s="142"/>
      <c r="AJ181" s="142"/>
      <c r="AK181" s="142"/>
      <c r="AL181" s="14"/>
      <c r="AM181" s="61"/>
      <c r="AN181" s="61"/>
      <c r="AO181" s="61"/>
      <c r="AP181" s="61"/>
      <c r="AQ181" s="61"/>
      <c r="AR181" s="142"/>
      <c r="AS181" s="142"/>
      <c r="AT181" s="142"/>
      <c r="AU181" s="14"/>
      <c r="AV181" s="61"/>
      <c r="AW181" s="61"/>
      <c r="AX181" s="61"/>
    </row>
    <row r="182" spans="1:91">
      <c r="A182" s="773"/>
      <c r="B182" s="210"/>
      <c r="C182" s="106" t="s">
        <v>159</v>
      </c>
      <c r="D182" s="468">
        <v>42</v>
      </c>
      <c r="E182" s="468">
        <v>23</v>
      </c>
      <c r="F182" s="468">
        <v>22</v>
      </c>
      <c r="G182" s="469">
        <v>10.666666666666666</v>
      </c>
      <c r="H182" s="470">
        <v>44</v>
      </c>
      <c r="I182" s="468">
        <v>18</v>
      </c>
      <c r="J182" s="471">
        <v>11</v>
      </c>
      <c r="K182" s="472">
        <v>21</v>
      </c>
      <c r="L182" s="950">
        <v>9</v>
      </c>
      <c r="M182" s="410">
        <v>17</v>
      </c>
      <c r="N182" s="499">
        <v>10</v>
      </c>
      <c r="O182" s="846"/>
      <c r="P182" s="2402">
        <v>4</v>
      </c>
      <c r="Q182" s="304">
        <v>20</v>
      </c>
      <c r="R182" s="304"/>
      <c r="S182" s="319"/>
      <c r="T182" s="319"/>
      <c r="U182" s="319"/>
      <c r="V182" s="319"/>
      <c r="W182" s="319">
        <v>12.67</v>
      </c>
      <c r="X182" s="319">
        <v>11.67</v>
      </c>
      <c r="Y182" s="319">
        <v>9.33</v>
      </c>
      <c r="Z182" s="319"/>
      <c r="AA182" s="319">
        <v>21</v>
      </c>
      <c r="AB182" s="319"/>
      <c r="AC182" s="319"/>
      <c r="AD182" s="319"/>
      <c r="AE182" s="319"/>
      <c r="AF182" s="61"/>
      <c r="AG182" s="61"/>
      <c r="AH182" s="61"/>
      <c r="AI182" s="143"/>
      <c r="AJ182" s="143"/>
      <c r="AK182" s="143"/>
      <c r="AL182" s="14"/>
      <c r="AM182" s="61"/>
      <c r="AN182" s="61"/>
      <c r="AO182" s="61"/>
      <c r="AP182" s="61"/>
      <c r="AQ182" s="61"/>
      <c r="AR182" s="143"/>
      <c r="AS182" s="143"/>
      <c r="AT182" s="143"/>
      <c r="AU182" s="14"/>
      <c r="AV182" s="61"/>
      <c r="AW182" s="61"/>
      <c r="AX182" s="61"/>
    </row>
    <row r="183" spans="1:91">
      <c r="A183" s="773"/>
      <c r="B183" s="210"/>
      <c r="C183" s="106" t="s">
        <v>89</v>
      </c>
      <c r="D183" s="468">
        <v>2</v>
      </c>
      <c r="E183" s="468">
        <v>2.6666666666666665</v>
      </c>
      <c r="F183" s="468">
        <v>1.6666666666666667</v>
      </c>
      <c r="G183" s="469">
        <v>2.3333333333333335</v>
      </c>
      <c r="H183" s="470">
        <v>2</v>
      </c>
      <c r="I183" s="468">
        <v>3</v>
      </c>
      <c r="J183" s="471">
        <v>4</v>
      </c>
      <c r="K183" s="472">
        <v>2</v>
      </c>
      <c r="L183" s="950">
        <v>5</v>
      </c>
      <c r="M183" s="410">
        <v>4</v>
      </c>
      <c r="N183" s="499">
        <v>2</v>
      </c>
      <c r="O183" s="846"/>
      <c r="P183" s="2402">
        <v>4</v>
      </c>
      <c r="Q183" s="304">
        <v>3</v>
      </c>
      <c r="R183" s="304"/>
      <c r="S183" s="319"/>
      <c r="T183" s="319"/>
      <c r="U183" s="319"/>
      <c r="V183" s="319"/>
      <c r="W183" s="319">
        <v>3</v>
      </c>
      <c r="X183" s="319">
        <v>2.33</v>
      </c>
      <c r="Y183" s="319">
        <v>4.33</v>
      </c>
      <c r="Z183" s="319"/>
      <c r="AA183" s="319">
        <v>2.6666666666666665</v>
      </c>
      <c r="AB183" s="319"/>
      <c r="AC183" s="319"/>
      <c r="AD183" s="319"/>
      <c r="AE183" s="319"/>
      <c r="AF183" s="61"/>
      <c r="AG183" s="61"/>
      <c r="AH183" s="61"/>
      <c r="AI183" s="94"/>
      <c r="AJ183" s="94"/>
      <c r="AK183" s="94"/>
      <c r="AL183" s="14"/>
      <c r="AM183" s="61"/>
      <c r="AN183" s="61"/>
      <c r="AO183" s="61"/>
      <c r="AP183" s="61"/>
      <c r="AQ183" s="61"/>
      <c r="AR183" s="94"/>
      <c r="AS183" s="94"/>
      <c r="AT183" s="94"/>
      <c r="AU183" s="14"/>
      <c r="AV183" s="61"/>
      <c r="AW183" s="61"/>
      <c r="AX183" s="61"/>
    </row>
    <row r="184" spans="1:91">
      <c r="A184" s="773"/>
      <c r="B184" s="210"/>
      <c r="C184" s="106" t="s">
        <v>163</v>
      </c>
      <c r="D184" s="468">
        <v>4.333333333333333</v>
      </c>
      <c r="E184" s="468">
        <v>1.3333333333333333</v>
      </c>
      <c r="F184" s="468">
        <v>3</v>
      </c>
      <c r="G184" s="469">
        <v>1</v>
      </c>
      <c r="H184" s="470">
        <v>2</v>
      </c>
      <c r="I184" s="468">
        <v>3</v>
      </c>
      <c r="J184" s="471">
        <v>2</v>
      </c>
      <c r="K184" s="472">
        <v>2</v>
      </c>
      <c r="L184" s="950">
        <v>2</v>
      </c>
      <c r="M184" s="410">
        <v>7</v>
      </c>
      <c r="N184" s="499">
        <v>2</v>
      </c>
      <c r="O184" s="846"/>
      <c r="P184" s="2402">
        <v>1</v>
      </c>
      <c r="Q184" s="304">
        <v>2.67</v>
      </c>
      <c r="R184" s="304"/>
      <c r="S184" s="319"/>
      <c r="T184" s="319"/>
      <c r="U184" s="319"/>
      <c r="V184" s="319"/>
      <c r="W184" s="319">
        <v>2.33</v>
      </c>
      <c r="X184" s="319">
        <v>1.67</v>
      </c>
      <c r="Y184" s="319">
        <v>1</v>
      </c>
      <c r="Z184" s="319"/>
      <c r="AA184" s="319">
        <v>4</v>
      </c>
      <c r="AB184" s="319"/>
      <c r="AC184" s="319"/>
      <c r="AD184" s="319"/>
      <c r="AE184" s="319"/>
      <c r="AF184" s="61"/>
      <c r="AG184" s="61"/>
      <c r="AH184" s="61"/>
      <c r="AI184" s="94"/>
      <c r="AJ184" s="94"/>
      <c r="AK184" s="94"/>
      <c r="AL184" s="14"/>
      <c r="AM184" s="61"/>
      <c r="AN184" s="61"/>
      <c r="AO184" s="61"/>
      <c r="AP184" s="61"/>
      <c r="AQ184" s="61"/>
      <c r="AR184" s="94"/>
      <c r="AS184" s="94"/>
      <c r="AT184" s="94"/>
      <c r="AU184" s="14"/>
      <c r="AV184" s="61"/>
      <c r="AW184" s="61"/>
      <c r="AX184" s="61"/>
    </row>
    <row r="185" spans="1:91">
      <c r="A185" s="773"/>
      <c r="B185" s="210"/>
      <c r="C185" s="1717" t="s">
        <v>441</v>
      </c>
      <c r="D185" s="1710">
        <v>2.3333333333333335</v>
      </c>
      <c r="E185" s="1710">
        <v>3</v>
      </c>
      <c r="F185" s="1710">
        <v>3.6666666666666665</v>
      </c>
      <c r="G185" s="1711">
        <v>1.6666666666666667</v>
      </c>
      <c r="H185" s="1712">
        <v>3</v>
      </c>
      <c r="I185" s="1710">
        <v>2</v>
      </c>
      <c r="J185" s="1713">
        <v>2</v>
      </c>
      <c r="K185" s="1714">
        <v>2</v>
      </c>
      <c r="L185" s="1764">
        <v>2</v>
      </c>
      <c r="M185" s="1707"/>
      <c r="N185" s="1728"/>
      <c r="O185" s="846"/>
      <c r="P185" s="2402">
        <v>3.5</v>
      </c>
      <c r="Q185" s="304">
        <v>3.67</v>
      </c>
      <c r="R185" s="304"/>
      <c r="S185" s="319"/>
      <c r="T185" s="319"/>
      <c r="U185" s="319"/>
      <c r="V185" s="319"/>
      <c r="W185" s="319">
        <v>1.67</v>
      </c>
      <c r="X185" s="319">
        <v>1.83</v>
      </c>
      <c r="Y185" s="319">
        <v>2.67</v>
      </c>
      <c r="Z185" s="319"/>
      <c r="AA185" s="319">
        <v>1.6666666666666667</v>
      </c>
      <c r="AB185" s="319"/>
      <c r="AC185" s="319"/>
      <c r="AD185" s="319"/>
      <c r="AE185" s="319"/>
      <c r="AF185" s="61"/>
      <c r="AG185" s="61"/>
      <c r="AH185" s="61"/>
      <c r="AI185" s="94"/>
      <c r="AJ185" s="94"/>
      <c r="AK185" s="94"/>
      <c r="AL185" s="14"/>
      <c r="AM185" s="61"/>
      <c r="AN185" s="61"/>
      <c r="AO185" s="61"/>
      <c r="AP185" s="61"/>
      <c r="AQ185" s="61"/>
      <c r="AR185" s="94"/>
      <c r="AS185" s="94"/>
      <c r="AT185" s="94"/>
      <c r="AU185" s="14"/>
      <c r="AV185" s="61"/>
      <c r="AW185" s="61"/>
      <c r="AX185" s="61"/>
    </row>
    <row r="186" spans="1:91" s="3452" customFormat="1">
      <c r="A186" s="773"/>
      <c r="B186" s="210"/>
      <c r="C186" s="1717" t="s">
        <v>442</v>
      </c>
      <c r="D186" s="1710"/>
      <c r="E186" s="1710"/>
      <c r="F186" s="1710"/>
      <c r="G186" s="1711"/>
      <c r="H186" s="1712"/>
      <c r="I186" s="1710"/>
      <c r="J186" s="1713"/>
      <c r="K186" s="1714"/>
      <c r="L186" s="1764"/>
      <c r="M186" s="1707"/>
      <c r="N186" s="1728"/>
      <c r="O186" s="846"/>
      <c r="P186" s="2402"/>
      <c r="Q186" s="304"/>
      <c r="R186" s="304"/>
      <c r="S186" s="319"/>
      <c r="T186" s="319"/>
      <c r="U186" s="319"/>
      <c r="V186" s="319"/>
      <c r="W186" s="319"/>
      <c r="X186" s="319"/>
      <c r="Y186" s="319"/>
      <c r="Z186" s="319"/>
      <c r="AA186" s="319">
        <v>2.6666666666666665</v>
      </c>
      <c r="AB186" s="319"/>
      <c r="AC186" s="319"/>
      <c r="AD186" s="319"/>
      <c r="AE186" s="319"/>
      <c r="AF186" s="61"/>
      <c r="AG186" s="61"/>
      <c r="AH186" s="61"/>
      <c r="AI186" s="94"/>
      <c r="AJ186" s="94"/>
      <c r="AK186" s="94"/>
      <c r="AL186" s="14"/>
      <c r="AM186" s="61"/>
      <c r="AN186" s="61"/>
      <c r="AO186" s="61"/>
      <c r="AP186" s="61"/>
      <c r="AQ186" s="61"/>
      <c r="AR186" s="94"/>
      <c r="AS186" s="94"/>
      <c r="AT186" s="94"/>
      <c r="AU186" s="14"/>
      <c r="AV186" s="61"/>
      <c r="AW186" s="61"/>
      <c r="AX186" s="61"/>
    </row>
    <row r="187" spans="1:91">
      <c r="A187" s="773"/>
      <c r="B187" s="210"/>
      <c r="C187" s="1717" t="s">
        <v>443</v>
      </c>
      <c r="D187" s="1805">
        <v>17.5</v>
      </c>
      <c r="E187" s="1805">
        <v>22.666666666666668</v>
      </c>
      <c r="F187" s="1805">
        <v>14.333333333333334</v>
      </c>
      <c r="G187" s="1806">
        <v>14.333333333333334</v>
      </c>
      <c r="H187" s="1807">
        <v>16</v>
      </c>
      <c r="I187" s="1805">
        <v>21</v>
      </c>
      <c r="J187" s="1808">
        <v>6</v>
      </c>
      <c r="K187" s="1763">
        <v>13</v>
      </c>
      <c r="L187" s="1764">
        <v>20</v>
      </c>
      <c r="M187" s="1765"/>
      <c r="N187" s="2035"/>
      <c r="O187" s="846"/>
      <c r="P187" s="2398">
        <v>14.33</v>
      </c>
      <c r="Q187" s="304">
        <v>16.329999999999998</v>
      </c>
      <c r="R187" s="304"/>
      <c r="S187" s="319"/>
      <c r="T187" s="319"/>
      <c r="U187" s="319"/>
      <c r="V187" s="319"/>
      <c r="W187" s="319">
        <v>15.89</v>
      </c>
      <c r="X187" s="319">
        <v>17.78</v>
      </c>
      <c r="Y187" s="319">
        <v>23</v>
      </c>
      <c r="Z187" s="319"/>
      <c r="AA187" s="319">
        <v>32</v>
      </c>
      <c r="AB187" s="319"/>
      <c r="AC187" s="319"/>
      <c r="AD187" s="319"/>
      <c r="AE187" s="319"/>
      <c r="AF187" s="61"/>
      <c r="AG187" s="61"/>
      <c r="AH187" s="61"/>
      <c r="AI187" s="94"/>
      <c r="AJ187" s="94"/>
      <c r="AK187" s="94"/>
      <c r="AL187" s="14"/>
      <c r="AM187" s="61"/>
      <c r="AN187" s="61"/>
      <c r="AO187" s="61"/>
      <c r="AP187" s="61"/>
      <c r="AQ187" s="61"/>
      <c r="AR187" s="94"/>
      <c r="AS187" s="94"/>
      <c r="AT187" s="94"/>
      <c r="AU187" s="14"/>
      <c r="AV187" s="61"/>
      <c r="AW187" s="61"/>
      <c r="AX187" s="61"/>
    </row>
    <row r="188" spans="1:91" s="3452" customFormat="1">
      <c r="A188" s="773"/>
      <c r="B188" s="210"/>
      <c r="C188" s="1717" t="s">
        <v>444</v>
      </c>
      <c r="D188" s="1805"/>
      <c r="E188" s="1805"/>
      <c r="F188" s="1805"/>
      <c r="G188" s="1806"/>
      <c r="H188" s="1807"/>
      <c r="I188" s="1805"/>
      <c r="J188" s="1808"/>
      <c r="K188" s="1763"/>
      <c r="L188" s="1764"/>
      <c r="M188" s="1765"/>
      <c r="N188" s="2035"/>
      <c r="O188" s="846"/>
      <c r="P188" s="2398"/>
      <c r="Q188" s="304"/>
      <c r="R188" s="304"/>
      <c r="S188" s="319"/>
      <c r="T188" s="319"/>
      <c r="U188" s="319"/>
      <c r="V188" s="319"/>
      <c r="W188" s="319"/>
      <c r="X188" s="319"/>
      <c r="Y188" s="319"/>
      <c r="Z188" s="319"/>
      <c r="AA188" s="319">
        <v>26.333333333333332</v>
      </c>
      <c r="AB188" s="319"/>
      <c r="AC188" s="319"/>
      <c r="AD188" s="319"/>
      <c r="AE188" s="319"/>
      <c r="AF188" s="61"/>
      <c r="AG188" s="61"/>
      <c r="AH188" s="61"/>
      <c r="AI188" s="94"/>
      <c r="AJ188" s="94"/>
      <c r="AK188" s="94"/>
      <c r="AL188" s="14"/>
      <c r="AM188" s="61"/>
      <c r="AN188" s="61"/>
      <c r="AO188" s="61"/>
      <c r="AP188" s="61"/>
      <c r="AQ188" s="61"/>
      <c r="AR188" s="94"/>
      <c r="AS188" s="94"/>
      <c r="AT188" s="94"/>
      <c r="AU188" s="14"/>
      <c r="AV188" s="61"/>
      <c r="AW188" s="61"/>
      <c r="AX188" s="61"/>
    </row>
    <row r="189" spans="1:91" s="3452" customFormat="1">
      <c r="A189" s="773"/>
      <c r="B189" s="210"/>
      <c r="C189" s="1717" t="s">
        <v>445</v>
      </c>
      <c r="D189" s="1805"/>
      <c r="E189" s="1805"/>
      <c r="F189" s="1805"/>
      <c r="G189" s="1806"/>
      <c r="H189" s="1807"/>
      <c r="I189" s="1805"/>
      <c r="J189" s="1808"/>
      <c r="K189" s="1763"/>
      <c r="L189" s="1764"/>
      <c r="M189" s="1765"/>
      <c r="N189" s="2035"/>
      <c r="O189" s="846"/>
      <c r="P189" s="2398"/>
      <c r="Q189" s="304"/>
      <c r="R189" s="304"/>
      <c r="S189" s="319"/>
      <c r="T189" s="319"/>
      <c r="U189" s="319"/>
      <c r="V189" s="319"/>
      <c r="W189" s="319"/>
      <c r="X189" s="319"/>
      <c r="Y189" s="319"/>
      <c r="Z189" s="319"/>
      <c r="AA189" s="319">
        <v>11.666666666666666</v>
      </c>
      <c r="AB189" s="319"/>
      <c r="AC189" s="319"/>
      <c r="AD189" s="319"/>
      <c r="AE189" s="319"/>
      <c r="AF189" s="61"/>
      <c r="AG189" s="61"/>
      <c r="AH189" s="61"/>
      <c r="AI189" s="94"/>
      <c r="AJ189" s="94"/>
      <c r="AK189" s="94"/>
      <c r="AL189" s="14"/>
      <c r="AM189" s="61"/>
      <c r="AN189" s="61"/>
      <c r="AO189" s="61"/>
      <c r="AP189" s="61"/>
      <c r="AQ189" s="61"/>
      <c r="AR189" s="94"/>
      <c r="AS189" s="94"/>
      <c r="AT189" s="94"/>
      <c r="AU189" s="14"/>
      <c r="AV189" s="61"/>
      <c r="AW189" s="61"/>
      <c r="AX189" s="61"/>
    </row>
    <row r="190" spans="1:91">
      <c r="A190" s="773"/>
      <c r="B190" s="210"/>
      <c r="C190" s="1717" t="s">
        <v>91</v>
      </c>
      <c r="D190" s="1805">
        <v>4.333333333333333</v>
      </c>
      <c r="E190" s="1805">
        <v>3</v>
      </c>
      <c r="F190" s="1805">
        <v>4</v>
      </c>
      <c r="G190" s="1806">
        <v>2</v>
      </c>
      <c r="H190" s="1807">
        <v>3</v>
      </c>
      <c r="I190" s="1805">
        <v>4</v>
      </c>
      <c r="J190" s="1808">
        <v>2</v>
      </c>
      <c r="K190" s="1763">
        <v>2</v>
      </c>
      <c r="L190" s="1764">
        <v>4</v>
      </c>
      <c r="M190" s="1765"/>
      <c r="N190" s="2035"/>
      <c r="O190" s="846"/>
      <c r="P190" s="2398">
        <v>4.33</v>
      </c>
      <c r="Q190" s="304">
        <v>7.33</v>
      </c>
      <c r="R190" s="304"/>
      <c r="S190" s="319"/>
      <c r="T190" s="319"/>
      <c r="U190" s="319"/>
      <c r="V190" s="319"/>
      <c r="W190" s="319">
        <v>2.5</v>
      </c>
      <c r="X190" s="319">
        <v>3.63</v>
      </c>
      <c r="Y190" s="319"/>
      <c r="Z190" s="319"/>
      <c r="AA190" s="319" t="e">
        <v>#DIV/0!</v>
      </c>
      <c r="AB190" s="319"/>
      <c r="AC190" s="319"/>
      <c r="AD190" s="319"/>
      <c r="AE190" s="319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</row>
    <row r="191" spans="1:91" s="3269" customFormat="1">
      <c r="A191" s="773"/>
      <c r="B191" s="210"/>
      <c r="C191" s="1700" t="s">
        <v>409</v>
      </c>
      <c r="D191" s="1805"/>
      <c r="E191" s="1805"/>
      <c r="F191" s="1805"/>
      <c r="G191" s="1806"/>
      <c r="H191" s="1807"/>
      <c r="I191" s="1805"/>
      <c r="J191" s="1808"/>
      <c r="K191" s="1763"/>
      <c r="L191" s="1764"/>
      <c r="M191" s="1765"/>
      <c r="N191" s="2035"/>
      <c r="O191" s="846"/>
      <c r="P191" s="2398"/>
      <c r="Q191" s="304"/>
      <c r="R191" s="304"/>
      <c r="S191" s="319"/>
      <c r="T191" s="319"/>
      <c r="U191" s="319"/>
      <c r="V191" s="319"/>
      <c r="W191" s="319"/>
      <c r="X191" s="319"/>
      <c r="Y191" s="319">
        <v>14</v>
      </c>
      <c r="Z191" s="319"/>
      <c r="AA191" s="319">
        <v>4.333333333333333</v>
      </c>
      <c r="AB191" s="319"/>
      <c r="AC191" s="319"/>
      <c r="AD191" s="319"/>
      <c r="AE191" s="319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</row>
    <row r="192" spans="1:91" s="3269" customFormat="1">
      <c r="A192" s="773"/>
      <c r="B192" s="210"/>
      <c r="C192" s="1700" t="s">
        <v>410</v>
      </c>
      <c r="D192" s="1805"/>
      <c r="E192" s="1805"/>
      <c r="F192" s="1805"/>
      <c r="G192" s="1806"/>
      <c r="H192" s="1807"/>
      <c r="I192" s="1805"/>
      <c r="J192" s="1808"/>
      <c r="K192" s="1763"/>
      <c r="L192" s="1764"/>
      <c r="M192" s="1765"/>
      <c r="N192" s="2035"/>
      <c r="O192" s="846"/>
      <c r="P192" s="2398"/>
      <c r="Q192" s="304"/>
      <c r="R192" s="304"/>
      <c r="S192" s="319"/>
      <c r="T192" s="319"/>
      <c r="U192" s="319"/>
      <c r="V192" s="319"/>
      <c r="W192" s="319"/>
      <c r="X192" s="319"/>
      <c r="Y192" s="319">
        <v>1</v>
      </c>
      <c r="Z192" s="319"/>
      <c r="AA192" s="319">
        <v>3.3333333333333335</v>
      </c>
      <c r="AB192" s="319"/>
      <c r="AC192" s="319"/>
      <c r="AD192" s="319"/>
      <c r="AE192" s="319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</row>
    <row r="193" spans="1:109" s="3269" customFormat="1">
      <c r="A193" s="773"/>
      <c r="B193" s="210"/>
      <c r="C193" s="1700" t="s">
        <v>411</v>
      </c>
      <c r="D193" s="1805"/>
      <c r="E193" s="1805"/>
      <c r="F193" s="1805"/>
      <c r="G193" s="1806"/>
      <c r="H193" s="1807"/>
      <c r="I193" s="1805"/>
      <c r="J193" s="1808"/>
      <c r="K193" s="1763"/>
      <c r="L193" s="1764"/>
      <c r="M193" s="1765"/>
      <c r="N193" s="2035"/>
      <c r="O193" s="846"/>
      <c r="P193" s="2398"/>
      <c r="Q193" s="304"/>
      <c r="R193" s="304"/>
      <c r="S193" s="319"/>
      <c r="T193" s="319"/>
      <c r="U193" s="319"/>
      <c r="V193" s="319"/>
      <c r="W193" s="319"/>
      <c r="X193" s="319"/>
      <c r="Y193" s="319">
        <v>1.33</v>
      </c>
      <c r="Z193" s="319"/>
      <c r="AA193" s="319" t="e">
        <v>#DIV/0!</v>
      </c>
      <c r="AB193" s="319"/>
      <c r="AC193" s="319"/>
      <c r="AD193" s="319"/>
      <c r="AE193" s="319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</row>
    <row r="194" spans="1:109">
      <c r="A194" s="773"/>
      <c r="B194" s="210"/>
      <c r="C194" s="99" t="s">
        <v>108</v>
      </c>
      <c r="D194" s="1809">
        <v>19</v>
      </c>
      <c r="E194" s="1809">
        <v>10.666666666666666</v>
      </c>
      <c r="F194" s="1809">
        <v>7</v>
      </c>
      <c r="G194" s="1810">
        <v>5.666666666666667</v>
      </c>
      <c r="H194" s="1811"/>
      <c r="I194" s="1809">
        <v>5</v>
      </c>
      <c r="J194" s="1812"/>
      <c r="K194" s="1758"/>
      <c r="L194" s="393"/>
      <c r="M194" s="394">
        <v>17</v>
      </c>
      <c r="N194" s="400">
        <v>9</v>
      </c>
      <c r="O194" s="2066"/>
      <c r="P194" s="2400">
        <v>24</v>
      </c>
      <c r="Q194" s="760"/>
      <c r="R194" s="760"/>
      <c r="S194" s="821"/>
      <c r="T194" s="821"/>
      <c r="U194" s="821"/>
      <c r="V194" s="821"/>
      <c r="W194" s="821">
        <v>11.67</v>
      </c>
      <c r="X194" s="821">
        <v>14.33</v>
      </c>
      <c r="Y194" s="821">
        <v>18.670000000000002</v>
      </c>
      <c r="Z194" s="821"/>
      <c r="AA194" s="821" t="e">
        <v>#DIV/0!</v>
      </c>
      <c r="AB194" s="821"/>
      <c r="AC194" s="821"/>
      <c r="AD194" s="821"/>
      <c r="AE194" s="82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</row>
    <row r="195" spans="1:109" ht="15.75" thickBot="1">
      <c r="A195" s="773"/>
      <c r="B195" s="210"/>
      <c r="C195" s="1723" t="s">
        <v>446</v>
      </c>
      <c r="D195" s="1813">
        <v>119</v>
      </c>
      <c r="E195" s="1813">
        <v>160</v>
      </c>
      <c r="F195" s="1813">
        <v>187.66666666666666</v>
      </c>
      <c r="G195" s="1814">
        <v>72</v>
      </c>
      <c r="H195" s="1815">
        <v>120</v>
      </c>
      <c r="I195" s="1813">
        <v>201</v>
      </c>
      <c r="J195" s="1816">
        <v>110</v>
      </c>
      <c r="K195" s="1773">
        <v>99</v>
      </c>
      <c r="L195" s="3457">
        <v>182</v>
      </c>
      <c r="M195" s="3458"/>
      <c r="N195" s="3459"/>
      <c r="O195" s="3460"/>
      <c r="P195" s="3461">
        <v>376.67</v>
      </c>
      <c r="Q195" s="2851">
        <v>475</v>
      </c>
      <c r="R195" s="2851"/>
      <c r="S195" s="3462"/>
      <c r="T195" s="3462"/>
      <c r="U195" s="3462"/>
      <c r="V195" s="3462"/>
      <c r="W195" s="3462">
        <v>354</v>
      </c>
      <c r="X195" s="3462">
        <v>373.17</v>
      </c>
      <c r="Y195" s="3462">
        <v>477.33</v>
      </c>
      <c r="Z195" s="3462"/>
      <c r="AA195" s="3462">
        <v>64</v>
      </c>
      <c r="AB195" s="3462"/>
      <c r="AC195" s="3462"/>
      <c r="AD195" s="3462"/>
      <c r="AE195" s="3462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</row>
    <row r="196" spans="1:109" s="3452" customFormat="1" ht="15.75" thickBot="1">
      <c r="A196" s="773"/>
      <c r="B196" s="210"/>
      <c r="C196" s="1723" t="s">
        <v>447</v>
      </c>
      <c r="D196" s="1805"/>
      <c r="E196" s="1805"/>
      <c r="F196" s="1805"/>
      <c r="G196" s="1805"/>
      <c r="H196" s="1805"/>
      <c r="I196" s="1805"/>
      <c r="J196" s="1808"/>
      <c r="K196" s="1762"/>
      <c r="L196" s="1765"/>
      <c r="M196" s="1765"/>
      <c r="N196" s="1817"/>
      <c r="O196" s="499"/>
      <c r="P196" s="3463"/>
      <c r="Q196" s="400"/>
      <c r="R196" s="400"/>
      <c r="S196" s="400"/>
      <c r="T196" s="400"/>
      <c r="U196" s="400"/>
      <c r="V196" s="400"/>
      <c r="W196" s="400"/>
      <c r="X196" s="400"/>
      <c r="Y196" s="400"/>
      <c r="Z196" s="400"/>
      <c r="AA196" s="400">
        <v>12.333333333333334</v>
      </c>
      <c r="AB196" s="400"/>
      <c r="AC196" s="400"/>
      <c r="AD196" s="400"/>
      <c r="AE196" s="400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</row>
    <row r="197" spans="1:109" s="3452" customFormat="1" ht="15.75" thickBot="1">
      <c r="A197" s="773"/>
      <c r="B197" s="210"/>
      <c r="C197" s="1723" t="s">
        <v>434</v>
      </c>
      <c r="D197" s="1805"/>
      <c r="E197" s="1805"/>
      <c r="F197" s="1805"/>
      <c r="G197" s="1805"/>
      <c r="H197" s="1805"/>
      <c r="I197" s="1805"/>
      <c r="J197" s="1808"/>
      <c r="K197" s="1762"/>
      <c r="L197" s="1765"/>
      <c r="M197" s="1765"/>
      <c r="N197" s="1817"/>
      <c r="O197" s="499"/>
      <c r="P197" s="3463"/>
      <c r="Q197" s="400"/>
      <c r="R197" s="400"/>
      <c r="S197" s="400"/>
      <c r="T197" s="400"/>
      <c r="U197" s="400"/>
      <c r="V197" s="400"/>
      <c r="W197" s="400"/>
      <c r="X197" s="400"/>
      <c r="Y197" s="400"/>
      <c r="Z197" s="400"/>
      <c r="AA197" s="400">
        <v>8.6666666666666661</v>
      </c>
      <c r="AB197" s="400"/>
      <c r="AC197" s="400"/>
      <c r="AD197" s="400"/>
      <c r="AE197" s="400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</row>
    <row r="198" spans="1:109" s="4" customFormat="1">
      <c r="A198" s="114"/>
      <c r="B198" s="114"/>
      <c r="C198" s="775" t="s">
        <v>285</v>
      </c>
      <c r="D198" s="1025">
        <f>COUNTIF(D160:D195,"&lt;=10")</f>
        <v>11</v>
      </c>
      <c r="E198" s="1025">
        <f t="shared" ref="E198:Y198" si="41">COUNTIF(E160:E195,"&lt;=10")</f>
        <v>12</v>
      </c>
      <c r="F198" s="1025">
        <f t="shared" si="41"/>
        <v>15</v>
      </c>
      <c r="G198" s="1025">
        <f t="shared" si="41"/>
        <v>17</v>
      </c>
      <c r="H198" s="1025">
        <f t="shared" si="41"/>
        <v>14</v>
      </c>
      <c r="I198" s="1025">
        <f t="shared" si="41"/>
        <v>13</v>
      </c>
      <c r="J198" s="1025">
        <f t="shared" si="41"/>
        <v>20</v>
      </c>
      <c r="K198" s="1025">
        <f t="shared" si="41"/>
        <v>17</v>
      </c>
      <c r="L198" s="1025">
        <f t="shared" si="41"/>
        <v>14</v>
      </c>
      <c r="M198" s="1025">
        <f t="shared" si="41"/>
        <v>8</v>
      </c>
      <c r="N198" s="1025">
        <f t="shared" si="41"/>
        <v>14</v>
      </c>
      <c r="O198" s="1025">
        <f t="shared" si="41"/>
        <v>0</v>
      </c>
      <c r="P198" s="1025">
        <f t="shared" si="41"/>
        <v>13</v>
      </c>
      <c r="Q198" s="1025">
        <f t="shared" si="41"/>
        <v>11</v>
      </c>
      <c r="R198" s="1025">
        <f t="shared" si="41"/>
        <v>0</v>
      </c>
      <c r="S198" s="1025">
        <f t="shared" si="41"/>
        <v>0</v>
      </c>
      <c r="T198" s="1025">
        <f t="shared" si="41"/>
        <v>0</v>
      </c>
      <c r="U198" s="1025">
        <f t="shared" si="41"/>
        <v>0</v>
      </c>
      <c r="V198" s="1025">
        <f t="shared" si="41"/>
        <v>0</v>
      </c>
      <c r="W198" s="1025">
        <f t="shared" si="41"/>
        <v>14</v>
      </c>
      <c r="X198" s="1025">
        <f t="shared" si="41"/>
        <v>10</v>
      </c>
      <c r="Y198" s="1025">
        <f t="shared" si="41"/>
        <v>14</v>
      </c>
      <c r="Z198" s="1025">
        <f>COUNTIF(Z160:Z195,"&lt;=7")</f>
        <v>0</v>
      </c>
      <c r="AA198" s="1025">
        <f>COUNTIF(AA160:AA195,"&lt;=7")</f>
        <v>15</v>
      </c>
      <c r="AB198" s="1025">
        <f t="shared" ref="AB198:AE198" si="42">COUNTIF(AB160:AB195,"&lt;=7")</f>
        <v>0</v>
      </c>
      <c r="AC198" s="1025">
        <f t="shared" si="42"/>
        <v>0</v>
      </c>
      <c r="AD198" s="1025">
        <f t="shared" si="42"/>
        <v>0</v>
      </c>
      <c r="AE198" s="1025">
        <f t="shared" si="42"/>
        <v>0</v>
      </c>
      <c r="BE198" s="83"/>
      <c r="BF198" s="83"/>
      <c r="BG198" s="83"/>
      <c r="BH198" s="83"/>
      <c r="BI198" s="83"/>
      <c r="BJ198" s="83"/>
      <c r="BK198" s="83"/>
      <c r="BL198" s="83"/>
      <c r="BM198" s="83"/>
      <c r="BN198" s="83"/>
      <c r="BO198" s="83"/>
      <c r="BP198" s="83"/>
      <c r="BQ198" s="83"/>
      <c r="BR198" s="83"/>
      <c r="BS198" s="83"/>
      <c r="BT198" s="83"/>
      <c r="BU198" s="83"/>
      <c r="BV198" s="83"/>
      <c r="BW198" s="83"/>
      <c r="BX198" s="83"/>
      <c r="BY198" s="83"/>
      <c r="CH198" s="83"/>
      <c r="CI198" s="83"/>
      <c r="CJ198" s="83"/>
      <c r="CK198" s="83"/>
      <c r="CL198" s="83"/>
      <c r="CM198" s="83"/>
      <c r="CN198" s="83"/>
      <c r="CO198" s="83"/>
      <c r="CP198" s="83"/>
      <c r="CQ198" s="83"/>
      <c r="CR198" s="83"/>
      <c r="CS198" s="83"/>
      <c r="CT198" s="83"/>
      <c r="CU198" s="83"/>
      <c r="CV198" s="83"/>
      <c r="CW198" s="83"/>
      <c r="CX198" s="83"/>
      <c r="CY198" s="83"/>
      <c r="CZ198" s="83"/>
      <c r="DA198" s="83"/>
      <c r="DB198" s="83"/>
      <c r="DC198" s="83"/>
      <c r="DD198" s="83"/>
    </row>
    <row r="199" spans="1:109" s="4" customFormat="1">
      <c r="A199" s="114"/>
      <c r="B199" s="114"/>
      <c r="C199" s="775" t="s">
        <v>287</v>
      </c>
      <c r="D199" s="1027">
        <f>COUNT(D160:D195)</f>
        <v>25</v>
      </c>
      <c r="E199" s="1027">
        <f t="shared" ref="E199:Z199" si="43">COUNT(E160:E195)</f>
        <v>25</v>
      </c>
      <c r="F199" s="1027">
        <f t="shared" si="43"/>
        <v>25</v>
      </c>
      <c r="G199" s="1027">
        <f t="shared" si="43"/>
        <v>25</v>
      </c>
      <c r="H199" s="1027">
        <f>COUNT(H160:H195)</f>
        <v>26</v>
      </c>
      <c r="I199" s="1027">
        <f t="shared" si="43"/>
        <v>25</v>
      </c>
      <c r="J199" s="1027">
        <f t="shared" si="43"/>
        <v>26</v>
      </c>
      <c r="K199" s="1027">
        <f t="shared" si="43"/>
        <v>26</v>
      </c>
      <c r="L199" s="1027">
        <f t="shared" si="43"/>
        <v>23</v>
      </c>
      <c r="M199" s="1027">
        <f t="shared" si="43"/>
        <v>18</v>
      </c>
      <c r="N199" s="1027">
        <f t="shared" si="43"/>
        <v>19</v>
      </c>
      <c r="O199" s="1027">
        <f t="shared" si="43"/>
        <v>0</v>
      </c>
      <c r="P199" s="1027">
        <f t="shared" si="43"/>
        <v>25</v>
      </c>
      <c r="Q199" s="1027">
        <f t="shared" si="43"/>
        <v>24</v>
      </c>
      <c r="R199" s="1027">
        <f t="shared" si="43"/>
        <v>0</v>
      </c>
      <c r="S199" s="1027">
        <f t="shared" si="43"/>
        <v>0</v>
      </c>
      <c r="T199" s="1027">
        <f t="shared" si="43"/>
        <v>0</v>
      </c>
      <c r="U199" s="1027">
        <f t="shared" si="43"/>
        <v>0</v>
      </c>
      <c r="V199" s="1027">
        <f t="shared" si="43"/>
        <v>0</v>
      </c>
      <c r="W199" s="1027">
        <f t="shared" si="43"/>
        <v>26</v>
      </c>
      <c r="X199" s="1027">
        <f t="shared" si="43"/>
        <v>25</v>
      </c>
      <c r="Y199" s="1027">
        <f t="shared" si="43"/>
        <v>27</v>
      </c>
      <c r="Z199" s="1027">
        <f t="shared" si="43"/>
        <v>0</v>
      </c>
      <c r="AA199" s="1027">
        <f>COUNT(AA160:AA197)</f>
        <v>33</v>
      </c>
      <c r="AB199" s="1027">
        <f t="shared" ref="AB199:AE199" si="44">COUNT(AB160:AB197)</f>
        <v>0</v>
      </c>
      <c r="AC199" s="1027">
        <f t="shared" si="44"/>
        <v>0</v>
      </c>
      <c r="AD199" s="1027">
        <f t="shared" si="44"/>
        <v>0</v>
      </c>
      <c r="AE199" s="1027">
        <f t="shared" si="44"/>
        <v>0</v>
      </c>
      <c r="BE199" s="83"/>
      <c r="BF199" s="83"/>
      <c r="BG199" s="83"/>
      <c r="BH199" s="83"/>
      <c r="BI199" s="83"/>
      <c r="BJ199" s="83"/>
      <c r="BK199" s="83"/>
      <c r="BL199" s="83"/>
      <c r="BM199" s="83"/>
      <c r="BN199" s="83"/>
      <c r="BO199" s="83"/>
      <c r="BP199" s="83"/>
      <c r="BQ199" s="83"/>
      <c r="BR199" s="83"/>
      <c r="BS199" s="83"/>
      <c r="BT199" s="83"/>
      <c r="BU199" s="83"/>
      <c r="BV199" s="83"/>
      <c r="BW199" s="83"/>
      <c r="BX199" s="83"/>
      <c r="BY199" s="83"/>
      <c r="CH199" s="83"/>
      <c r="CI199" s="83"/>
      <c r="CJ199" s="83"/>
      <c r="CK199" s="83"/>
      <c r="CL199" s="83"/>
      <c r="CM199" s="83"/>
      <c r="CN199" s="83"/>
      <c r="CO199" s="83"/>
      <c r="CP199" s="83"/>
      <c r="CQ199" s="83"/>
      <c r="CR199" s="83"/>
      <c r="CS199" s="83"/>
      <c r="CT199" s="83"/>
      <c r="CU199" s="83"/>
      <c r="CV199" s="83"/>
      <c r="CW199" s="83"/>
      <c r="CX199" s="83"/>
      <c r="CY199" s="83"/>
      <c r="CZ199" s="83"/>
      <c r="DA199" s="83"/>
      <c r="DB199" s="83"/>
      <c r="DC199" s="83"/>
      <c r="DD199" s="83"/>
    </row>
    <row r="200" spans="1:109" s="4" customFormat="1">
      <c r="A200" s="114"/>
      <c r="B200" s="114"/>
      <c r="C200" s="775" t="s">
        <v>286</v>
      </c>
      <c r="D200" s="1026">
        <f t="shared" ref="D200:AA200" si="45">D198/D199</f>
        <v>0.44</v>
      </c>
      <c r="E200" s="1026">
        <f t="shared" si="45"/>
        <v>0.48</v>
      </c>
      <c r="F200" s="1026">
        <f t="shared" si="45"/>
        <v>0.6</v>
      </c>
      <c r="G200" s="1026">
        <f t="shared" si="45"/>
        <v>0.68</v>
      </c>
      <c r="H200" s="1026">
        <f t="shared" si="45"/>
        <v>0.53846153846153844</v>
      </c>
      <c r="I200" s="1026">
        <f t="shared" si="45"/>
        <v>0.52</v>
      </c>
      <c r="J200" s="1026">
        <f t="shared" si="45"/>
        <v>0.76923076923076927</v>
      </c>
      <c r="K200" s="1026">
        <f t="shared" si="45"/>
        <v>0.65384615384615385</v>
      </c>
      <c r="L200" s="1026">
        <f t="shared" si="45"/>
        <v>0.60869565217391308</v>
      </c>
      <c r="M200" s="1026">
        <f t="shared" si="45"/>
        <v>0.44444444444444442</v>
      </c>
      <c r="N200" s="1026">
        <f t="shared" si="45"/>
        <v>0.73684210526315785</v>
      </c>
      <c r="O200" s="1026" t="e">
        <f t="shared" si="45"/>
        <v>#DIV/0!</v>
      </c>
      <c r="P200" s="1026">
        <f t="shared" si="45"/>
        <v>0.52</v>
      </c>
      <c r="Q200" s="1026">
        <f t="shared" si="45"/>
        <v>0.45833333333333331</v>
      </c>
      <c r="R200" s="1026" t="e">
        <f t="shared" si="45"/>
        <v>#DIV/0!</v>
      </c>
      <c r="S200" s="1026" t="e">
        <f t="shared" si="45"/>
        <v>#DIV/0!</v>
      </c>
      <c r="T200" s="1026" t="e">
        <f t="shared" si="45"/>
        <v>#DIV/0!</v>
      </c>
      <c r="U200" s="1026" t="e">
        <f t="shared" si="45"/>
        <v>#DIV/0!</v>
      </c>
      <c r="V200" s="1026" t="e">
        <f t="shared" si="45"/>
        <v>#DIV/0!</v>
      </c>
      <c r="W200" s="1026">
        <f t="shared" si="45"/>
        <v>0.53846153846153844</v>
      </c>
      <c r="X200" s="1026">
        <f t="shared" si="45"/>
        <v>0.4</v>
      </c>
      <c r="Y200" s="1026">
        <f t="shared" si="45"/>
        <v>0.51851851851851849</v>
      </c>
      <c r="Z200" s="1026" t="e">
        <f t="shared" si="45"/>
        <v>#DIV/0!</v>
      </c>
      <c r="AA200" s="1026">
        <f t="shared" si="45"/>
        <v>0.45454545454545453</v>
      </c>
      <c r="AB200" s="1026" t="e">
        <f t="shared" ref="AB200:AE200" si="46">AB198/AB199</f>
        <v>#DIV/0!</v>
      </c>
      <c r="AC200" s="1026" t="e">
        <f t="shared" si="46"/>
        <v>#DIV/0!</v>
      </c>
      <c r="AD200" s="1026" t="e">
        <f t="shared" si="46"/>
        <v>#DIV/0!</v>
      </c>
      <c r="AE200" s="1026" t="e">
        <f t="shared" si="46"/>
        <v>#DIV/0!</v>
      </c>
      <c r="BF200" s="83"/>
      <c r="BG200" s="83"/>
      <c r="BH200" s="83"/>
      <c r="BI200" s="83"/>
      <c r="BJ200" s="83"/>
      <c r="BK200" s="83"/>
      <c r="BL200" s="83"/>
      <c r="BM200" s="83"/>
      <c r="BN200" s="83"/>
      <c r="BO200" s="83"/>
      <c r="BP200" s="83"/>
      <c r="BQ200" s="83"/>
      <c r="BR200" s="83"/>
      <c r="BS200" s="83"/>
      <c r="BT200" s="83"/>
      <c r="BU200" s="83"/>
      <c r="BV200" s="83"/>
      <c r="BW200" s="83"/>
      <c r="BX200" s="83"/>
      <c r="BY200" s="83"/>
      <c r="BZ200" s="83"/>
      <c r="CI200" s="83"/>
      <c r="CJ200" s="83"/>
      <c r="CK200" s="83"/>
      <c r="CL200" s="83"/>
      <c r="CM200" s="83"/>
      <c r="CN200" s="83"/>
      <c r="CO200" s="83"/>
      <c r="CP200" s="83"/>
      <c r="CQ200" s="83"/>
      <c r="CR200" s="83"/>
      <c r="CS200" s="83"/>
      <c r="CT200" s="83"/>
      <c r="CU200" s="83"/>
      <c r="CV200" s="83"/>
      <c r="CW200" s="83"/>
      <c r="CX200" s="83"/>
      <c r="CY200" s="83"/>
      <c r="CZ200" s="83"/>
      <c r="DA200" s="83"/>
      <c r="DB200" s="83"/>
      <c r="DC200" s="83"/>
      <c r="DD200" s="83"/>
      <c r="DE200" s="83"/>
    </row>
    <row r="201" spans="1:109" s="4" customFormat="1">
      <c r="A201" s="776"/>
      <c r="B201" s="1090"/>
      <c r="C201" s="1088" t="s">
        <v>296</v>
      </c>
      <c r="D201" s="1059">
        <f>COUNTA(C160:C195)</f>
        <v>36</v>
      </c>
      <c r="E201" s="1091"/>
      <c r="F201" s="1091"/>
      <c r="G201" s="1091"/>
      <c r="H201" s="1091"/>
      <c r="I201" s="1092"/>
      <c r="J201" s="1091"/>
      <c r="K201" s="1093"/>
      <c r="L201" s="776"/>
      <c r="M201" s="776"/>
      <c r="N201" s="776"/>
      <c r="O201" s="776"/>
      <c r="P201" s="776"/>
      <c r="Q201" s="776"/>
      <c r="R201" s="776"/>
      <c r="S201" s="776"/>
      <c r="T201" s="776"/>
      <c r="U201" s="776"/>
      <c r="V201" s="776"/>
      <c r="W201" s="776"/>
      <c r="X201" s="770"/>
      <c r="AA201" s="50"/>
      <c r="AB201" s="50"/>
      <c r="AC201" s="50"/>
      <c r="AD201" s="50"/>
      <c r="AE201" s="50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  <c r="AR201" s="83"/>
      <c r="AS201" s="83"/>
      <c r="AT201" s="83"/>
      <c r="AU201" s="83"/>
      <c r="AV201" s="83"/>
      <c r="AW201" s="83"/>
      <c r="AX201" s="83"/>
      <c r="AY201" s="83"/>
      <c r="AZ201" s="83"/>
      <c r="BA201" s="83"/>
      <c r="BB201" s="83"/>
      <c r="BC201" s="83"/>
      <c r="BD201" s="83"/>
      <c r="BF201" s="50"/>
      <c r="BG201" s="50"/>
      <c r="BH201" s="50"/>
      <c r="BI201" s="83"/>
      <c r="BJ201" s="83"/>
      <c r="BK201" s="83"/>
      <c r="BL201" s="83"/>
      <c r="BM201" s="83"/>
      <c r="BN201" s="83"/>
      <c r="BO201" s="83"/>
      <c r="BP201" s="83"/>
      <c r="BQ201" s="83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</row>
    <row r="202" spans="1:109">
      <c r="A202" s="773"/>
      <c r="B202" s="210"/>
      <c r="C202" s="117"/>
      <c r="D202" s="110"/>
      <c r="E202" s="110"/>
      <c r="F202" s="3546" t="s">
        <v>229</v>
      </c>
      <c r="G202" s="3546"/>
      <c r="H202" s="3546"/>
      <c r="I202" s="3546"/>
      <c r="J202" s="766"/>
      <c r="K202" s="112"/>
      <c r="L202" s="107"/>
      <c r="M202" s="120"/>
      <c r="N202" s="3546" t="s">
        <v>229</v>
      </c>
      <c r="O202" s="3546"/>
      <c r="P202" s="3546"/>
      <c r="Q202" s="3546"/>
      <c r="R202" s="781"/>
      <c r="S202" s="781"/>
      <c r="T202" s="781"/>
      <c r="U202" s="781"/>
      <c r="V202" s="781"/>
      <c r="W202" s="781"/>
      <c r="X202" s="797"/>
      <c r="Y202" s="142"/>
      <c r="Z202" s="14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</row>
    <row r="203" spans="1:109" s="4" customFormat="1" ht="15.75" thickBot="1">
      <c r="A203" s="330"/>
      <c r="B203" s="127"/>
      <c r="C203" s="117"/>
      <c r="D203" s="110"/>
      <c r="E203" s="110"/>
      <c r="F203" s="3546"/>
      <c r="G203" s="3546"/>
      <c r="H203" s="3546"/>
      <c r="I203" s="3546"/>
      <c r="J203" s="766"/>
      <c r="K203" s="112"/>
      <c r="L203" s="107"/>
      <c r="M203" s="120"/>
      <c r="N203" s="3546"/>
      <c r="O203" s="3546"/>
      <c r="P203" s="3546"/>
      <c r="Q203" s="3546"/>
      <c r="R203" s="781"/>
      <c r="S203" s="781"/>
      <c r="T203" s="781"/>
      <c r="U203" s="781"/>
      <c r="V203" s="781"/>
      <c r="W203" s="781"/>
      <c r="X203" s="797"/>
      <c r="Y203" s="142"/>
      <c r="Z203" s="14"/>
      <c r="AA203" s="61"/>
      <c r="AB203" s="61"/>
      <c r="AC203" s="61"/>
      <c r="AD203" s="61"/>
      <c r="AE203" s="61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3"/>
      <c r="BI203" s="83"/>
      <c r="BJ203" s="83"/>
      <c r="BK203" s="83"/>
      <c r="BL203" s="83"/>
      <c r="BM203" s="83"/>
      <c r="BN203" s="83"/>
      <c r="BO203" s="83"/>
      <c r="BP203" s="83"/>
      <c r="BQ203" s="83"/>
    </row>
    <row r="204" spans="1:109" s="4" customFormat="1" ht="15.75" thickBot="1">
      <c r="A204" s="330"/>
      <c r="B204" s="127" t="s">
        <v>284</v>
      </c>
      <c r="C204" s="266" t="s">
        <v>168</v>
      </c>
      <c r="D204" s="367">
        <v>10</v>
      </c>
      <c r="E204" s="268">
        <v>10</v>
      </c>
      <c r="F204" s="268">
        <v>10</v>
      </c>
      <c r="G204" s="274">
        <v>10</v>
      </c>
      <c r="H204" s="367">
        <v>10</v>
      </c>
      <c r="I204" s="268">
        <v>10</v>
      </c>
      <c r="J204" s="268">
        <v>10</v>
      </c>
      <c r="K204" s="269">
        <v>10</v>
      </c>
      <c r="L204" s="360">
        <v>10</v>
      </c>
      <c r="M204" s="355">
        <v>10</v>
      </c>
      <c r="N204" s="355">
        <v>10</v>
      </c>
      <c r="O204" s="356">
        <v>10</v>
      </c>
      <c r="P204" s="360">
        <v>10</v>
      </c>
      <c r="Q204" s="355">
        <v>10</v>
      </c>
      <c r="R204" s="355">
        <v>10</v>
      </c>
      <c r="S204" s="356">
        <v>10</v>
      </c>
      <c r="T204" s="356">
        <v>10</v>
      </c>
      <c r="U204" s="356">
        <v>10</v>
      </c>
      <c r="V204" s="356">
        <v>10</v>
      </c>
      <c r="W204" s="356">
        <v>10</v>
      </c>
      <c r="X204" s="356">
        <v>10</v>
      </c>
      <c r="Y204" s="356">
        <v>10</v>
      </c>
      <c r="Z204" s="356">
        <v>10</v>
      </c>
      <c r="AA204" s="356">
        <v>10</v>
      </c>
      <c r="AB204" s="3498"/>
      <c r="AC204" s="3498"/>
      <c r="AD204" s="3498"/>
      <c r="AE204" s="3498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  <c r="AS204" s="83"/>
      <c r="AT204" s="83"/>
      <c r="AU204" s="83"/>
      <c r="AV204" s="83"/>
      <c r="AW204" s="83"/>
      <c r="AX204" s="83"/>
      <c r="AY204" s="83"/>
      <c r="AZ204" s="83"/>
      <c r="BA204" s="83"/>
      <c r="BB204" s="83"/>
      <c r="BG204" s="83"/>
      <c r="BH204" s="83"/>
      <c r="BI204" s="83"/>
      <c r="BJ204" s="83"/>
      <c r="BK204" s="83"/>
      <c r="BL204" s="83"/>
      <c r="BM204" s="83"/>
      <c r="BN204" s="83"/>
      <c r="BO204" s="83"/>
    </row>
    <row r="205" spans="1:109" s="4" customFormat="1" ht="16.5">
      <c r="A205" s="364"/>
      <c r="B205" s="1019">
        <f>COUNTA(C205:C213)</f>
        <v>9</v>
      </c>
      <c r="C205" s="105" t="s">
        <v>152</v>
      </c>
      <c r="D205" s="650">
        <v>2.3666666666666667</v>
      </c>
      <c r="E205" s="650">
        <v>3.3333333333333335</v>
      </c>
      <c r="F205" s="1818">
        <v>3</v>
      </c>
      <c r="G205" s="1819">
        <v>2</v>
      </c>
      <c r="H205" s="1820">
        <v>2</v>
      </c>
      <c r="I205" s="650">
        <v>2</v>
      </c>
      <c r="J205" s="650">
        <v>1</v>
      </c>
      <c r="K205" s="651">
        <v>2</v>
      </c>
      <c r="L205" s="393">
        <v>1</v>
      </c>
      <c r="M205" s="394">
        <v>2</v>
      </c>
      <c r="N205" s="400">
        <v>2</v>
      </c>
      <c r="O205" s="474"/>
      <c r="P205" s="2391">
        <v>1.67</v>
      </c>
      <c r="Q205" s="2580">
        <v>3</v>
      </c>
      <c r="R205" s="400"/>
      <c r="S205" s="822"/>
      <c r="T205" s="822"/>
      <c r="U205" s="822"/>
      <c r="V205" s="822"/>
      <c r="W205" s="822">
        <v>2</v>
      </c>
      <c r="X205" s="822">
        <v>1.33</v>
      </c>
      <c r="Y205" s="822">
        <v>3.3</v>
      </c>
      <c r="Z205" s="822"/>
      <c r="AA205" s="822">
        <v>1.6666666666666667</v>
      </c>
      <c r="AB205" s="142"/>
      <c r="AC205" s="142"/>
      <c r="AD205" s="142"/>
      <c r="AE205" s="142"/>
      <c r="AF205" s="83"/>
      <c r="AG205" s="83"/>
      <c r="AH205" s="83"/>
      <c r="AI205" s="83"/>
      <c r="AJ205" s="83"/>
      <c r="AK205" s="83"/>
      <c r="AL205" s="83"/>
      <c r="AM205" s="83"/>
      <c r="AN205" s="83"/>
      <c r="AO205" s="83"/>
      <c r="AP205" s="83"/>
      <c r="AQ205" s="83"/>
      <c r="AR205" s="83"/>
      <c r="AS205" s="83"/>
      <c r="AT205" s="83"/>
      <c r="AU205" s="83"/>
      <c r="AV205" s="83"/>
      <c r="AW205" s="83"/>
      <c r="AX205" s="83"/>
      <c r="AY205" s="83"/>
      <c r="AZ205" s="83"/>
      <c r="BA205" s="83"/>
      <c r="BB205" s="83"/>
      <c r="BG205" s="83"/>
      <c r="BH205" s="83"/>
      <c r="BI205" s="83"/>
      <c r="BJ205" s="83"/>
      <c r="BK205" s="83"/>
      <c r="BL205" s="83"/>
      <c r="BM205" s="83"/>
      <c r="BN205" s="83"/>
      <c r="BO205" s="83"/>
    </row>
    <row r="206" spans="1:109" s="1096" customFormat="1" ht="16.5">
      <c r="A206" s="364"/>
      <c r="B206" s="1019"/>
      <c r="C206" s="106" t="s">
        <v>153</v>
      </c>
      <c r="D206" s="42">
        <v>1.7666666666666666</v>
      </c>
      <c r="E206" s="42">
        <v>2.3333333333333335</v>
      </c>
      <c r="F206" s="1755">
        <v>2</v>
      </c>
      <c r="G206" s="1756">
        <v>3</v>
      </c>
      <c r="H206" s="1821">
        <v>1</v>
      </c>
      <c r="I206" s="42">
        <v>2</v>
      </c>
      <c r="J206" s="42">
        <v>2</v>
      </c>
      <c r="K206" s="641">
        <v>1</v>
      </c>
      <c r="L206" s="393">
        <v>1</v>
      </c>
      <c r="M206" s="394">
        <v>2</v>
      </c>
      <c r="N206" s="400">
        <v>1</v>
      </c>
      <c r="O206" s="411"/>
      <c r="P206" s="2392">
        <v>2.33</v>
      </c>
      <c r="Q206" s="2580">
        <v>3</v>
      </c>
      <c r="R206" s="394"/>
      <c r="S206" s="361"/>
      <c r="T206" s="361"/>
      <c r="U206" s="361"/>
      <c r="V206" s="361"/>
      <c r="W206" s="361">
        <v>2.33</v>
      </c>
      <c r="X206" s="361">
        <v>1.33</v>
      </c>
      <c r="Y206" s="361">
        <v>2</v>
      </c>
      <c r="Z206" s="361"/>
      <c r="AA206" s="361">
        <v>2</v>
      </c>
      <c r="AB206" s="143"/>
      <c r="AC206" s="143"/>
      <c r="AD206" s="143"/>
      <c r="AE206" s="143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BG206" s="61"/>
      <c r="BH206" s="61"/>
      <c r="BI206" s="61"/>
      <c r="BJ206" s="61"/>
      <c r="BK206" s="61"/>
      <c r="BL206" s="61"/>
      <c r="BM206" s="61"/>
      <c r="BN206" s="61"/>
      <c r="BO206" s="61"/>
    </row>
    <row r="207" spans="1:109" s="1106" customFormat="1" ht="16.5">
      <c r="A207" s="364"/>
      <c r="B207" s="1019"/>
      <c r="C207" s="75" t="s">
        <v>150</v>
      </c>
      <c r="D207" s="42">
        <v>1.8666666666666665</v>
      </c>
      <c r="E207" s="42">
        <v>2</v>
      </c>
      <c r="F207" s="1755">
        <v>2.3333333333333335</v>
      </c>
      <c r="G207" s="1756">
        <v>1.6666666666666667</v>
      </c>
      <c r="H207" s="1821">
        <v>1</v>
      </c>
      <c r="I207" s="42">
        <v>1</v>
      </c>
      <c r="J207" s="42">
        <v>2</v>
      </c>
      <c r="K207" s="641">
        <v>2</v>
      </c>
      <c r="L207" s="393">
        <v>2</v>
      </c>
      <c r="M207" s="394">
        <v>3</v>
      </c>
      <c r="N207" s="400">
        <v>2</v>
      </c>
      <c r="O207" s="478"/>
      <c r="P207" s="823">
        <v>2.67</v>
      </c>
      <c r="Q207" s="2580">
        <f>AVERAGE(N207:P207)</f>
        <v>2.335</v>
      </c>
      <c r="R207" s="824"/>
      <c r="S207" s="825"/>
      <c r="T207" s="825"/>
      <c r="U207" s="825"/>
      <c r="V207" s="825"/>
      <c r="W207" s="825">
        <v>2.67</v>
      </c>
      <c r="X207" s="825">
        <v>1.33</v>
      </c>
      <c r="Y207" s="825">
        <v>1.7</v>
      </c>
      <c r="Z207" s="825"/>
      <c r="AA207" s="825">
        <v>1.3333333333333333</v>
      </c>
      <c r="AB207" s="94"/>
      <c r="AC207" s="94"/>
      <c r="AD207" s="94"/>
      <c r="AE207" s="94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BG207" s="61"/>
      <c r="BH207" s="61"/>
      <c r="BI207" s="61"/>
      <c r="BJ207" s="61"/>
      <c r="BK207" s="61"/>
      <c r="BL207" s="61"/>
      <c r="BM207" s="61"/>
      <c r="BN207" s="61"/>
      <c r="BO207" s="61"/>
    </row>
    <row r="208" spans="1:109" s="1096" customFormat="1" ht="16.5">
      <c r="A208" s="364"/>
      <c r="B208" s="1019"/>
      <c r="C208" s="75" t="s">
        <v>149</v>
      </c>
      <c r="D208" s="42">
        <v>2.2666666666666666</v>
      </c>
      <c r="E208" s="42">
        <v>2.3333333333333335</v>
      </c>
      <c r="F208" s="1755">
        <v>4</v>
      </c>
      <c r="G208" s="1756">
        <v>2.6666666666666665</v>
      </c>
      <c r="H208" s="1821">
        <v>2</v>
      </c>
      <c r="I208" s="42">
        <v>2</v>
      </c>
      <c r="J208" s="42">
        <v>2</v>
      </c>
      <c r="K208" s="641">
        <v>2</v>
      </c>
      <c r="L208" s="393">
        <v>1</v>
      </c>
      <c r="M208" s="394">
        <v>3</v>
      </c>
      <c r="N208" s="400">
        <v>3</v>
      </c>
      <c r="O208" s="478"/>
      <c r="P208" s="823">
        <v>2.33</v>
      </c>
      <c r="Q208" s="2580">
        <v>5</v>
      </c>
      <c r="R208" s="824"/>
      <c r="S208" s="825"/>
      <c r="T208" s="825"/>
      <c r="U208" s="825"/>
      <c r="V208" s="825"/>
      <c r="W208" s="825">
        <v>3</v>
      </c>
      <c r="X208" s="825">
        <v>1.67</v>
      </c>
      <c r="Y208" s="825">
        <v>2</v>
      </c>
      <c r="Z208" s="825"/>
      <c r="AA208" s="825">
        <v>2.6666666666666665</v>
      </c>
      <c r="AB208" s="94"/>
      <c r="AC208" s="94"/>
      <c r="AD208" s="94"/>
      <c r="AE208" s="94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BG208" s="61"/>
      <c r="BH208" s="61"/>
      <c r="BI208" s="61"/>
      <c r="BJ208" s="61"/>
      <c r="BK208" s="61"/>
      <c r="BL208" s="61"/>
      <c r="BM208" s="61"/>
      <c r="BN208" s="61"/>
      <c r="BO208" s="61"/>
    </row>
    <row r="209" spans="1:50" s="1096" customFormat="1" ht="16.5">
      <c r="A209" s="364"/>
      <c r="B209" s="1019"/>
      <c r="C209" s="75" t="s">
        <v>151</v>
      </c>
      <c r="D209" s="42">
        <v>2.1666666666666665</v>
      </c>
      <c r="E209" s="42">
        <v>2</v>
      </c>
      <c r="F209" s="1755">
        <v>2</v>
      </c>
      <c r="G209" s="1756">
        <v>3</v>
      </c>
      <c r="H209" s="1821">
        <v>1</v>
      </c>
      <c r="I209" s="42">
        <v>1</v>
      </c>
      <c r="J209" s="42">
        <v>2</v>
      </c>
      <c r="K209" s="641">
        <v>2</v>
      </c>
      <c r="L209" s="393">
        <v>1</v>
      </c>
      <c r="M209" s="394">
        <v>2</v>
      </c>
      <c r="N209" s="400">
        <v>3</v>
      </c>
      <c r="O209" s="478"/>
      <c r="P209" s="823">
        <v>2.33</v>
      </c>
      <c r="Q209" s="2580">
        <v>2</v>
      </c>
      <c r="R209" s="824"/>
      <c r="S209" s="825"/>
      <c r="T209" s="825"/>
      <c r="U209" s="825"/>
      <c r="V209" s="825"/>
      <c r="W209" s="825">
        <v>2</v>
      </c>
      <c r="X209" s="825">
        <v>1</v>
      </c>
      <c r="Y209" s="825">
        <v>1.7</v>
      </c>
      <c r="Z209" s="825"/>
      <c r="AA209" s="825">
        <v>1.3333333333333333</v>
      </c>
      <c r="AB209" s="94"/>
      <c r="AC209" s="94"/>
      <c r="AD209" s="94"/>
      <c r="AE209" s="94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</row>
    <row r="210" spans="1:50" s="1106" customFormat="1" ht="16.5">
      <c r="A210" s="364"/>
      <c r="B210" s="1019"/>
      <c r="C210" s="106" t="s">
        <v>273</v>
      </c>
      <c r="D210" s="10"/>
      <c r="E210" s="10"/>
      <c r="F210" s="10"/>
      <c r="G210" s="1758"/>
      <c r="H210" s="1821">
        <v>2</v>
      </c>
      <c r="I210" s="42">
        <v>2</v>
      </c>
      <c r="J210" s="42">
        <v>2</v>
      </c>
      <c r="K210" s="641">
        <v>2</v>
      </c>
      <c r="L210" s="393">
        <v>2</v>
      </c>
      <c r="M210" s="394">
        <v>2</v>
      </c>
      <c r="N210" s="400">
        <v>3</v>
      </c>
      <c r="O210" s="478"/>
      <c r="P210" s="823">
        <v>2</v>
      </c>
      <c r="Q210" s="2580">
        <f>AVERAGE(N210:P210)</f>
        <v>2.5</v>
      </c>
      <c r="R210" s="824"/>
      <c r="S210" s="825"/>
      <c r="T210" s="825"/>
      <c r="U210" s="825"/>
      <c r="V210" s="825"/>
      <c r="W210" s="825">
        <v>2.67</v>
      </c>
      <c r="X210" s="825">
        <v>1.33</v>
      </c>
      <c r="Y210" s="825">
        <v>3</v>
      </c>
      <c r="Z210" s="825"/>
      <c r="AA210" s="825">
        <v>1</v>
      </c>
      <c r="AB210" s="94"/>
      <c r="AC210" s="94"/>
      <c r="AD210" s="94"/>
      <c r="AE210" s="94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</row>
    <row r="211" spans="1:50" s="1096" customFormat="1" ht="16.5">
      <c r="A211" s="364"/>
      <c r="B211" s="1019"/>
      <c r="C211" s="106" t="s">
        <v>274</v>
      </c>
      <c r="D211" s="10"/>
      <c r="E211" s="10"/>
      <c r="F211" s="10"/>
      <c r="G211" s="1758"/>
      <c r="H211" s="1821">
        <v>1</v>
      </c>
      <c r="I211" s="42">
        <v>1</v>
      </c>
      <c r="J211" s="42">
        <v>2</v>
      </c>
      <c r="K211" s="641">
        <v>2</v>
      </c>
      <c r="L211" s="393">
        <v>2</v>
      </c>
      <c r="M211" s="394">
        <v>3</v>
      </c>
      <c r="N211" s="400">
        <v>3</v>
      </c>
      <c r="O211" s="411"/>
      <c r="P211" s="2393">
        <v>2.33</v>
      </c>
      <c r="Q211" s="2580">
        <v>2</v>
      </c>
      <c r="R211" s="304"/>
      <c r="S211" s="319"/>
      <c r="T211" s="319"/>
      <c r="U211" s="319"/>
      <c r="V211" s="319"/>
      <c r="W211" s="319">
        <v>2.33</v>
      </c>
      <c r="X211" s="319">
        <v>1.33</v>
      </c>
      <c r="Y211" s="319">
        <v>2</v>
      </c>
      <c r="Z211" s="319"/>
      <c r="AA211" s="319">
        <v>1.6666666666666667</v>
      </c>
      <c r="AB211" s="61"/>
      <c r="AC211" s="61"/>
      <c r="AD211" s="61"/>
      <c r="AE211" s="61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</row>
    <row r="212" spans="1:50" s="1096" customFormat="1" ht="16.5">
      <c r="A212" s="364"/>
      <c r="B212" s="1019"/>
      <c r="C212" s="75" t="s">
        <v>275</v>
      </c>
      <c r="D212" s="10"/>
      <c r="E212" s="10"/>
      <c r="F212" s="10"/>
      <c r="G212" s="1758"/>
      <c r="H212" s="1821">
        <v>1</v>
      </c>
      <c r="I212" s="42">
        <v>1</v>
      </c>
      <c r="J212" s="42">
        <v>2</v>
      </c>
      <c r="K212" s="641">
        <v>2</v>
      </c>
      <c r="L212" s="393">
        <v>1</v>
      </c>
      <c r="M212" s="394">
        <v>3</v>
      </c>
      <c r="N212" s="400">
        <v>2</v>
      </c>
      <c r="O212" s="411"/>
      <c r="P212" s="2393">
        <v>2.33</v>
      </c>
      <c r="Q212" s="2580">
        <v>3</v>
      </c>
      <c r="R212" s="304"/>
      <c r="S212" s="319"/>
      <c r="T212" s="319"/>
      <c r="U212" s="319"/>
      <c r="V212" s="319"/>
      <c r="W212" s="319">
        <v>2.67</v>
      </c>
      <c r="X212" s="319">
        <v>1.33</v>
      </c>
      <c r="Y212" s="319">
        <v>2.7</v>
      </c>
      <c r="Z212" s="319"/>
      <c r="AA212" s="319">
        <v>2.3333333333333335</v>
      </c>
      <c r="AB212" s="61"/>
      <c r="AC212" s="61"/>
      <c r="AD212" s="61"/>
      <c r="AE212" s="61"/>
    </row>
    <row r="213" spans="1:50" s="1106" customFormat="1" ht="17.25" thickBot="1">
      <c r="A213" s="121"/>
      <c r="B213" s="218"/>
      <c r="C213" s="76" t="s">
        <v>276</v>
      </c>
      <c r="D213" s="1822"/>
      <c r="E213" s="1822"/>
      <c r="F213" s="1822"/>
      <c r="G213" s="1823"/>
      <c r="H213" s="1824">
        <v>1</v>
      </c>
      <c r="I213" s="647">
        <v>2</v>
      </c>
      <c r="J213" s="647">
        <v>2</v>
      </c>
      <c r="K213" s="648">
        <v>2</v>
      </c>
      <c r="L213" s="393">
        <v>1</v>
      </c>
      <c r="M213" s="394">
        <v>3</v>
      </c>
      <c r="N213" s="400">
        <v>3</v>
      </c>
      <c r="O213" s="419"/>
      <c r="P213" s="2394">
        <v>2</v>
      </c>
      <c r="Q213" s="2580">
        <f>AVERAGE(N213:P213)</f>
        <v>2.5</v>
      </c>
      <c r="R213" s="540"/>
      <c r="S213" s="541"/>
      <c r="T213" s="541"/>
      <c r="U213" s="541"/>
      <c r="V213" s="541"/>
      <c r="W213" s="541">
        <v>2.67</v>
      </c>
      <c r="X213" s="541">
        <v>1.67</v>
      </c>
      <c r="Y213" s="541">
        <v>1.7</v>
      </c>
      <c r="Z213" s="541"/>
      <c r="AA213" s="541">
        <v>2.3333333333333335</v>
      </c>
      <c r="AB213" s="61"/>
      <c r="AC213" s="61"/>
      <c r="AD213" s="61"/>
      <c r="AE213" s="61"/>
    </row>
    <row r="214" spans="1:50" s="1096" customFormat="1">
      <c r="A214" s="114"/>
      <c r="B214" s="114"/>
      <c r="C214" s="775" t="s">
        <v>285</v>
      </c>
      <c r="D214" s="1025">
        <f>COUNTIF(D205:D213,"&lt;=10")</f>
        <v>5</v>
      </c>
      <c r="E214" s="1025">
        <f t="shared" ref="E214:AA214" si="47">COUNTIF(E205:E213,"&lt;=10")</f>
        <v>5</v>
      </c>
      <c r="F214" s="1025">
        <f t="shared" si="47"/>
        <v>5</v>
      </c>
      <c r="G214" s="1025">
        <f t="shared" si="47"/>
        <v>5</v>
      </c>
      <c r="H214" s="1025">
        <f t="shared" si="47"/>
        <v>9</v>
      </c>
      <c r="I214" s="1025">
        <f t="shared" si="47"/>
        <v>9</v>
      </c>
      <c r="J214" s="1025">
        <f t="shared" si="47"/>
        <v>9</v>
      </c>
      <c r="K214" s="1025">
        <f t="shared" si="47"/>
        <v>9</v>
      </c>
      <c r="L214" s="1025">
        <f t="shared" si="47"/>
        <v>9</v>
      </c>
      <c r="M214" s="1025">
        <f t="shared" si="47"/>
        <v>9</v>
      </c>
      <c r="N214" s="1025">
        <f t="shared" si="47"/>
        <v>9</v>
      </c>
      <c r="O214" s="1025">
        <f t="shared" si="47"/>
        <v>0</v>
      </c>
      <c r="P214" s="1025">
        <f t="shared" si="47"/>
        <v>9</v>
      </c>
      <c r="Q214" s="1025">
        <f t="shared" si="47"/>
        <v>9</v>
      </c>
      <c r="R214" s="1025">
        <f t="shared" si="47"/>
        <v>0</v>
      </c>
      <c r="S214" s="1025">
        <f t="shared" si="47"/>
        <v>0</v>
      </c>
      <c r="T214" s="1025">
        <f t="shared" si="47"/>
        <v>0</v>
      </c>
      <c r="U214" s="1025">
        <f t="shared" si="47"/>
        <v>0</v>
      </c>
      <c r="V214" s="1025">
        <f t="shared" si="47"/>
        <v>0</v>
      </c>
      <c r="W214" s="1025">
        <f t="shared" si="47"/>
        <v>9</v>
      </c>
      <c r="X214" s="1025">
        <f t="shared" si="47"/>
        <v>9</v>
      </c>
      <c r="Y214" s="1025">
        <f t="shared" si="47"/>
        <v>9</v>
      </c>
      <c r="Z214" s="1025">
        <f t="shared" si="47"/>
        <v>0</v>
      </c>
      <c r="AA214" s="1025">
        <f t="shared" si="47"/>
        <v>9</v>
      </c>
      <c r="AB214" s="1025"/>
      <c r="AC214" s="1025"/>
      <c r="AD214" s="1025"/>
      <c r="AE214" s="1025"/>
    </row>
    <row r="215" spans="1:50" s="1096" customFormat="1">
      <c r="A215" s="114"/>
      <c r="B215" s="114"/>
      <c r="C215" s="775" t="s">
        <v>287</v>
      </c>
      <c r="D215" s="1027">
        <f>COUNT(D205:D213)</f>
        <v>5</v>
      </c>
      <c r="E215" s="1027">
        <f t="shared" ref="E215:AA215" si="48">COUNT(E205:E213)</f>
        <v>5</v>
      </c>
      <c r="F215" s="1027">
        <f t="shared" si="48"/>
        <v>5</v>
      </c>
      <c r="G215" s="1027">
        <f t="shared" si="48"/>
        <v>5</v>
      </c>
      <c r="H215" s="1027">
        <f t="shared" si="48"/>
        <v>9</v>
      </c>
      <c r="I215" s="1027">
        <f t="shared" si="48"/>
        <v>9</v>
      </c>
      <c r="J215" s="1027">
        <f t="shared" si="48"/>
        <v>9</v>
      </c>
      <c r="K215" s="1027">
        <f t="shared" si="48"/>
        <v>9</v>
      </c>
      <c r="L215" s="1027">
        <f t="shared" si="48"/>
        <v>9</v>
      </c>
      <c r="M215" s="1027">
        <f t="shared" si="48"/>
        <v>9</v>
      </c>
      <c r="N215" s="1027">
        <f t="shared" si="48"/>
        <v>9</v>
      </c>
      <c r="O215" s="1027">
        <f t="shared" si="48"/>
        <v>0</v>
      </c>
      <c r="P215" s="1027">
        <f t="shared" si="48"/>
        <v>9</v>
      </c>
      <c r="Q215" s="1027">
        <f t="shared" si="48"/>
        <v>9</v>
      </c>
      <c r="R215" s="1027">
        <f t="shared" si="48"/>
        <v>0</v>
      </c>
      <c r="S215" s="1027">
        <f t="shared" si="48"/>
        <v>0</v>
      </c>
      <c r="T215" s="1027">
        <f t="shared" si="48"/>
        <v>0</v>
      </c>
      <c r="U215" s="1027">
        <f t="shared" si="48"/>
        <v>0</v>
      </c>
      <c r="V215" s="1027">
        <f t="shared" si="48"/>
        <v>0</v>
      </c>
      <c r="W215" s="1027">
        <f t="shared" si="48"/>
        <v>9</v>
      </c>
      <c r="X215" s="1027">
        <f t="shared" si="48"/>
        <v>9</v>
      </c>
      <c r="Y215" s="1027">
        <f t="shared" si="48"/>
        <v>9</v>
      </c>
      <c r="Z215" s="1027">
        <f t="shared" si="48"/>
        <v>0</v>
      </c>
      <c r="AA215" s="1027">
        <f t="shared" si="48"/>
        <v>9</v>
      </c>
      <c r="AB215" s="1027"/>
      <c r="AC215" s="1027"/>
      <c r="AD215" s="1027"/>
      <c r="AE215" s="1027"/>
    </row>
    <row r="216" spans="1:50" s="1106" customFormat="1">
      <c r="A216" s="114"/>
      <c r="B216" s="114"/>
      <c r="C216" s="775" t="s">
        <v>286</v>
      </c>
      <c r="D216" s="1026">
        <f t="shared" ref="D216:AA216" si="49">D214/D215</f>
        <v>1</v>
      </c>
      <c r="E216" s="1026">
        <f t="shared" si="49"/>
        <v>1</v>
      </c>
      <c r="F216" s="1026">
        <f t="shared" si="49"/>
        <v>1</v>
      </c>
      <c r="G216" s="1026">
        <f t="shared" si="49"/>
        <v>1</v>
      </c>
      <c r="H216" s="1026">
        <f t="shared" si="49"/>
        <v>1</v>
      </c>
      <c r="I216" s="1026">
        <f t="shared" si="49"/>
        <v>1</v>
      </c>
      <c r="J216" s="1026">
        <f t="shared" si="49"/>
        <v>1</v>
      </c>
      <c r="K216" s="1026">
        <f t="shared" si="49"/>
        <v>1</v>
      </c>
      <c r="L216" s="1026">
        <f t="shared" si="49"/>
        <v>1</v>
      </c>
      <c r="M216" s="1026">
        <f t="shared" si="49"/>
        <v>1</v>
      </c>
      <c r="N216" s="1026">
        <f t="shared" si="49"/>
        <v>1</v>
      </c>
      <c r="O216" s="1026" t="e">
        <f t="shared" si="49"/>
        <v>#DIV/0!</v>
      </c>
      <c r="P216" s="1026">
        <f t="shared" si="49"/>
        <v>1</v>
      </c>
      <c r="Q216" s="1026">
        <f t="shared" si="49"/>
        <v>1</v>
      </c>
      <c r="R216" s="1026" t="e">
        <f t="shared" si="49"/>
        <v>#DIV/0!</v>
      </c>
      <c r="S216" s="1026" t="e">
        <f t="shared" si="49"/>
        <v>#DIV/0!</v>
      </c>
      <c r="T216" s="1026" t="e">
        <f t="shared" si="49"/>
        <v>#DIV/0!</v>
      </c>
      <c r="U216" s="1026" t="e">
        <f t="shared" si="49"/>
        <v>#DIV/0!</v>
      </c>
      <c r="V216" s="1026" t="e">
        <f t="shared" si="49"/>
        <v>#DIV/0!</v>
      </c>
      <c r="W216" s="1026">
        <f t="shared" si="49"/>
        <v>1</v>
      </c>
      <c r="X216" s="1026">
        <f t="shared" si="49"/>
        <v>1</v>
      </c>
      <c r="Y216" s="1026">
        <f t="shared" si="49"/>
        <v>1</v>
      </c>
      <c r="Z216" s="1026" t="e">
        <f t="shared" si="49"/>
        <v>#DIV/0!</v>
      </c>
      <c r="AA216" s="1026">
        <f t="shared" si="49"/>
        <v>1</v>
      </c>
      <c r="AB216" s="1026"/>
      <c r="AC216" s="1026"/>
      <c r="AD216" s="1026"/>
      <c r="AE216" s="1026"/>
    </row>
    <row r="217" spans="1:50" s="1096" customFormat="1">
      <c r="A217" s="776"/>
      <c r="B217" s="1090"/>
      <c r="C217" s="1088" t="s">
        <v>296</v>
      </c>
      <c r="D217" s="1059">
        <f>COUNTA(C205:C213)</f>
        <v>9</v>
      </c>
      <c r="E217" s="1091"/>
      <c r="F217" s="1091"/>
      <c r="G217" s="1091"/>
      <c r="H217" s="1091"/>
      <c r="I217" s="1092"/>
      <c r="J217" s="1091"/>
      <c r="K217" s="1093"/>
      <c r="L217" s="776"/>
      <c r="M217" s="776"/>
      <c r="N217" s="776"/>
      <c r="O217" s="776"/>
      <c r="P217" s="776"/>
      <c r="Q217" s="776"/>
      <c r="R217" s="776"/>
      <c r="S217" s="776"/>
      <c r="T217" s="776"/>
      <c r="U217" s="776"/>
      <c r="V217" s="776"/>
      <c r="W217" s="776"/>
      <c r="X217" s="770"/>
      <c r="Y217" s="4"/>
      <c r="Z217" s="4"/>
      <c r="AA217" s="50"/>
      <c r="AB217" s="50"/>
      <c r="AC217" s="50"/>
      <c r="AD217" s="50"/>
      <c r="AE217" s="50"/>
    </row>
    <row r="218" spans="1:50" s="1096" customFormat="1">
      <c r="A218"/>
      <c r="B218" s="11"/>
      <c r="C218"/>
      <c r="D218"/>
      <c r="E218"/>
      <c r="F218"/>
      <c r="G218"/>
      <c r="H218"/>
      <c r="I218"/>
      <c r="J218" s="5"/>
      <c r="K218"/>
      <c r="L218"/>
      <c r="M218" s="61"/>
      <c r="N218" s="70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</row>
    <row r="219" spans="1:50" s="1106" customFormat="1">
      <c r="A219" s="3535" t="s">
        <v>291</v>
      </c>
      <c r="B219" s="3535" t="s">
        <v>301</v>
      </c>
      <c r="C219" s="3535" t="s">
        <v>284</v>
      </c>
      <c r="D219" s="3532" t="s">
        <v>285</v>
      </c>
      <c r="E219" s="3533"/>
      <c r="F219" s="3533"/>
      <c r="G219" s="3533"/>
      <c r="H219" s="3533"/>
      <c r="I219" s="3533"/>
      <c r="J219" s="3533"/>
      <c r="K219" s="3533"/>
      <c r="L219" s="3533"/>
      <c r="M219" s="3533"/>
      <c r="N219" s="3533"/>
      <c r="O219" s="3533"/>
      <c r="P219" s="3533"/>
      <c r="Q219" s="3533"/>
      <c r="R219" s="3533"/>
      <c r="S219" s="3533"/>
      <c r="T219" s="3533"/>
      <c r="U219" s="3533"/>
      <c r="V219" s="3533"/>
      <c r="W219" s="3533"/>
      <c r="X219" s="3534"/>
      <c r="Y219" s="4"/>
      <c r="Z219" s="4"/>
      <c r="AA219" s="4"/>
      <c r="AB219" s="4"/>
      <c r="AC219" s="4"/>
      <c r="AD219" s="4"/>
      <c r="AE219" s="4"/>
    </row>
    <row r="220" spans="1:50" s="1096" customFormat="1">
      <c r="A220" s="3536"/>
      <c r="B220" s="3536"/>
      <c r="C220" s="3536"/>
      <c r="D220" s="3532">
        <v>2011</v>
      </c>
      <c r="E220" s="3533"/>
      <c r="F220" s="3533"/>
      <c r="G220" s="3534"/>
      <c r="H220" s="3532">
        <v>2012</v>
      </c>
      <c r="I220" s="3533"/>
      <c r="J220" s="3533"/>
      <c r="K220" s="3534"/>
      <c r="L220" s="3532">
        <v>2013</v>
      </c>
      <c r="M220" s="3533"/>
      <c r="N220" s="3533"/>
      <c r="O220" s="3534"/>
      <c r="P220" s="3532">
        <v>2014</v>
      </c>
      <c r="Q220" s="3533"/>
      <c r="R220" s="3533"/>
      <c r="S220" s="3534"/>
      <c r="T220" s="3532">
        <v>2015</v>
      </c>
      <c r="U220" s="3533"/>
      <c r="V220" s="3533"/>
      <c r="W220" s="3534"/>
      <c r="X220" s="3532">
        <v>2016</v>
      </c>
      <c r="Y220" s="3533"/>
      <c r="Z220" s="3533"/>
      <c r="AA220" s="3534"/>
      <c r="AB220" s="3532">
        <v>2017</v>
      </c>
      <c r="AC220" s="3533"/>
      <c r="AD220" s="3533"/>
      <c r="AE220" s="3534"/>
    </row>
    <row r="221" spans="1:50" s="1096" customFormat="1">
      <c r="A221" s="3537"/>
      <c r="B221" s="3537"/>
      <c r="C221" s="3537"/>
      <c r="D221" s="1100" t="s">
        <v>2</v>
      </c>
      <c r="E221" s="1100" t="s">
        <v>3</v>
      </c>
      <c r="F221" s="1100" t="s">
        <v>4</v>
      </c>
      <c r="G221" s="1100" t="s">
        <v>5</v>
      </c>
      <c r="H221" s="1100" t="s">
        <v>2</v>
      </c>
      <c r="I221" s="1100" t="s">
        <v>3</v>
      </c>
      <c r="J221" s="1100" t="s">
        <v>4</v>
      </c>
      <c r="K221" s="1100" t="s">
        <v>5</v>
      </c>
      <c r="L221" s="1100" t="s">
        <v>2</v>
      </c>
      <c r="M221" s="1100" t="s">
        <v>3</v>
      </c>
      <c r="N221" s="1100" t="s">
        <v>4</v>
      </c>
      <c r="O221" s="1100" t="s">
        <v>5</v>
      </c>
      <c r="P221" s="1100" t="s">
        <v>2</v>
      </c>
      <c r="Q221" s="1100" t="s">
        <v>3</v>
      </c>
      <c r="R221" s="1100" t="s">
        <v>4</v>
      </c>
      <c r="S221" s="1100" t="s">
        <v>5</v>
      </c>
      <c r="T221" s="1100" t="s">
        <v>2</v>
      </c>
      <c r="U221" s="1100" t="s">
        <v>3</v>
      </c>
      <c r="V221" s="1100" t="s">
        <v>4</v>
      </c>
      <c r="W221" s="1100" t="s">
        <v>5</v>
      </c>
      <c r="X221" s="1100" t="s">
        <v>2</v>
      </c>
      <c r="Y221" s="1100" t="s">
        <v>3</v>
      </c>
      <c r="Z221" s="1100" t="s">
        <v>4</v>
      </c>
      <c r="AA221" s="1100" t="s">
        <v>5</v>
      </c>
      <c r="AB221" s="1100" t="s">
        <v>2</v>
      </c>
      <c r="AC221" s="1100" t="s">
        <v>3</v>
      </c>
      <c r="AD221" s="1100" t="s">
        <v>4</v>
      </c>
      <c r="AE221" s="1100" t="s">
        <v>5</v>
      </c>
    </row>
    <row r="222" spans="1:50" s="1106" customFormat="1">
      <c r="A222" s="3569" t="s">
        <v>125</v>
      </c>
      <c r="B222" s="3581" t="s">
        <v>16</v>
      </c>
      <c r="C222" s="3535">
        <f>COUNTA(A13:A16)</f>
        <v>4</v>
      </c>
      <c r="D222" s="1556">
        <f>COUNTIF(D13:D16,"&lt;=10")</f>
        <v>4</v>
      </c>
      <c r="E222" s="1556">
        <f t="shared" ref="E222:X222" si="50">COUNTIF(E13:E16,"&lt;=10")</f>
        <v>4</v>
      </c>
      <c r="F222" s="1556">
        <f t="shared" si="50"/>
        <v>4</v>
      </c>
      <c r="G222" s="1556">
        <f t="shared" si="50"/>
        <v>4</v>
      </c>
      <c r="H222" s="1556">
        <f t="shared" si="50"/>
        <v>4</v>
      </c>
      <c r="I222" s="1556">
        <f t="shared" si="50"/>
        <v>4</v>
      </c>
      <c r="J222" s="1556">
        <f t="shared" si="50"/>
        <v>4</v>
      </c>
      <c r="K222" s="1556">
        <f t="shared" si="50"/>
        <v>4</v>
      </c>
      <c r="L222" s="1556">
        <f t="shared" si="50"/>
        <v>4</v>
      </c>
      <c r="M222" s="1556">
        <f t="shared" si="50"/>
        <v>4</v>
      </c>
      <c r="N222" s="1868">
        <f t="shared" si="50"/>
        <v>4</v>
      </c>
      <c r="O222" s="1556">
        <f t="shared" si="50"/>
        <v>2</v>
      </c>
      <c r="P222" s="1556">
        <f t="shared" si="50"/>
        <v>4</v>
      </c>
      <c r="Q222" s="1556">
        <f t="shared" si="50"/>
        <v>3</v>
      </c>
      <c r="R222" s="1556">
        <f t="shared" si="50"/>
        <v>4</v>
      </c>
      <c r="S222" s="1556">
        <f t="shared" si="50"/>
        <v>4</v>
      </c>
      <c r="T222" s="3001">
        <f t="shared" ref="T222:W222" si="51">COUNTIF(T13:T16,"&lt;=10")</f>
        <v>0</v>
      </c>
      <c r="U222" s="3001">
        <f t="shared" si="51"/>
        <v>0</v>
      </c>
      <c r="V222" s="3001">
        <f t="shared" si="51"/>
        <v>0</v>
      </c>
      <c r="W222" s="3001">
        <f t="shared" si="51"/>
        <v>4</v>
      </c>
      <c r="X222" s="1556">
        <f t="shared" si="50"/>
        <v>3</v>
      </c>
      <c r="Y222" s="3264">
        <f t="shared" ref="Y222:AA222" si="52">COUNTIF(Y13:Y16,"&lt;=10")</f>
        <v>3</v>
      </c>
      <c r="Z222" s="3264">
        <f t="shared" si="52"/>
        <v>2</v>
      </c>
      <c r="AA222" s="3264">
        <f t="shared" si="52"/>
        <v>3</v>
      </c>
      <c r="AB222" s="3499"/>
      <c r="AC222" s="3499"/>
      <c r="AD222" s="3499"/>
      <c r="AE222" s="3499"/>
    </row>
    <row r="223" spans="1:50" s="1096" customFormat="1">
      <c r="A223" s="3570"/>
      <c r="B223" s="3582"/>
      <c r="C223" s="3536"/>
      <c r="D223" s="1558">
        <f>COUNT(D13:D16)</f>
        <v>4</v>
      </c>
      <c r="E223" s="1558">
        <f t="shared" ref="E223:X223" si="53">COUNT(E13:E16)</f>
        <v>4</v>
      </c>
      <c r="F223" s="1558">
        <f t="shared" si="53"/>
        <v>4</v>
      </c>
      <c r="G223" s="1558">
        <f t="shared" si="53"/>
        <v>4</v>
      </c>
      <c r="H223" s="1558">
        <f t="shared" si="53"/>
        <v>4</v>
      </c>
      <c r="I223" s="1558">
        <f t="shared" si="53"/>
        <v>4</v>
      </c>
      <c r="J223" s="1558">
        <f t="shared" si="53"/>
        <v>4</v>
      </c>
      <c r="K223" s="1558">
        <f t="shared" si="53"/>
        <v>4</v>
      </c>
      <c r="L223" s="1558">
        <f t="shared" si="53"/>
        <v>4</v>
      </c>
      <c r="M223" s="1558">
        <f t="shared" si="53"/>
        <v>4</v>
      </c>
      <c r="N223" s="1869">
        <f t="shared" si="53"/>
        <v>4</v>
      </c>
      <c r="O223" s="1558">
        <f t="shared" si="53"/>
        <v>4</v>
      </c>
      <c r="P223" s="1558">
        <f t="shared" si="53"/>
        <v>4</v>
      </c>
      <c r="Q223" s="1558">
        <f t="shared" si="53"/>
        <v>4</v>
      </c>
      <c r="R223" s="1558">
        <f t="shared" si="53"/>
        <v>4</v>
      </c>
      <c r="S223" s="1558">
        <f t="shared" si="53"/>
        <v>4</v>
      </c>
      <c r="T223" s="3002">
        <f t="shared" ref="T223:W223" si="54">COUNT(T13:T16)</f>
        <v>0</v>
      </c>
      <c r="U223" s="3002">
        <f t="shared" si="54"/>
        <v>0</v>
      </c>
      <c r="V223" s="3002">
        <f t="shared" si="54"/>
        <v>0</v>
      </c>
      <c r="W223" s="3002">
        <f t="shared" si="54"/>
        <v>4</v>
      </c>
      <c r="X223" s="1558">
        <f t="shared" si="53"/>
        <v>3</v>
      </c>
      <c r="Y223" s="3265">
        <f t="shared" ref="Y223:AA223" si="55">COUNT(Y13:Y16)</f>
        <v>3</v>
      </c>
      <c r="Z223" s="3265">
        <f t="shared" si="55"/>
        <v>3</v>
      </c>
      <c r="AA223" s="3265">
        <f t="shared" si="55"/>
        <v>3</v>
      </c>
      <c r="AB223" s="3499"/>
      <c r="AC223" s="3499"/>
      <c r="AD223" s="3499"/>
      <c r="AE223" s="3499"/>
    </row>
    <row r="224" spans="1:50" s="1096" customFormat="1">
      <c r="A224" s="3570"/>
      <c r="B224" s="3583"/>
      <c r="C224" s="3537"/>
      <c r="D224" s="1557">
        <f>D222/D223</f>
        <v>1</v>
      </c>
      <c r="E224" s="1557">
        <f t="shared" ref="E224:X224" si="56">E222/E223</f>
        <v>1</v>
      </c>
      <c r="F224" s="1557">
        <f t="shared" si="56"/>
        <v>1</v>
      </c>
      <c r="G224" s="1557">
        <f t="shared" si="56"/>
        <v>1</v>
      </c>
      <c r="H224" s="1557">
        <f t="shared" si="56"/>
        <v>1</v>
      </c>
      <c r="I224" s="1557">
        <f t="shared" si="56"/>
        <v>1</v>
      </c>
      <c r="J224" s="1557">
        <f t="shared" si="56"/>
        <v>1</v>
      </c>
      <c r="K224" s="1557">
        <f t="shared" si="56"/>
        <v>1</v>
      </c>
      <c r="L224" s="1557">
        <f t="shared" si="56"/>
        <v>1</v>
      </c>
      <c r="M224" s="1557">
        <f t="shared" si="56"/>
        <v>1</v>
      </c>
      <c r="N224" s="1557">
        <f t="shared" si="56"/>
        <v>1</v>
      </c>
      <c r="O224" s="1557">
        <f t="shared" si="56"/>
        <v>0.5</v>
      </c>
      <c r="P224" s="1557">
        <f t="shared" si="56"/>
        <v>1</v>
      </c>
      <c r="Q224" s="1557">
        <f t="shared" si="56"/>
        <v>0.75</v>
      </c>
      <c r="R224" s="1557">
        <f t="shared" si="56"/>
        <v>1</v>
      </c>
      <c r="S224" s="1557">
        <f t="shared" si="56"/>
        <v>1</v>
      </c>
      <c r="T224" s="1557" t="e">
        <f t="shared" ref="T224:W224" si="57">T222/T223</f>
        <v>#DIV/0!</v>
      </c>
      <c r="U224" s="1557" t="e">
        <f t="shared" si="57"/>
        <v>#DIV/0!</v>
      </c>
      <c r="V224" s="1557" t="e">
        <f t="shared" si="57"/>
        <v>#DIV/0!</v>
      </c>
      <c r="W224" s="1557">
        <f t="shared" si="57"/>
        <v>1</v>
      </c>
      <c r="X224" s="1557">
        <f t="shared" si="56"/>
        <v>1</v>
      </c>
      <c r="Y224" s="1557">
        <f t="shared" ref="Y224:AA224" si="58">Y222/Y223</f>
        <v>1</v>
      </c>
      <c r="Z224" s="1557">
        <f t="shared" si="58"/>
        <v>0.66666666666666663</v>
      </c>
      <c r="AA224" s="1557">
        <f t="shared" si="58"/>
        <v>1</v>
      </c>
      <c r="AB224" s="3500"/>
      <c r="AC224" s="3500"/>
      <c r="AD224" s="3500"/>
      <c r="AE224" s="3500"/>
    </row>
    <row r="225" spans="1:31" s="1106" customFormat="1">
      <c r="A225" s="3570"/>
      <c r="B225" s="3581" t="s">
        <v>131</v>
      </c>
      <c r="C225" s="3535">
        <f>COUNTA(A17:A19)</f>
        <v>3</v>
      </c>
      <c r="D225" s="1556">
        <f>COUNTIF(D17:D19,"&lt;=10")</f>
        <v>2</v>
      </c>
      <c r="E225" s="1556">
        <f t="shared" ref="E225:X225" si="59">COUNTIF(E17:E19,"&lt;=10")</f>
        <v>3</v>
      </c>
      <c r="F225" s="1556">
        <f t="shared" si="59"/>
        <v>3</v>
      </c>
      <c r="G225" s="1556">
        <f t="shared" si="59"/>
        <v>3</v>
      </c>
      <c r="H225" s="1556">
        <f t="shared" si="59"/>
        <v>1</v>
      </c>
      <c r="I225" s="1556">
        <f t="shared" si="59"/>
        <v>2</v>
      </c>
      <c r="J225" s="1556">
        <f t="shared" si="59"/>
        <v>3</v>
      </c>
      <c r="K225" s="1556">
        <f t="shared" si="59"/>
        <v>0</v>
      </c>
      <c r="L225" s="1556">
        <f t="shared" si="59"/>
        <v>0</v>
      </c>
      <c r="M225" s="1556">
        <f t="shared" si="59"/>
        <v>2</v>
      </c>
      <c r="N225" s="1868">
        <f t="shared" si="59"/>
        <v>3</v>
      </c>
      <c r="O225" s="1556">
        <f t="shared" si="59"/>
        <v>3</v>
      </c>
      <c r="P225" s="1556">
        <f t="shared" si="59"/>
        <v>0</v>
      </c>
      <c r="Q225" s="1556">
        <f t="shared" si="59"/>
        <v>0</v>
      </c>
      <c r="R225" s="1556">
        <f t="shared" si="59"/>
        <v>0</v>
      </c>
      <c r="S225" s="1556">
        <f t="shared" si="59"/>
        <v>0</v>
      </c>
      <c r="T225" s="3001">
        <f t="shared" ref="T225:W225" si="60">COUNTIF(T17:T19,"&lt;=10")</f>
        <v>0</v>
      </c>
      <c r="U225" s="3001">
        <f t="shared" si="60"/>
        <v>0</v>
      </c>
      <c r="V225" s="3001">
        <f t="shared" si="60"/>
        <v>0</v>
      </c>
      <c r="W225" s="3001">
        <f t="shared" si="60"/>
        <v>0</v>
      </c>
      <c r="X225" s="1556">
        <f t="shared" si="59"/>
        <v>0</v>
      </c>
      <c r="Y225" s="3264">
        <f t="shared" ref="Y225:AA225" si="61">COUNTIF(Y17:Y19,"&lt;=10")</f>
        <v>0</v>
      </c>
      <c r="Z225" s="3264">
        <f t="shared" si="61"/>
        <v>1</v>
      </c>
      <c r="AA225" s="3264">
        <f t="shared" si="61"/>
        <v>0</v>
      </c>
      <c r="AB225" s="3499"/>
      <c r="AC225" s="3499"/>
      <c r="AD225" s="3499"/>
      <c r="AE225" s="3499"/>
    </row>
    <row r="226" spans="1:31" s="1096" customFormat="1">
      <c r="A226" s="3570"/>
      <c r="B226" s="3582"/>
      <c r="C226" s="3536"/>
      <c r="D226" s="1558">
        <f>COUNT(D17:D19)</f>
        <v>3</v>
      </c>
      <c r="E226" s="1558">
        <f t="shared" ref="E226:X226" si="62">COUNT(E17:E19)</f>
        <v>3</v>
      </c>
      <c r="F226" s="1558">
        <f t="shared" si="62"/>
        <v>3</v>
      </c>
      <c r="G226" s="1558">
        <f t="shared" si="62"/>
        <v>3</v>
      </c>
      <c r="H226" s="1558">
        <f t="shared" si="62"/>
        <v>3</v>
      </c>
      <c r="I226" s="1558">
        <f t="shared" si="62"/>
        <v>3</v>
      </c>
      <c r="J226" s="1558">
        <f t="shared" si="62"/>
        <v>3</v>
      </c>
      <c r="K226" s="1558">
        <f t="shared" si="62"/>
        <v>3</v>
      </c>
      <c r="L226" s="1558">
        <f t="shared" si="62"/>
        <v>3</v>
      </c>
      <c r="M226" s="1558">
        <f t="shared" si="62"/>
        <v>3</v>
      </c>
      <c r="N226" s="1869">
        <f t="shared" si="62"/>
        <v>3</v>
      </c>
      <c r="O226" s="1558">
        <f t="shared" si="62"/>
        <v>3</v>
      </c>
      <c r="P226" s="1558">
        <f t="shared" si="62"/>
        <v>3</v>
      </c>
      <c r="Q226" s="1558">
        <f t="shared" si="62"/>
        <v>3</v>
      </c>
      <c r="R226" s="1558">
        <f t="shared" si="62"/>
        <v>3</v>
      </c>
      <c r="S226" s="1558">
        <f t="shared" si="62"/>
        <v>3</v>
      </c>
      <c r="T226" s="3002">
        <f t="shared" ref="T226:W226" si="63">COUNT(T17:T19)</f>
        <v>3</v>
      </c>
      <c r="U226" s="3002">
        <f t="shared" si="63"/>
        <v>3</v>
      </c>
      <c r="V226" s="3002">
        <f t="shared" si="63"/>
        <v>3</v>
      </c>
      <c r="W226" s="3002">
        <f t="shared" si="63"/>
        <v>3</v>
      </c>
      <c r="X226" s="1558">
        <f t="shared" si="62"/>
        <v>3</v>
      </c>
      <c r="Y226" s="3265">
        <f t="shared" ref="Y226:AA226" si="64">COUNT(Y17:Y19)</f>
        <v>3</v>
      </c>
      <c r="Z226" s="3265">
        <f t="shared" si="64"/>
        <v>3</v>
      </c>
      <c r="AA226" s="3265">
        <f t="shared" si="64"/>
        <v>3</v>
      </c>
      <c r="AB226" s="3499"/>
      <c r="AC226" s="3499"/>
      <c r="AD226" s="3499"/>
      <c r="AE226" s="3499"/>
    </row>
    <row r="227" spans="1:31" s="1096" customFormat="1">
      <c r="A227" s="3570"/>
      <c r="B227" s="3583"/>
      <c r="C227" s="3537"/>
      <c r="D227" s="1557">
        <f>D225/D226</f>
        <v>0.66666666666666663</v>
      </c>
      <c r="E227" s="1557">
        <f>E225/C225</f>
        <v>1</v>
      </c>
      <c r="F227" s="1557">
        <f>F225/C225</f>
        <v>1</v>
      </c>
      <c r="G227" s="1557">
        <f>G225/C225</f>
        <v>1</v>
      </c>
      <c r="H227" s="1557">
        <f>H225/C225</f>
        <v>0.33333333333333331</v>
      </c>
      <c r="I227" s="1557">
        <f>I225/C225</f>
        <v>0.66666666666666663</v>
      </c>
      <c r="J227" s="1557">
        <f>J225/C225</f>
        <v>1</v>
      </c>
      <c r="K227" s="1557">
        <f>K225/C225</f>
        <v>0</v>
      </c>
      <c r="L227" s="1557">
        <f>L225/C225</f>
        <v>0</v>
      </c>
      <c r="M227" s="1557">
        <f>M225/C225</f>
        <v>0.66666666666666663</v>
      </c>
      <c r="N227" s="1557">
        <f>N225/C225</f>
        <v>1</v>
      </c>
      <c r="O227" s="1557">
        <f>O225/C225</f>
        <v>1</v>
      </c>
      <c r="P227" s="1557">
        <f>P225/C225</f>
        <v>0</v>
      </c>
      <c r="Q227" s="1557">
        <f>Q225/C225</f>
        <v>0</v>
      </c>
      <c r="R227" s="1557">
        <f>R225/C225</f>
        <v>0</v>
      </c>
      <c r="S227" s="1557">
        <f>S225/C225</f>
        <v>0</v>
      </c>
      <c r="T227" s="1557">
        <f t="shared" ref="T227" si="65">T225/E225</f>
        <v>0</v>
      </c>
      <c r="U227" s="1557">
        <f t="shared" ref="U227" si="66">U225/E225</f>
        <v>0</v>
      </c>
      <c r="V227" s="1557">
        <f t="shared" ref="V227" si="67">V225/G225</f>
        <v>0</v>
      </c>
      <c r="W227" s="1557">
        <f t="shared" ref="W227" si="68">W225/G225</f>
        <v>0</v>
      </c>
      <c r="X227" s="1557">
        <f>X225/C225</f>
        <v>0</v>
      </c>
      <c r="Y227" s="1557">
        <f t="shared" ref="Y227:AA227" si="69">Y225/D225</f>
        <v>0</v>
      </c>
      <c r="Z227" s="1557">
        <f t="shared" si="69"/>
        <v>0.33333333333333331</v>
      </c>
      <c r="AA227" s="1557">
        <f t="shared" si="69"/>
        <v>0</v>
      </c>
      <c r="AB227" s="3500"/>
      <c r="AC227" s="3500"/>
      <c r="AD227" s="3500"/>
      <c r="AE227" s="3500"/>
    </row>
    <row r="228" spans="1:31" s="1106" customFormat="1">
      <c r="A228" s="3570"/>
      <c r="B228" s="3581" t="s">
        <v>185</v>
      </c>
      <c r="C228" s="3535">
        <f>COUNTA(A20:A22)</f>
        <v>3</v>
      </c>
      <c r="D228" s="1556">
        <f>COUNTIF(D20:D22,"&lt;=10")</f>
        <v>1</v>
      </c>
      <c r="E228" s="1556">
        <f t="shared" ref="E228:X228" si="70">COUNTIF(E20:E22,"&lt;=10")</f>
        <v>0</v>
      </c>
      <c r="F228" s="1556">
        <f t="shared" si="70"/>
        <v>3</v>
      </c>
      <c r="G228" s="1556">
        <f t="shared" si="70"/>
        <v>3</v>
      </c>
      <c r="H228" s="1556">
        <f t="shared" si="70"/>
        <v>3</v>
      </c>
      <c r="I228" s="1556">
        <f t="shared" si="70"/>
        <v>1</v>
      </c>
      <c r="J228" s="1556">
        <f t="shared" si="70"/>
        <v>3</v>
      </c>
      <c r="K228" s="1556">
        <f t="shared" si="70"/>
        <v>2</v>
      </c>
      <c r="L228" s="1556">
        <f t="shared" si="70"/>
        <v>0</v>
      </c>
      <c r="M228" s="1556">
        <f t="shared" si="70"/>
        <v>0</v>
      </c>
      <c r="N228" s="1868">
        <f t="shared" si="70"/>
        <v>2</v>
      </c>
      <c r="O228" s="1556">
        <f t="shared" si="70"/>
        <v>3</v>
      </c>
      <c r="P228" s="1556">
        <f t="shared" si="70"/>
        <v>0</v>
      </c>
      <c r="Q228" s="1556">
        <f t="shared" si="70"/>
        <v>0</v>
      </c>
      <c r="R228" s="1556">
        <f t="shared" si="70"/>
        <v>0</v>
      </c>
      <c r="S228" s="1556">
        <f t="shared" si="70"/>
        <v>0</v>
      </c>
      <c r="T228" s="3001">
        <f t="shared" ref="T228:W228" si="71">COUNTIF(T20:T22,"&lt;=10")</f>
        <v>0</v>
      </c>
      <c r="U228" s="3001">
        <f t="shared" si="71"/>
        <v>0</v>
      </c>
      <c r="V228" s="3001">
        <f t="shared" si="71"/>
        <v>0</v>
      </c>
      <c r="W228" s="3001">
        <f t="shared" si="71"/>
        <v>0</v>
      </c>
      <c r="X228" s="1556">
        <f t="shared" si="70"/>
        <v>1</v>
      </c>
      <c r="Y228" s="3264">
        <f t="shared" ref="Y228:AA228" si="72">COUNTIF(Y20:Y22,"&lt;=10")</f>
        <v>0</v>
      </c>
      <c r="Z228" s="3264">
        <f t="shared" si="72"/>
        <v>0</v>
      </c>
      <c r="AA228" s="3264">
        <f t="shared" si="72"/>
        <v>0</v>
      </c>
      <c r="AB228" s="3499"/>
      <c r="AC228" s="3499"/>
      <c r="AD228" s="3499"/>
      <c r="AE228" s="3499"/>
    </row>
    <row r="229" spans="1:31" s="1096" customFormat="1">
      <c r="A229" s="3570"/>
      <c r="B229" s="3582"/>
      <c r="C229" s="3536"/>
      <c r="D229" s="1558">
        <f>COUNT(D20:D22)</f>
        <v>3</v>
      </c>
      <c r="E229" s="1558">
        <f t="shared" ref="E229:X229" si="73">COUNT(E20:E22)</f>
        <v>3</v>
      </c>
      <c r="F229" s="1558">
        <f t="shared" si="73"/>
        <v>3</v>
      </c>
      <c r="G229" s="1558">
        <f t="shared" si="73"/>
        <v>3</v>
      </c>
      <c r="H229" s="1558">
        <f t="shared" si="73"/>
        <v>3</v>
      </c>
      <c r="I229" s="1558">
        <f t="shared" si="73"/>
        <v>3</v>
      </c>
      <c r="J229" s="1558">
        <f t="shared" si="73"/>
        <v>3</v>
      </c>
      <c r="K229" s="1558">
        <f t="shared" si="73"/>
        <v>3</v>
      </c>
      <c r="L229" s="1558">
        <f t="shared" si="73"/>
        <v>0</v>
      </c>
      <c r="M229" s="1558">
        <f t="shared" si="73"/>
        <v>3</v>
      </c>
      <c r="N229" s="1869">
        <f t="shared" si="73"/>
        <v>3</v>
      </c>
      <c r="O229" s="1558">
        <f t="shared" si="73"/>
        <v>3</v>
      </c>
      <c r="P229" s="1558">
        <f t="shared" si="73"/>
        <v>0</v>
      </c>
      <c r="Q229" s="1558">
        <f t="shared" si="73"/>
        <v>3</v>
      </c>
      <c r="R229" s="1558">
        <f t="shared" si="73"/>
        <v>3</v>
      </c>
      <c r="S229" s="1558">
        <f t="shared" si="73"/>
        <v>3</v>
      </c>
      <c r="T229" s="3002">
        <f t="shared" ref="T229:W229" si="74">COUNT(T20:T22)</f>
        <v>0</v>
      </c>
      <c r="U229" s="3002">
        <f t="shared" si="74"/>
        <v>0</v>
      </c>
      <c r="V229" s="3002">
        <f t="shared" si="74"/>
        <v>0</v>
      </c>
      <c r="W229" s="3002">
        <f t="shared" si="74"/>
        <v>3</v>
      </c>
      <c r="X229" s="1558">
        <f t="shared" si="73"/>
        <v>3</v>
      </c>
      <c r="Y229" s="3265">
        <f t="shared" ref="Y229:AA229" si="75">COUNT(Y20:Y22)</f>
        <v>3</v>
      </c>
      <c r="Z229" s="3265">
        <f t="shared" si="75"/>
        <v>3</v>
      </c>
      <c r="AA229" s="3265">
        <f t="shared" si="75"/>
        <v>3</v>
      </c>
      <c r="AB229" s="3499"/>
      <c r="AC229" s="3499"/>
      <c r="AD229" s="3499"/>
      <c r="AE229" s="3499"/>
    </row>
    <row r="230" spans="1:31" s="1096" customFormat="1">
      <c r="A230" s="3570"/>
      <c r="B230" s="3583"/>
      <c r="C230" s="3537"/>
      <c r="D230" s="1557">
        <f>D228/D229</f>
        <v>0.33333333333333331</v>
      </c>
      <c r="E230" s="1557">
        <f>E228/C228</f>
        <v>0</v>
      </c>
      <c r="F230" s="1557">
        <f>F228/C228</f>
        <v>1</v>
      </c>
      <c r="G230" s="1557">
        <f>G228/C228</f>
        <v>1</v>
      </c>
      <c r="H230" s="1557">
        <f>H228/C228</f>
        <v>1</v>
      </c>
      <c r="I230" s="1557">
        <f>I228/C228</f>
        <v>0.33333333333333331</v>
      </c>
      <c r="J230" s="1557">
        <f>J228/C228</f>
        <v>1</v>
      </c>
      <c r="K230" s="1557">
        <f>K228/C228</f>
        <v>0.66666666666666663</v>
      </c>
      <c r="L230" s="1557">
        <f>L228/C228</f>
        <v>0</v>
      </c>
      <c r="M230" s="1557">
        <f>M228/C228</f>
        <v>0</v>
      </c>
      <c r="N230" s="1557">
        <f>N228/C228</f>
        <v>0.66666666666666663</v>
      </c>
      <c r="O230" s="1557">
        <f>O228/C228</f>
        <v>1</v>
      </c>
      <c r="P230" s="1557">
        <f>P228/C228</f>
        <v>0</v>
      </c>
      <c r="Q230" s="1557">
        <f>Q228/C228</f>
        <v>0</v>
      </c>
      <c r="R230" s="1557">
        <f>R228/C228</f>
        <v>0</v>
      </c>
      <c r="S230" s="1557">
        <f>S228/C228</f>
        <v>0</v>
      </c>
      <c r="T230" s="1557" t="e">
        <f t="shared" ref="T230" si="76">T228/E228</f>
        <v>#DIV/0!</v>
      </c>
      <c r="U230" s="1557" t="e">
        <f t="shared" ref="U230" si="77">U228/E228</f>
        <v>#DIV/0!</v>
      </c>
      <c r="V230" s="1557">
        <f t="shared" ref="V230" si="78">V228/G228</f>
        <v>0</v>
      </c>
      <c r="W230" s="1557">
        <f t="shared" ref="W230" si="79">W228/G228</f>
        <v>0</v>
      </c>
      <c r="X230" s="1557">
        <f>X228/C228</f>
        <v>0.33333333333333331</v>
      </c>
      <c r="Y230" s="1557">
        <f t="shared" ref="Y230:AA230" si="80">Y228/D228</f>
        <v>0</v>
      </c>
      <c r="Z230" s="1557" t="e">
        <f t="shared" si="80"/>
        <v>#DIV/0!</v>
      </c>
      <c r="AA230" s="1557">
        <f t="shared" si="80"/>
        <v>0</v>
      </c>
      <c r="AB230" s="3500"/>
      <c r="AC230" s="3500"/>
      <c r="AD230" s="3500"/>
      <c r="AE230" s="3500"/>
    </row>
    <row r="231" spans="1:31" s="1106" customFormat="1">
      <c r="A231" s="3570"/>
      <c r="B231" s="3581" t="s">
        <v>132</v>
      </c>
      <c r="C231" s="3535">
        <f>COUNTA(A23:A27)</f>
        <v>5</v>
      </c>
      <c r="D231" s="1556">
        <f>COUNTIF(D23:D27,"&lt;=10")</f>
        <v>0</v>
      </c>
      <c r="E231" s="1556">
        <f t="shared" ref="E231:X231" si="81">COUNTIF(E23:E27,"&lt;=10")</f>
        <v>1</v>
      </c>
      <c r="F231" s="1556">
        <f t="shared" si="81"/>
        <v>4</v>
      </c>
      <c r="G231" s="1556">
        <f t="shared" si="81"/>
        <v>2</v>
      </c>
      <c r="H231" s="1556">
        <f t="shared" si="81"/>
        <v>0</v>
      </c>
      <c r="I231" s="1556">
        <f t="shared" si="81"/>
        <v>0</v>
      </c>
      <c r="J231" s="1556">
        <f t="shared" si="81"/>
        <v>0</v>
      </c>
      <c r="K231" s="1556">
        <f t="shared" si="81"/>
        <v>0</v>
      </c>
      <c r="L231" s="1556">
        <f t="shared" si="81"/>
        <v>0</v>
      </c>
      <c r="M231" s="1556">
        <f t="shared" si="81"/>
        <v>0</v>
      </c>
      <c r="N231" s="1868">
        <f t="shared" si="81"/>
        <v>5</v>
      </c>
      <c r="O231" s="1556">
        <f t="shared" si="81"/>
        <v>3</v>
      </c>
      <c r="P231" s="1556">
        <f t="shared" si="81"/>
        <v>0</v>
      </c>
      <c r="Q231" s="1556">
        <f t="shared" si="81"/>
        <v>1</v>
      </c>
      <c r="R231" s="1556">
        <f t="shared" si="81"/>
        <v>2</v>
      </c>
      <c r="S231" s="1556">
        <f t="shared" si="81"/>
        <v>0</v>
      </c>
      <c r="T231" s="3001">
        <f t="shared" ref="T231:W231" si="82">COUNTIF(T23:T27,"&lt;=10")</f>
        <v>0</v>
      </c>
      <c r="U231" s="3001">
        <f t="shared" si="82"/>
        <v>0</v>
      </c>
      <c r="V231" s="3001">
        <f t="shared" si="82"/>
        <v>0</v>
      </c>
      <c r="W231" s="3001">
        <f t="shared" si="82"/>
        <v>0</v>
      </c>
      <c r="X231" s="1556">
        <f t="shared" si="81"/>
        <v>0</v>
      </c>
      <c r="Y231" s="3264">
        <f t="shared" ref="Y231:AA231" si="83">COUNTIF(Y23:Y27,"&lt;=10")</f>
        <v>0</v>
      </c>
      <c r="Z231" s="3264">
        <f t="shared" si="83"/>
        <v>0</v>
      </c>
      <c r="AA231" s="3264">
        <f t="shared" si="83"/>
        <v>0</v>
      </c>
      <c r="AB231" s="3499"/>
      <c r="AC231" s="3499"/>
      <c r="AD231" s="3499"/>
      <c r="AE231" s="3499"/>
    </row>
    <row r="232" spans="1:31" s="1096" customFormat="1">
      <c r="A232" s="3570"/>
      <c r="B232" s="3582"/>
      <c r="C232" s="3536"/>
      <c r="D232" s="1558">
        <f>COUNT(D23:D27)</f>
        <v>5</v>
      </c>
      <c r="E232" s="1558">
        <f t="shared" ref="E232:X232" si="84">COUNT(E23:E27)</f>
        <v>5</v>
      </c>
      <c r="F232" s="1558">
        <f t="shared" si="84"/>
        <v>5</v>
      </c>
      <c r="G232" s="1558">
        <f t="shared" si="84"/>
        <v>5</v>
      </c>
      <c r="H232" s="1558">
        <f t="shared" si="84"/>
        <v>5</v>
      </c>
      <c r="I232" s="1558">
        <f t="shared" si="84"/>
        <v>5</v>
      </c>
      <c r="J232" s="1558">
        <f t="shared" si="84"/>
        <v>5</v>
      </c>
      <c r="K232" s="1558">
        <f t="shared" si="84"/>
        <v>5</v>
      </c>
      <c r="L232" s="1558">
        <f t="shared" si="84"/>
        <v>5</v>
      </c>
      <c r="M232" s="1558">
        <f t="shared" si="84"/>
        <v>5</v>
      </c>
      <c r="N232" s="1869">
        <f t="shared" si="84"/>
        <v>5</v>
      </c>
      <c r="O232" s="1558">
        <f t="shared" si="84"/>
        <v>5</v>
      </c>
      <c r="P232" s="1558">
        <f t="shared" si="84"/>
        <v>5</v>
      </c>
      <c r="Q232" s="1558">
        <f t="shared" si="84"/>
        <v>5</v>
      </c>
      <c r="R232" s="1558">
        <f t="shared" si="84"/>
        <v>5</v>
      </c>
      <c r="S232" s="1558">
        <f t="shared" si="84"/>
        <v>5</v>
      </c>
      <c r="T232" s="3002">
        <f t="shared" ref="T232:W232" si="85">COUNT(T23:T27)</f>
        <v>5</v>
      </c>
      <c r="U232" s="3002">
        <f t="shared" si="85"/>
        <v>5</v>
      </c>
      <c r="V232" s="3002">
        <f t="shared" si="85"/>
        <v>5</v>
      </c>
      <c r="W232" s="3002">
        <f t="shared" si="85"/>
        <v>5</v>
      </c>
      <c r="X232" s="1558">
        <f t="shared" si="84"/>
        <v>5</v>
      </c>
      <c r="Y232" s="3265">
        <f t="shared" ref="Y232:AA232" si="86">COUNT(Y23:Y27)</f>
        <v>5</v>
      </c>
      <c r="Z232" s="3265">
        <f t="shared" si="86"/>
        <v>5</v>
      </c>
      <c r="AA232" s="3265">
        <f t="shared" si="86"/>
        <v>5</v>
      </c>
      <c r="AB232" s="3499"/>
      <c r="AC232" s="3499"/>
      <c r="AD232" s="3499"/>
      <c r="AE232" s="3499"/>
    </row>
    <row r="233" spans="1:31" s="1096" customFormat="1">
      <c r="A233" s="3570"/>
      <c r="B233" s="3583"/>
      <c r="C233" s="3537"/>
      <c r="D233" s="1557">
        <f>D231/D232</f>
        <v>0</v>
      </c>
      <c r="E233" s="1557">
        <f>E231/C231</f>
        <v>0.2</v>
      </c>
      <c r="F233" s="1557">
        <f>F231/C231</f>
        <v>0.8</v>
      </c>
      <c r="G233" s="1557">
        <f>G231/C231</f>
        <v>0.4</v>
      </c>
      <c r="H233" s="1557">
        <f>H231/C231</f>
        <v>0</v>
      </c>
      <c r="I233" s="1557">
        <f>I231/C231</f>
        <v>0</v>
      </c>
      <c r="J233" s="1557">
        <f>J231/C231</f>
        <v>0</v>
      </c>
      <c r="K233" s="1557">
        <f>K231/C231</f>
        <v>0</v>
      </c>
      <c r="L233" s="1557">
        <f>L231/C231</f>
        <v>0</v>
      </c>
      <c r="M233" s="1557">
        <f>M231/C231</f>
        <v>0</v>
      </c>
      <c r="N233" s="1557">
        <f>N231/C231</f>
        <v>1</v>
      </c>
      <c r="O233" s="1557">
        <f>O231/C231</f>
        <v>0.6</v>
      </c>
      <c r="P233" s="1557">
        <f>P231/C231</f>
        <v>0</v>
      </c>
      <c r="Q233" s="1557">
        <f>Q231/C231</f>
        <v>0.2</v>
      </c>
      <c r="R233" s="1557">
        <f>R231/C231</f>
        <v>0.4</v>
      </c>
      <c r="S233" s="1557">
        <f>S231/C231</f>
        <v>0</v>
      </c>
      <c r="T233" s="1557">
        <f t="shared" ref="T233" si="87">T231/E231</f>
        <v>0</v>
      </c>
      <c r="U233" s="1557">
        <f t="shared" ref="U233" si="88">U231/E231</f>
        <v>0</v>
      </c>
      <c r="V233" s="1557">
        <f t="shared" ref="V233" si="89">V231/G231</f>
        <v>0</v>
      </c>
      <c r="W233" s="1557">
        <f t="shared" ref="W233" si="90">W231/G231</f>
        <v>0</v>
      </c>
      <c r="X233" s="1557">
        <f>X231/C231</f>
        <v>0</v>
      </c>
      <c r="Y233" s="1557" t="e">
        <f t="shared" ref="Y233:AA233" si="91">Y231/D231</f>
        <v>#DIV/0!</v>
      </c>
      <c r="Z233" s="1557">
        <f t="shared" si="91"/>
        <v>0</v>
      </c>
      <c r="AA233" s="1557">
        <f t="shared" si="91"/>
        <v>0</v>
      </c>
      <c r="AB233" s="3500"/>
      <c r="AC233" s="3500"/>
      <c r="AD233" s="3500"/>
      <c r="AE233" s="3500"/>
    </row>
    <row r="234" spans="1:31" s="1106" customFormat="1">
      <c r="A234" s="3570"/>
      <c r="B234" s="3581" t="s">
        <v>63</v>
      </c>
      <c r="C234" s="3535">
        <f>COUNTA(A28:A32)</f>
        <v>5</v>
      </c>
      <c r="D234" s="1556">
        <f>COUNTIF(D28:D32,"&lt;=10")</f>
        <v>0</v>
      </c>
      <c r="E234" s="1556">
        <f t="shared" ref="E234:X234" si="92">COUNTIF(E28:E32,"&lt;=10")</f>
        <v>0</v>
      </c>
      <c r="F234" s="1556">
        <f t="shared" si="92"/>
        <v>1</v>
      </c>
      <c r="G234" s="1556">
        <f t="shared" si="92"/>
        <v>0</v>
      </c>
      <c r="H234" s="1556">
        <f t="shared" si="92"/>
        <v>0</v>
      </c>
      <c r="I234" s="1556">
        <f t="shared" si="92"/>
        <v>0</v>
      </c>
      <c r="J234" s="1556">
        <f t="shared" si="92"/>
        <v>0</v>
      </c>
      <c r="K234" s="1556">
        <f t="shared" si="92"/>
        <v>0</v>
      </c>
      <c r="L234" s="1556">
        <f t="shared" si="92"/>
        <v>0</v>
      </c>
      <c r="M234" s="1556">
        <f t="shared" si="92"/>
        <v>0</v>
      </c>
      <c r="N234" s="1868">
        <f t="shared" si="92"/>
        <v>2</v>
      </c>
      <c r="O234" s="1556">
        <f t="shared" si="92"/>
        <v>0</v>
      </c>
      <c r="P234" s="1556">
        <f t="shared" si="92"/>
        <v>0</v>
      </c>
      <c r="Q234" s="1556">
        <f t="shared" si="92"/>
        <v>0</v>
      </c>
      <c r="R234" s="1556">
        <f t="shared" si="92"/>
        <v>0</v>
      </c>
      <c r="S234" s="1556">
        <f t="shared" si="92"/>
        <v>0</v>
      </c>
      <c r="T234" s="3001">
        <f t="shared" ref="T234:W234" si="93">COUNTIF(T28:T32,"&lt;=10")</f>
        <v>0</v>
      </c>
      <c r="U234" s="3001">
        <f t="shared" si="93"/>
        <v>0</v>
      </c>
      <c r="V234" s="3001">
        <f t="shared" si="93"/>
        <v>0</v>
      </c>
      <c r="W234" s="3001">
        <f t="shared" si="93"/>
        <v>0</v>
      </c>
      <c r="X234" s="1556">
        <f t="shared" si="92"/>
        <v>0</v>
      </c>
      <c r="Y234" s="3264">
        <f t="shared" ref="Y234:AA234" si="94">COUNTIF(Y28:Y32,"&lt;=10")</f>
        <v>0</v>
      </c>
      <c r="Z234" s="3264">
        <f t="shared" si="94"/>
        <v>0</v>
      </c>
      <c r="AA234" s="3264">
        <f t="shared" si="94"/>
        <v>0</v>
      </c>
      <c r="AB234" s="3499"/>
      <c r="AC234" s="3499"/>
      <c r="AD234" s="3499"/>
      <c r="AE234" s="3499"/>
    </row>
    <row r="235" spans="1:31" s="1096" customFormat="1">
      <c r="A235" s="3570"/>
      <c r="B235" s="3582"/>
      <c r="C235" s="3536"/>
      <c r="D235" s="1558">
        <f>COUNT(D28:D32)</f>
        <v>5</v>
      </c>
      <c r="E235" s="1558">
        <f t="shared" ref="E235:X235" si="95">COUNT(E28:E32)</f>
        <v>5</v>
      </c>
      <c r="F235" s="1558">
        <f t="shared" si="95"/>
        <v>5</v>
      </c>
      <c r="G235" s="1558">
        <f t="shared" si="95"/>
        <v>5</v>
      </c>
      <c r="H235" s="1558">
        <f t="shared" si="95"/>
        <v>5</v>
      </c>
      <c r="I235" s="1558">
        <f t="shared" si="95"/>
        <v>5</v>
      </c>
      <c r="J235" s="1558">
        <f t="shared" si="95"/>
        <v>5</v>
      </c>
      <c r="K235" s="1558">
        <f t="shared" si="95"/>
        <v>5</v>
      </c>
      <c r="L235" s="1558">
        <f t="shared" si="95"/>
        <v>5</v>
      </c>
      <c r="M235" s="1558">
        <f t="shared" si="95"/>
        <v>5</v>
      </c>
      <c r="N235" s="1869">
        <f t="shared" si="95"/>
        <v>5</v>
      </c>
      <c r="O235" s="1558">
        <f t="shared" si="95"/>
        <v>5</v>
      </c>
      <c r="P235" s="1558">
        <f t="shared" si="95"/>
        <v>5</v>
      </c>
      <c r="Q235" s="1558">
        <f t="shared" si="95"/>
        <v>5</v>
      </c>
      <c r="R235" s="1558">
        <f t="shared" si="95"/>
        <v>5</v>
      </c>
      <c r="S235" s="1558">
        <f t="shared" si="95"/>
        <v>5</v>
      </c>
      <c r="T235" s="3002">
        <f t="shared" ref="T235:W235" si="96">COUNT(T28:T32)</f>
        <v>5</v>
      </c>
      <c r="U235" s="3002">
        <f t="shared" si="96"/>
        <v>5</v>
      </c>
      <c r="V235" s="3002">
        <f t="shared" si="96"/>
        <v>5</v>
      </c>
      <c r="W235" s="3002">
        <f t="shared" si="96"/>
        <v>5</v>
      </c>
      <c r="X235" s="1558">
        <f t="shared" si="95"/>
        <v>5</v>
      </c>
      <c r="Y235" s="3265">
        <f t="shared" ref="Y235:AA235" si="97">COUNT(Y28:Y32)</f>
        <v>5</v>
      </c>
      <c r="Z235" s="3265">
        <f t="shared" si="97"/>
        <v>5</v>
      </c>
      <c r="AA235" s="3265">
        <f t="shared" si="97"/>
        <v>5</v>
      </c>
      <c r="AB235" s="3499"/>
      <c r="AC235" s="3499"/>
      <c r="AD235" s="3499"/>
      <c r="AE235" s="3499"/>
    </row>
    <row r="236" spans="1:31" s="1096" customFormat="1">
      <c r="A236" s="3570"/>
      <c r="B236" s="3583"/>
      <c r="C236" s="3537"/>
      <c r="D236" s="1557">
        <f>D234/D235</f>
        <v>0</v>
      </c>
      <c r="E236" s="1557">
        <f>E234/C234</f>
        <v>0</v>
      </c>
      <c r="F236" s="1557">
        <f>F234/C234</f>
        <v>0.2</v>
      </c>
      <c r="G236" s="1557">
        <f>G234/C234</f>
        <v>0</v>
      </c>
      <c r="H236" s="1557">
        <f>H234/C234</f>
        <v>0</v>
      </c>
      <c r="I236" s="1557">
        <f>I234/C234</f>
        <v>0</v>
      </c>
      <c r="J236" s="1557">
        <f>J234/C234</f>
        <v>0</v>
      </c>
      <c r="K236" s="1557">
        <f>K234/C234</f>
        <v>0</v>
      </c>
      <c r="L236" s="1557">
        <f>L234/C234</f>
        <v>0</v>
      </c>
      <c r="M236" s="1557">
        <f>M234/C234</f>
        <v>0</v>
      </c>
      <c r="N236" s="1557">
        <f>N234/C234</f>
        <v>0.4</v>
      </c>
      <c r="O236" s="1557">
        <f>O234/C234</f>
        <v>0</v>
      </c>
      <c r="P236" s="1557">
        <f>P234/C234</f>
        <v>0</v>
      </c>
      <c r="Q236" s="1557">
        <f>Q234/C234</f>
        <v>0</v>
      </c>
      <c r="R236" s="1557">
        <f>R234/C234</f>
        <v>0</v>
      </c>
      <c r="S236" s="1557">
        <f>S234/C234</f>
        <v>0</v>
      </c>
      <c r="T236" s="1557" t="e">
        <f t="shared" ref="T236" si="98">T234/E234</f>
        <v>#DIV/0!</v>
      </c>
      <c r="U236" s="1557" t="e">
        <f t="shared" ref="U236" si="99">U234/E234</f>
        <v>#DIV/0!</v>
      </c>
      <c r="V236" s="1557" t="e">
        <f t="shared" ref="V236" si="100">V234/G234</f>
        <v>#DIV/0!</v>
      </c>
      <c r="W236" s="1557" t="e">
        <f t="shared" ref="W236" si="101">W234/G234</f>
        <v>#DIV/0!</v>
      </c>
      <c r="X236" s="1557">
        <f>X234/C234</f>
        <v>0</v>
      </c>
      <c r="Y236" s="1557" t="e">
        <f t="shared" ref="Y236:AA236" si="102">Y234/D234</f>
        <v>#DIV/0!</v>
      </c>
      <c r="Z236" s="1557" t="e">
        <f t="shared" si="102"/>
        <v>#DIV/0!</v>
      </c>
      <c r="AA236" s="1557">
        <f t="shared" si="102"/>
        <v>0</v>
      </c>
      <c r="AB236" s="3500"/>
      <c r="AC236" s="3500"/>
      <c r="AD236" s="3500"/>
      <c r="AE236" s="3500"/>
    </row>
    <row r="237" spans="1:31" s="1106" customFormat="1">
      <c r="A237" s="3570"/>
      <c r="B237" s="3581" t="s">
        <v>23</v>
      </c>
      <c r="C237" s="3535">
        <f>COUNTA(A33:A35)</f>
        <v>3</v>
      </c>
      <c r="D237" s="1556">
        <f>COUNTIF(D33:D35,"&lt;=10")</f>
        <v>0</v>
      </c>
      <c r="E237" s="1556">
        <f t="shared" ref="E237:X237" si="103">COUNTIF(E33:E35,"&lt;=10")</f>
        <v>1</v>
      </c>
      <c r="F237" s="1556">
        <f t="shared" si="103"/>
        <v>1</v>
      </c>
      <c r="G237" s="1556">
        <f t="shared" si="103"/>
        <v>0</v>
      </c>
      <c r="H237" s="1556">
        <f t="shared" si="103"/>
        <v>1</v>
      </c>
      <c r="I237" s="1556">
        <f t="shared" si="103"/>
        <v>0</v>
      </c>
      <c r="J237" s="1556">
        <f t="shared" si="103"/>
        <v>3</v>
      </c>
      <c r="K237" s="1556">
        <f t="shared" si="103"/>
        <v>3</v>
      </c>
      <c r="L237" s="1556">
        <f t="shared" si="103"/>
        <v>0</v>
      </c>
      <c r="M237" s="1556">
        <f t="shared" si="103"/>
        <v>1</v>
      </c>
      <c r="N237" s="1868">
        <f t="shared" si="103"/>
        <v>2</v>
      </c>
      <c r="O237" s="1556">
        <f t="shared" si="103"/>
        <v>2</v>
      </c>
      <c r="P237" s="1556">
        <f t="shared" si="103"/>
        <v>2</v>
      </c>
      <c r="Q237" s="1556">
        <f t="shared" si="103"/>
        <v>2</v>
      </c>
      <c r="R237" s="1556">
        <f t="shared" si="103"/>
        <v>0</v>
      </c>
      <c r="S237" s="1556">
        <f t="shared" si="103"/>
        <v>0</v>
      </c>
      <c r="T237" s="3001">
        <f t="shared" ref="T237:W237" si="104">COUNTIF(T33:T35,"&lt;=10")</f>
        <v>0</v>
      </c>
      <c r="U237" s="3001">
        <f t="shared" si="104"/>
        <v>0</v>
      </c>
      <c r="V237" s="3001">
        <f t="shared" si="104"/>
        <v>0</v>
      </c>
      <c r="W237" s="3001">
        <f t="shared" si="104"/>
        <v>0</v>
      </c>
      <c r="X237" s="1556">
        <f t="shared" si="103"/>
        <v>0</v>
      </c>
      <c r="Y237" s="3264">
        <f t="shared" ref="Y237:AA237" si="105">COUNTIF(Y33:Y35,"&lt;=10")</f>
        <v>0</v>
      </c>
      <c r="Z237" s="3264">
        <f t="shared" si="105"/>
        <v>0</v>
      </c>
      <c r="AA237" s="3264">
        <f t="shared" si="105"/>
        <v>0</v>
      </c>
      <c r="AB237" s="3499"/>
      <c r="AC237" s="3499"/>
      <c r="AD237" s="3499"/>
      <c r="AE237" s="3499"/>
    </row>
    <row r="238" spans="1:31" s="1096" customFormat="1">
      <c r="A238" s="3570"/>
      <c r="B238" s="3582"/>
      <c r="C238" s="3536"/>
      <c r="D238" s="1558">
        <f>COUNT(D33:D35)</f>
        <v>3</v>
      </c>
      <c r="E238" s="1558">
        <f t="shared" ref="E238:X238" si="106">COUNT(E33:E35)</f>
        <v>2</v>
      </c>
      <c r="F238" s="1558">
        <f t="shared" si="106"/>
        <v>3</v>
      </c>
      <c r="G238" s="1558">
        <f t="shared" si="106"/>
        <v>3</v>
      </c>
      <c r="H238" s="1558">
        <f t="shared" si="106"/>
        <v>3</v>
      </c>
      <c r="I238" s="1558">
        <f t="shared" si="106"/>
        <v>3</v>
      </c>
      <c r="J238" s="1558">
        <f t="shared" si="106"/>
        <v>3</v>
      </c>
      <c r="K238" s="1558">
        <f t="shared" si="106"/>
        <v>3</v>
      </c>
      <c r="L238" s="1558">
        <f t="shared" si="106"/>
        <v>3</v>
      </c>
      <c r="M238" s="1558">
        <f t="shared" si="106"/>
        <v>3</v>
      </c>
      <c r="N238" s="1869">
        <f t="shared" si="106"/>
        <v>3</v>
      </c>
      <c r="O238" s="1558">
        <f t="shared" si="106"/>
        <v>3</v>
      </c>
      <c r="P238" s="1558">
        <f t="shared" si="106"/>
        <v>3</v>
      </c>
      <c r="Q238" s="1558">
        <f t="shared" si="106"/>
        <v>3</v>
      </c>
      <c r="R238" s="1558">
        <f t="shared" si="106"/>
        <v>3</v>
      </c>
      <c r="S238" s="1558">
        <f t="shared" si="106"/>
        <v>3</v>
      </c>
      <c r="T238" s="3002">
        <f t="shared" ref="T238:W238" si="107">COUNT(T33:T35)</f>
        <v>0</v>
      </c>
      <c r="U238" s="3002">
        <f t="shared" si="107"/>
        <v>0</v>
      </c>
      <c r="V238" s="3002">
        <f t="shared" si="107"/>
        <v>0</v>
      </c>
      <c r="W238" s="3002">
        <f t="shared" si="107"/>
        <v>3</v>
      </c>
      <c r="X238" s="1558">
        <f t="shared" si="106"/>
        <v>3</v>
      </c>
      <c r="Y238" s="3265">
        <f t="shared" ref="Y238:AA238" si="108">COUNT(Y33:Y35)</f>
        <v>3</v>
      </c>
      <c r="Z238" s="3265">
        <f t="shared" si="108"/>
        <v>3</v>
      </c>
      <c r="AA238" s="3265">
        <f t="shared" si="108"/>
        <v>3</v>
      </c>
      <c r="AB238" s="3499"/>
      <c r="AC238" s="3499"/>
      <c r="AD238" s="3499"/>
      <c r="AE238" s="3499"/>
    </row>
    <row r="239" spans="1:31" s="1096" customFormat="1">
      <c r="A239" s="3570"/>
      <c r="B239" s="3583"/>
      <c r="C239" s="3537"/>
      <c r="D239" s="1557">
        <f>D237/D238</f>
        <v>0</v>
      </c>
      <c r="E239" s="1557">
        <f>E237/C237</f>
        <v>0.33333333333333331</v>
      </c>
      <c r="F239" s="1557">
        <f>F237/C237</f>
        <v>0.33333333333333331</v>
      </c>
      <c r="G239" s="1557">
        <f>G237/C237</f>
        <v>0</v>
      </c>
      <c r="H239" s="1557">
        <f>H237/C237</f>
        <v>0.33333333333333331</v>
      </c>
      <c r="I239" s="1557">
        <f>I237/C237</f>
        <v>0</v>
      </c>
      <c r="J239" s="1557">
        <f>J237/C237</f>
        <v>1</v>
      </c>
      <c r="K239" s="1557">
        <f>K237/C237</f>
        <v>1</v>
      </c>
      <c r="L239" s="1557">
        <f>L237/C237</f>
        <v>0</v>
      </c>
      <c r="M239" s="1557">
        <f>M237/C237</f>
        <v>0.33333333333333331</v>
      </c>
      <c r="N239" s="1557">
        <f>N237/C237</f>
        <v>0.66666666666666663</v>
      </c>
      <c r="O239" s="1557">
        <f>O237/C237</f>
        <v>0.66666666666666663</v>
      </c>
      <c r="P239" s="1557">
        <f>P237/C237</f>
        <v>0.66666666666666663</v>
      </c>
      <c r="Q239" s="1557">
        <f>Q237/C237</f>
        <v>0.66666666666666663</v>
      </c>
      <c r="R239" s="1557">
        <f>R237/C237</f>
        <v>0</v>
      </c>
      <c r="S239" s="1557">
        <f>S237/C237</f>
        <v>0</v>
      </c>
      <c r="T239" s="1557">
        <f t="shared" ref="T239" si="109">T237/E237</f>
        <v>0</v>
      </c>
      <c r="U239" s="1557">
        <f t="shared" ref="U239" si="110">U237/E237</f>
        <v>0</v>
      </c>
      <c r="V239" s="1557" t="e">
        <f t="shared" ref="V239" si="111">V237/G237</f>
        <v>#DIV/0!</v>
      </c>
      <c r="W239" s="1557" t="e">
        <f t="shared" ref="W239" si="112">W237/G237</f>
        <v>#DIV/0!</v>
      </c>
      <c r="X239" s="1557">
        <f>X237/C237</f>
        <v>0</v>
      </c>
      <c r="Y239" s="1557" t="e">
        <f t="shared" ref="Y239:AA239" si="113">Y237/D237</f>
        <v>#DIV/0!</v>
      </c>
      <c r="Z239" s="1557">
        <f t="shared" si="113"/>
        <v>0</v>
      </c>
      <c r="AA239" s="1557">
        <f t="shared" si="113"/>
        <v>0</v>
      </c>
      <c r="AB239" s="3500"/>
      <c r="AC239" s="3500"/>
      <c r="AD239" s="3500"/>
      <c r="AE239" s="3500"/>
    </row>
    <row r="240" spans="1:31" s="1106" customFormat="1">
      <c r="A240" s="3570"/>
      <c r="B240" s="3581" t="s">
        <v>6</v>
      </c>
      <c r="C240" s="3535">
        <f>COUNTA(A36:A40)</f>
        <v>5</v>
      </c>
      <c r="D240" s="1556">
        <f>COUNTIF(D36:D40,"&lt;=10")</f>
        <v>5</v>
      </c>
      <c r="E240" s="1556">
        <f t="shared" ref="E240:X240" si="114">COUNTIF(E36:E40,"&lt;=10")</f>
        <v>5</v>
      </c>
      <c r="F240" s="1556">
        <f t="shared" si="114"/>
        <v>5</v>
      </c>
      <c r="G240" s="1556">
        <f t="shared" si="114"/>
        <v>5</v>
      </c>
      <c r="H240" s="1556">
        <f t="shared" si="114"/>
        <v>5</v>
      </c>
      <c r="I240" s="1556">
        <f t="shared" si="114"/>
        <v>5</v>
      </c>
      <c r="J240" s="1556">
        <f t="shared" si="114"/>
        <v>5</v>
      </c>
      <c r="K240" s="1556">
        <f t="shared" si="114"/>
        <v>5</v>
      </c>
      <c r="L240" s="1556">
        <f t="shared" si="114"/>
        <v>5</v>
      </c>
      <c r="M240" s="1556">
        <f t="shared" si="114"/>
        <v>4</v>
      </c>
      <c r="N240" s="1868">
        <f t="shared" si="114"/>
        <v>0</v>
      </c>
      <c r="O240" s="1556">
        <f t="shared" si="114"/>
        <v>0</v>
      </c>
      <c r="P240" s="1556">
        <f t="shared" si="114"/>
        <v>0</v>
      </c>
      <c r="Q240" s="1556">
        <f t="shared" si="114"/>
        <v>0</v>
      </c>
      <c r="R240" s="1556">
        <f t="shared" si="114"/>
        <v>0</v>
      </c>
      <c r="S240" s="1556">
        <f t="shared" si="114"/>
        <v>5</v>
      </c>
      <c r="T240" s="3001">
        <f t="shared" ref="T240:W240" si="115">COUNTIF(T36:T40,"&lt;=10")</f>
        <v>0</v>
      </c>
      <c r="U240" s="3001">
        <f t="shared" si="115"/>
        <v>0</v>
      </c>
      <c r="V240" s="3001">
        <f t="shared" si="115"/>
        <v>0</v>
      </c>
      <c r="W240" s="3001">
        <f t="shared" si="115"/>
        <v>5</v>
      </c>
      <c r="X240" s="1556">
        <f t="shared" si="114"/>
        <v>5</v>
      </c>
      <c r="Y240" s="3264">
        <f t="shared" ref="Y240:AA240" si="116">COUNTIF(Y36:Y40,"&lt;=10")</f>
        <v>0</v>
      </c>
      <c r="Z240" s="3264">
        <f t="shared" si="116"/>
        <v>5</v>
      </c>
      <c r="AA240" s="3264">
        <f t="shared" si="116"/>
        <v>3</v>
      </c>
      <c r="AB240" s="3499"/>
      <c r="AC240" s="3499"/>
      <c r="AD240" s="3499"/>
      <c r="AE240" s="3499"/>
    </row>
    <row r="241" spans="1:31" s="1096" customFormat="1">
      <c r="A241" s="3570"/>
      <c r="B241" s="3582"/>
      <c r="C241" s="3536"/>
      <c r="D241" s="1558">
        <f>COUNT(D36:D40)</f>
        <v>5</v>
      </c>
      <c r="E241" s="1558">
        <f t="shared" ref="E241:X241" si="117">COUNT(E36:E40)</f>
        <v>5</v>
      </c>
      <c r="F241" s="1558">
        <f t="shared" si="117"/>
        <v>5</v>
      </c>
      <c r="G241" s="1558">
        <f t="shared" si="117"/>
        <v>5</v>
      </c>
      <c r="H241" s="1558">
        <f t="shared" si="117"/>
        <v>5</v>
      </c>
      <c r="I241" s="1558">
        <f t="shared" si="117"/>
        <v>5</v>
      </c>
      <c r="J241" s="1558">
        <f t="shared" si="117"/>
        <v>5</v>
      </c>
      <c r="K241" s="1558">
        <f t="shared" si="117"/>
        <v>5</v>
      </c>
      <c r="L241" s="1558">
        <f t="shared" si="117"/>
        <v>5</v>
      </c>
      <c r="M241" s="1558">
        <f t="shared" si="117"/>
        <v>5</v>
      </c>
      <c r="N241" s="1869">
        <f t="shared" si="117"/>
        <v>5</v>
      </c>
      <c r="O241" s="1558">
        <f t="shared" si="117"/>
        <v>0</v>
      </c>
      <c r="P241" s="1558">
        <f t="shared" si="117"/>
        <v>0</v>
      </c>
      <c r="Q241" s="1558">
        <f t="shared" si="117"/>
        <v>0</v>
      </c>
      <c r="R241" s="1558">
        <f t="shared" si="117"/>
        <v>0</v>
      </c>
      <c r="S241" s="1558">
        <f t="shared" si="117"/>
        <v>5</v>
      </c>
      <c r="T241" s="3002">
        <f t="shared" ref="T241:W241" si="118">COUNT(T36:T40)</f>
        <v>0</v>
      </c>
      <c r="U241" s="3002">
        <f t="shared" si="118"/>
        <v>0</v>
      </c>
      <c r="V241" s="3002">
        <f t="shared" si="118"/>
        <v>0</v>
      </c>
      <c r="W241" s="3002">
        <f t="shared" si="118"/>
        <v>5</v>
      </c>
      <c r="X241" s="1558">
        <f t="shared" si="117"/>
        <v>5</v>
      </c>
      <c r="Y241" s="3265">
        <f t="shared" ref="Y241:AA241" si="119">COUNT(Y36:Y40)</f>
        <v>5</v>
      </c>
      <c r="Z241" s="3265">
        <f t="shared" si="119"/>
        <v>5</v>
      </c>
      <c r="AA241" s="3265">
        <f t="shared" si="119"/>
        <v>5</v>
      </c>
      <c r="AB241" s="3499"/>
      <c r="AC241" s="3499"/>
      <c r="AD241" s="3499"/>
      <c r="AE241" s="3499"/>
    </row>
    <row r="242" spans="1:31" s="1096" customFormat="1">
      <c r="A242" s="3570"/>
      <c r="B242" s="3583"/>
      <c r="C242" s="3537"/>
      <c r="D242" s="1557">
        <f>D240/D241</f>
        <v>1</v>
      </c>
      <c r="E242" s="1557">
        <f>E240/C240</f>
        <v>1</v>
      </c>
      <c r="F242" s="1557">
        <f>F240/C240</f>
        <v>1</v>
      </c>
      <c r="G242" s="1557">
        <f>G240/C240</f>
        <v>1</v>
      </c>
      <c r="H242" s="1557">
        <f>H240/C240</f>
        <v>1</v>
      </c>
      <c r="I242" s="1557">
        <f>I240/C240</f>
        <v>1</v>
      </c>
      <c r="J242" s="1557">
        <f>J240/C240</f>
        <v>1</v>
      </c>
      <c r="K242" s="1557">
        <f>K240/C240</f>
        <v>1</v>
      </c>
      <c r="L242" s="1557">
        <f>L240/C240</f>
        <v>1</v>
      </c>
      <c r="M242" s="1557">
        <f>M240/C240</f>
        <v>0.8</v>
      </c>
      <c r="N242" s="1557">
        <f>N240/C240</f>
        <v>0</v>
      </c>
      <c r="O242" s="1557">
        <f>O240/C240</f>
        <v>0</v>
      </c>
      <c r="P242" s="1557">
        <f>P240/C240</f>
        <v>0</v>
      </c>
      <c r="Q242" s="1557">
        <f>Q240/C240</f>
        <v>0</v>
      </c>
      <c r="R242" s="1557">
        <f>R240/C240</f>
        <v>0</v>
      </c>
      <c r="S242" s="1557">
        <f>S240/C240</f>
        <v>1</v>
      </c>
      <c r="T242" s="1557">
        <f t="shared" ref="T242" si="120">T240/E240</f>
        <v>0</v>
      </c>
      <c r="U242" s="1557">
        <f t="shared" ref="U242" si="121">U240/E240</f>
        <v>0</v>
      </c>
      <c r="V242" s="1557">
        <f t="shared" ref="V242" si="122">V240/G240</f>
        <v>0</v>
      </c>
      <c r="W242" s="1557">
        <f t="shared" ref="W242" si="123">W240/G240</f>
        <v>1</v>
      </c>
      <c r="X242" s="1557">
        <f>X240/C240</f>
        <v>1</v>
      </c>
      <c r="Y242" s="1557">
        <f t="shared" ref="Y242:AA242" si="124">Y240/D240</f>
        <v>0</v>
      </c>
      <c r="Z242" s="1557">
        <f t="shared" si="124"/>
        <v>1</v>
      </c>
      <c r="AA242" s="1557">
        <f t="shared" si="124"/>
        <v>0.6</v>
      </c>
      <c r="AB242" s="3500"/>
      <c r="AC242" s="3500"/>
      <c r="AD242" s="3500"/>
      <c r="AE242" s="3500"/>
    </row>
    <row r="243" spans="1:31" s="1106" customFormat="1">
      <c r="A243" s="3570"/>
      <c r="B243" s="3581" t="s">
        <v>28</v>
      </c>
      <c r="C243" s="3535">
        <f>COUNTA(A41:A43)</f>
        <v>3</v>
      </c>
      <c r="D243" s="1556">
        <f>COUNTIF(D41:D43,"&lt;=10")</f>
        <v>1</v>
      </c>
      <c r="E243" s="1556">
        <f t="shared" ref="E243:X243" si="125">COUNTIF(E41:E43,"&lt;=10")</f>
        <v>2</v>
      </c>
      <c r="F243" s="1556">
        <f t="shared" si="125"/>
        <v>3</v>
      </c>
      <c r="G243" s="1556">
        <f t="shared" si="125"/>
        <v>3</v>
      </c>
      <c r="H243" s="1556">
        <f t="shared" si="125"/>
        <v>2</v>
      </c>
      <c r="I243" s="1556">
        <f t="shared" si="125"/>
        <v>1</v>
      </c>
      <c r="J243" s="1556">
        <f t="shared" si="125"/>
        <v>3</v>
      </c>
      <c r="K243" s="1556">
        <f t="shared" si="125"/>
        <v>1</v>
      </c>
      <c r="L243" s="1556">
        <f t="shared" si="125"/>
        <v>0</v>
      </c>
      <c r="M243" s="1556">
        <f t="shared" si="125"/>
        <v>2</v>
      </c>
      <c r="N243" s="1868">
        <f t="shared" si="125"/>
        <v>3</v>
      </c>
      <c r="O243" s="1556">
        <f t="shared" si="125"/>
        <v>1</v>
      </c>
      <c r="P243" s="1556">
        <f t="shared" si="125"/>
        <v>0</v>
      </c>
      <c r="Q243" s="1556">
        <f t="shared" si="125"/>
        <v>1</v>
      </c>
      <c r="R243" s="1556">
        <f t="shared" si="125"/>
        <v>1</v>
      </c>
      <c r="S243" s="1556">
        <f t="shared" si="125"/>
        <v>3</v>
      </c>
      <c r="T243" s="3001">
        <f t="shared" ref="T243:W243" si="126">COUNTIF(T41:T43,"&lt;=10")</f>
        <v>0</v>
      </c>
      <c r="U243" s="3001">
        <f t="shared" si="126"/>
        <v>0</v>
      </c>
      <c r="V243" s="3001">
        <f t="shared" si="126"/>
        <v>0</v>
      </c>
      <c r="W243" s="3001">
        <f t="shared" si="126"/>
        <v>2</v>
      </c>
      <c r="X243" s="1556">
        <f t="shared" si="125"/>
        <v>0</v>
      </c>
      <c r="Y243" s="3264">
        <f t="shared" ref="Y243:AA243" si="127">COUNTIF(Y41:Y43,"&lt;=10")</f>
        <v>0</v>
      </c>
      <c r="Z243" s="3264">
        <f t="shared" si="127"/>
        <v>0</v>
      </c>
      <c r="AA243" s="3264">
        <f t="shared" si="127"/>
        <v>0</v>
      </c>
      <c r="AB243" s="3499"/>
      <c r="AC243" s="3499"/>
      <c r="AD243" s="3499"/>
      <c r="AE243" s="3499"/>
    </row>
    <row r="244" spans="1:31" s="1096" customFormat="1">
      <c r="A244" s="3570"/>
      <c r="B244" s="3582"/>
      <c r="C244" s="3536"/>
      <c r="D244" s="1558">
        <f>COUNT(D41:D43)</f>
        <v>3</v>
      </c>
      <c r="E244" s="1558">
        <f t="shared" ref="E244:X244" si="128">COUNT(E41:E43)</f>
        <v>3</v>
      </c>
      <c r="F244" s="1558">
        <f t="shared" si="128"/>
        <v>3</v>
      </c>
      <c r="G244" s="1558">
        <f t="shared" si="128"/>
        <v>3</v>
      </c>
      <c r="H244" s="1558">
        <f t="shared" si="128"/>
        <v>3</v>
      </c>
      <c r="I244" s="1558">
        <f t="shared" si="128"/>
        <v>3</v>
      </c>
      <c r="J244" s="1558">
        <f t="shared" si="128"/>
        <v>3</v>
      </c>
      <c r="K244" s="1558">
        <f t="shared" si="128"/>
        <v>3</v>
      </c>
      <c r="L244" s="1558">
        <f t="shared" si="128"/>
        <v>3</v>
      </c>
      <c r="M244" s="1558">
        <f t="shared" si="128"/>
        <v>3</v>
      </c>
      <c r="N244" s="1869">
        <f t="shared" si="128"/>
        <v>3</v>
      </c>
      <c r="O244" s="1558">
        <f t="shared" si="128"/>
        <v>3</v>
      </c>
      <c r="P244" s="1558">
        <f t="shared" si="128"/>
        <v>3</v>
      </c>
      <c r="Q244" s="1558">
        <f t="shared" si="128"/>
        <v>3</v>
      </c>
      <c r="R244" s="1558">
        <f t="shared" si="128"/>
        <v>3</v>
      </c>
      <c r="S244" s="1558">
        <f t="shared" si="128"/>
        <v>3</v>
      </c>
      <c r="T244" s="3002">
        <f t="shared" ref="T244:W244" si="129">COUNT(T41:T43)</f>
        <v>0</v>
      </c>
      <c r="U244" s="3002">
        <f t="shared" si="129"/>
        <v>0</v>
      </c>
      <c r="V244" s="3002">
        <f t="shared" si="129"/>
        <v>0</v>
      </c>
      <c r="W244" s="3002">
        <f t="shared" si="129"/>
        <v>3</v>
      </c>
      <c r="X244" s="1558">
        <f t="shared" si="128"/>
        <v>3</v>
      </c>
      <c r="Y244" s="3265">
        <f t="shared" ref="Y244:AA244" si="130">COUNT(Y41:Y43)</f>
        <v>3</v>
      </c>
      <c r="Z244" s="3265">
        <f t="shared" si="130"/>
        <v>3</v>
      </c>
      <c r="AA244" s="3265">
        <f t="shared" si="130"/>
        <v>3</v>
      </c>
      <c r="AB244" s="3499"/>
      <c r="AC244" s="3499"/>
      <c r="AD244" s="3499"/>
      <c r="AE244" s="3499"/>
    </row>
    <row r="245" spans="1:31" s="1096" customFormat="1">
      <c r="A245" s="3570"/>
      <c r="B245" s="3583"/>
      <c r="C245" s="3537"/>
      <c r="D245" s="1557">
        <f>D243/D244</f>
        <v>0.33333333333333331</v>
      </c>
      <c r="E245" s="1557">
        <f>E243/C243</f>
        <v>0.66666666666666663</v>
      </c>
      <c r="F245" s="1557">
        <f>F243/C243</f>
        <v>1</v>
      </c>
      <c r="G245" s="1557">
        <f>G243/C243</f>
        <v>1</v>
      </c>
      <c r="H245" s="1557">
        <f>H243/C243</f>
        <v>0.66666666666666663</v>
      </c>
      <c r="I245" s="1557">
        <f>I243/C243</f>
        <v>0.33333333333333331</v>
      </c>
      <c r="J245" s="1557">
        <f>J243/C243</f>
        <v>1</v>
      </c>
      <c r="K245" s="1557">
        <f>K243/C243</f>
        <v>0.33333333333333331</v>
      </c>
      <c r="L245" s="1557">
        <f>L243/C243</f>
        <v>0</v>
      </c>
      <c r="M245" s="1557">
        <f>M243/C243</f>
        <v>0.66666666666666663</v>
      </c>
      <c r="N245" s="1557">
        <f>N243/C243</f>
        <v>1</v>
      </c>
      <c r="O245" s="1557">
        <f>O243/C243</f>
        <v>0.33333333333333331</v>
      </c>
      <c r="P245" s="1557">
        <f>P243/C243</f>
        <v>0</v>
      </c>
      <c r="Q245" s="1557">
        <f>Q243/C243</f>
        <v>0.33333333333333331</v>
      </c>
      <c r="R245" s="1557">
        <f>R243/C243</f>
        <v>0.33333333333333331</v>
      </c>
      <c r="S245" s="1557">
        <f>S243/C243</f>
        <v>1</v>
      </c>
      <c r="T245" s="1557">
        <f t="shared" ref="T245" si="131">T243/E243</f>
        <v>0</v>
      </c>
      <c r="U245" s="1557">
        <f t="shared" ref="U245" si="132">U243/E243</f>
        <v>0</v>
      </c>
      <c r="V245" s="1557">
        <f t="shared" ref="V245" si="133">V243/G243</f>
        <v>0</v>
      </c>
      <c r="W245" s="1557">
        <f t="shared" ref="W245" si="134">W243/G243</f>
        <v>0.66666666666666663</v>
      </c>
      <c r="X245" s="1557">
        <f>X243/C243</f>
        <v>0</v>
      </c>
      <c r="Y245" s="1557">
        <f t="shared" ref="Y245:AA245" si="135">Y243/D243</f>
        <v>0</v>
      </c>
      <c r="Z245" s="1557">
        <f t="shared" si="135"/>
        <v>0</v>
      </c>
      <c r="AA245" s="1557">
        <f t="shared" si="135"/>
        <v>0</v>
      </c>
      <c r="AB245" s="3500"/>
      <c r="AC245" s="3500"/>
      <c r="AD245" s="3500"/>
      <c r="AE245" s="3500"/>
    </row>
    <row r="246" spans="1:31" s="1106" customFormat="1">
      <c r="A246" s="3570"/>
      <c r="B246" s="3581" t="s">
        <v>8</v>
      </c>
      <c r="C246" s="3535">
        <f>COUNTA(A44:A46)</f>
        <v>3</v>
      </c>
      <c r="D246" s="1556">
        <f>COUNTIF(D44:D46,"&lt;=10")</f>
        <v>3</v>
      </c>
      <c r="E246" s="1556">
        <f t="shared" ref="E246:X246" si="136">COUNTIF(E44:E46,"&lt;=10")</f>
        <v>3</v>
      </c>
      <c r="F246" s="1556">
        <f t="shared" si="136"/>
        <v>3</v>
      </c>
      <c r="G246" s="1556">
        <f t="shared" si="136"/>
        <v>3</v>
      </c>
      <c r="H246" s="1556">
        <f t="shared" si="136"/>
        <v>2</v>
      </c>
      <c r="I246" s="1556">
        <f t="shared" si="136"/>
        <v>3</v>
      </c>
      <c r="J246" s="1556">
        <f t="shared" si="136"/>
        <v>3</v>
      </c>
      <c r="K246" s="1556">
        <f t="shared" si="136"/>
        <v>3</v>
      </c>
      <c r="L246" s="1556">
        <f t="shared" si="136"/>
        <v>3</v>
      </c>
      <c r="M246" s="1556">
        <f t="shared" si="136"/>
        <v>3</v>
      </c>
      <c r="N246" s="1868">
        <f t="shared" si="136"/>
        <v>3</v>
      </c>
      <c r="O246" s="1556">
        <f t="shared" si="136"/>
        <v>3</v>
      </c>
      <c r="P246" s="1556">
        <f t="shared" si="136"/>
        <v>3</v>
      </c>
      <c r="Q246" s="1556">
        <f t="shared" si="136"/>
        <v>3</v>
      </c>
      <c r="R246" s="1556">
        <f t="shared" si="136"/>
        <v>3</v>
      </c>
      <c r="S246" s="1556">
        <f t="shared" si="136"/>
        <v>3</v>
      </c>
      <c r="T246" s="3001">
        <f t="shared" ref="T246:W246" si="137">COUNTIF(T44:T46,"&lt;=10")</f>
        <v>0</v>
      </c>
      <c r="U246" s="3001">
        <f t="shared" si="137"/>
        <v>0</v>
      </c>
      <c r="V246" s="3001">
        <f t="shared" si="137"/>
        <v>0</v>
      </c>
      <c r="W246" s="3001">
        <f t="shared" si="137"/>
        <v>3</v>
      </c>
      <c r="X246" s="1556">
        <f t="shared" si="136"/>
        <v>3</v>
      </c>
      <c r="Y246" s="3264">
        <f t="shared" ref="Y246:AA246" si="138">COUNTIF(Y44:Y46,"&lt;=10")</f>
        <v>3</v>
      </c>
      <c r="Z246" s="3264">
        <f t="shared" si="138"/>
        <v>3</v>
      </c>
      <c r="AA246" s="3264">
        <f t="shared" si="138"/>
        <v>3</v>
      </c>
      <c r="AB246" s="3499"/>
      <c r="AC246" s="3499"/>
      <c r="AD246" s="3499"/>
      <c r="AE246" s="3499"/>
    </row>
    <row r="247" spans="1:31" s="1096" customFormat="1">
      <c r="A247" s="3570"/>
      <c r="B247" s="3582"/>
      <c r="C247" s="3536"/>
      <c r="D247" s="1558">
        <f>COUNT(D44:D46)</f>
        <v>3</v>
      </c>
      <c r="E247" s="1558">
        <f t="shared" ref="E247:X247" si="139">COUNT(E44:E46)</f>
        <v>3</v>
      </c>
      <c r="F247" s="1558">
        <f t="shared" si="139"/>
        <v>3</v>
      </c>
      <c r="G247" s="1558">
        <f t="shared" si="139"/>
        <v>3</v>
      </c>
      <c r="H247" s="1558">
        <f t="shared" si="139"/>
        <v>3</v>
      </c>
      <c r="I247" s="1558">
        <f t="shared" si="139"/>
        <v>3</v>
      </c>
      <c r="J247" s="1558">
        <f t="shared" si="139"/>
        <v>3</v>
      </c>
      <c r="K247" s="1558">
        <f t="shared" si="139"/>
        <v>3</v>
      </c>
      <c r="L247" s="1558">
        <f t="shared" si="139"/>
        <v>3</v>
      </c>
      <c r="M247" s="1558">
        <f t="shared" si="139"/>
        <v>3</v>
      </c>
      <c r="N247" s="1869">
        <f t="shared" si="139"/>
        <v>3</v>
      </c>
      <c r="O247" s="1558">
        <f t="shared" si="139"/>
        <v>3</v>
      </c>
      <c r="P247" s="1558">
        <f t="shared" si="139"/>
        <v>3</v>
      </c>
      <c r="Q247" s="1558">
        <f t="shared" si="139"/>
        <v>3</v>
      </c>
      <c r="R247" s="1558">
        <f t="shared" si="139"/>
        <v>3</v>
      </c>
      <c r="S247" s="1558">
        <f t="shared" si="139"/>
        <v>3</v>
      </c>
      <c r="T247" s="3002">
        <f t="shared" ref="T247:W247" si="140">COUNT(T44:T46)</f>
        <v>0</v>
      </c>
      <c r="U247" s="3002">
        <f t="shared" si="140"/>
        <v>0</v>
      </c>
      <c r="V247" s="3002">
        <f t="shared" si="140"/>
        <v>0</v>
      </c>
      <c r="W247" s="3002">
        <f t="shared" si="140"/>
        <v>3</v>
      </c>
      <c r="X247" s="1558">
        <f t="shared" si="139"/>
        <v>3</v>
      </c>
      <c r="Y247" s="3265">
        <f t="shared" ref="Y247:AA247" si="141">COUNT(Y44:Y46)</f>
        <v>3</v>
      </c>
      <c r="Z247" s="3265">
        <f t="shared" si="141"/>
        <v>3</v>
      </c>
      <c r="AA247" s="3265">
        <f t="shared" si="141"/>
        <v>3</v>
      </c>
      <c r="AB247" s="3499"/>
      <c r="AC247" s="3499"/>
      <c r="AD247" s="3499"/>
      <c r="AE247" s="3499"/>
    </row>
    <row r="248" spans="1:31" s="1096" customFormat="1">
      <c r="A248" s="3571"/>
      <c r="B248" s="3583"/>
      <c r="C248" s="3537"/>
      <c r="D248" s="1557">
        <f>D246/D247</f>
        <v>1</v>
      </c>
      <c r="E248" s="1557">
        <f>E246/C246</f>
        <v>1</v>
      </c>
      <c r="F248" s="1557">
        <f>F246/C246</f>
        <v>1</v>
      </c>
      <c r="G248" s="1557">
        <f>G246/C246</f>
        <v>1</v>
      </c>
      <c r="H248" s="1557">
        <f>H246/C246</f>
        <v>0.66666666666666663</v>
      </c>
      <c r="I248" s="1557">
        <f>I246/C246</f>
        <v>1</v>
      </c>
      <c r="J248" s="1557">
        <f>J246/C246</f>
        <v>1</v>
      </c>
      <c r="K248" s="1557">
        <f>K246/C246</f>
        <v>1</v>
      </c>
      <c r="L248" s="1557">
        <f>L246/C246</f>
        <v>1</v>
      </c>
      <c r="M248" s="1557">
        <f>M246/C246</f>
        <v>1</v>
      </c>
      <c r="N248" s="1557">
        <f>N246/C246</f>
        <v>1</v>
      </c>
      <c r="O248" s="1557">
        <f>O246/C246</f>
        <v>1</v>
      </c>
      <c r="P248" s="1557">
        <f>P246/C246</f>
        <v>1</v>
      </c>
      <c r="Q248" s="1557">
        <f>Q246/C246</f>
        <v>1</v>
      </c>
      <c r="R248" s="1557">
        <f>R246/C246</f>
        <v>1</v>
      </c>
      <c r="S248" s="1557">
        <f>S246/C246</f>
        <v>1</v>
      </c>
      <c r="T248" s="1557">
        <f t="shared" ref="T248" si="142">T246/E246</f>
        <v>0</v>
      </c>
      <c r="U248" s="1557">
        <f t="shared" ref="U248" si="143">U246/E246</f>
        <v>0</v>
      </c>
      <c r="V248" s="1557">
        <f t="shared" ref="V248" si="144">V246/G246</f>
        <v>0</v>
      </c>
      <c r="W248" s="1557">
        <f t="shared" ref="W248" si="145">W246/G246</f>
        <v>1</v>
      </c>
      <c r="X248" s="1557">
        <f>X246/C246</f>
        <v>1</v>
      </c>
      <c r="Y248" s="1557">
        <f t="shared" ref="Y248:AA248" si="146">Y246/D246</f>
        <v>1</v>
      </c>
      <c r="Z248" s="1557">
        <f t="shared" si="146"/>
        <v>1</v>
      </c>
      <c r="AA248" s="1557">
        <f t="shared" si="146"/>
        <v>1</v>
      </c>
      <c r="AB248" s="3500"/>
      <c r="AC248" s="3500"/>
      <c r="AD248" s="3500"/>
      <c r="AE248" s="3500"/>
    </row>
    <row r="249" spans="1:31" s="1106" customFormat="1">
      <c r="A249" s="3569" t="s">
        <v>126</v>
      </c>
      <c r="B249" s="3565" t="s">
        <v>42</v>
      </c>
      <c r="C249" s="3535">
        <f>COUNTA(A69:A75)</f>
        <v>7</v>
      </c>
      <c r="D249" s="1556">
        <f>COUNTIF(D69:D75,"&lt;=10")</f>
        <v>0</v>
      </c>
      <c r="E249" s="1556">
        <f t="shared" ref="E249:X249" si="147">COUNTIF(E69:E75,"&lt;=10")</f>
        <v>1</v>
      </c>
      <c r="F249" s="1556">
        <f t="shared" si="147"/>
        <v>0</v>
      </c>
      <c r="G249" s="1556">
        <f t="shared" si="147"/>
        <v>2</v>
      </c>
      <c r="H249" s="1556">
        <f t="shared" si="147"/>
        <v>0</v>
      </c>
      <c r="I249" s="1556">
        <f t="shared" si="147"/>
        <v>0</v>
      </c>
      <c r="J249" s="1556">
        <f t="shared" si="147"/>
        <v>0</v>
      </c>
      <c r="K249" s="1556">
        <f t="shared" si="147"/>
        <v>0</v>
      </c>
      <c r="L249" s="1556">
        <f t="shared" si="147"/>
        <v>0</v>
      </c>
      <c r="M249" s="1556">
        <f t="shared" si="147"/>
        <v>0</v>
      </c>
      <c r="N249" s="1868">
        <f t="shared" si="147"/>
        <v>0</v>
      </c>
      <c r="O249" s="1556">
        <f>COUNTIF(O69:O75,"&lt;=10")</f>
        <v>0</v>
      </c>
      <c r="P249" s="1556">
        <f t="shared" si="147"/>
        <v>0</v>
      </c>
      <c r="Q249" s="1556">
        <f t="shared" si="147"/>
        <v>0</v>
      </c>
      <c r="R249" s="1556">
        <f t="shared" si="147"/>
        <v>0</v>
      </c>
      <c r="S249" s="1556">
        <f t="shared" si="147"/>
        <v>0</v>
      </c>
      <c r="T249" s="3001">
        <f t="shared" ref="T249:W249" si="148">COUNTIF(T69:T75,"&lt;=10")</f>
        <v>0</v>
      </c>
      <c r="U249" s="3001">
        <f t="shared" si="148"/>
        <v>0</v>
      </c>
      <c r="V249" s="3001">
        <f t="shared" si="148"/>
        <v>0</v>
      </c>
      <c r="W249" s="3001">
        <f t="shared" si="148"/>
        <v>0</v>
      </c>
      <c r="X249" s="1556">
        <f t="shared" si="147"/>
        <v>0</v>
      </c>
      <c r="Y249" s="3264">
        <f t="shared" ref="Y249:AA249" si="149">COUNTIF(Y69:Y75,"&lt;=10")</f>
        <v>0</v>
      </c>
      <c r="Z249" s="3264">
        <f t="shared" si="149"/>
        <v>0</v>
      </c>
      <c r="AA249" s="3264">
        <f t="shared" si="149"/>
        <v>0</v>
      </c>
      <c r="AB249" s="3499"/>
      <c r="AC249" s="3499"/>
      <c r="AD249" s="3499"/>
      <c r="AE249" s="3499"/>
    </row>
    <row r="250" spans="1:31" s="1096" customFormat="1">
      <c r="A250" s="3570"/>
      <c r="B250" s="3566"/>
      <c r="C250" s="3536"/>
      <c r="D250" s="1558">
        <f>COUNT(D69:D75)</f>
        <v>6</v>
      </c>
      <c r="E250" s="1558">
        <f t="shared" ref="E250:X250" si="150">COUNT(E69:E75)</f>
        <v>7</v>
      </c>
      <c r="F250" s="1558">
        <f t="shared" si="150"/>
        <v>7</v>
      </c>
      <c r="G250" s="1558">
        <f t="shared" si="150"/>
        <v>7</v>
      </c>
      <c r="H250" s="1558">
        <f t="shared" si="150"/>
        <v>7</v>
      </c>
      <c r="I250" s="1558">
        <f t="shared" si="150"/>
        <v>7</v>
      </c>
      <c r="J250" s="1558">
        <f t="shared" si="150"/>
        <v>7</v>
      </c>
      <c r="K250" s="1558">
        <f t="shared" si="150"/>
        <v>7</v>
      </c>
      <c r="L250" s="1558">
        <f t="shared" si="150"/>
        <v>6</v>
      </c>
      <c r="M250" s="1558">
        <f t="shared" si="150"/>
        <v>7</v>
      </c>
      <c r="N250" s="1869">
        <f t="shared" si="150"/>
        <v>7</v>
      </c>
      <c r="O250" s="1558">
        <f>COUNT(O69:O75)</f>
        <v>0</v>
      </c>
      <c r="P250" s="1558">
        <f t="shared" si="150"/>
        <v>7</v>
      </c>
      <c r="Q250" s="1558">
        <f t="shared" si="150"/>
        <v>6</v>
      </c>
      <c r="R250" s="1558">
        <f t="shared" si="150"/>
        <v>7</v>
      </c>
      <c r="S250" s="1558">
        <f t="shared" si="150"/>
        <v>7</v>
      </c>
      <c r="T250" s="3002">
        <f t="shared" ref="T250:W250" si="151">COUNT(T69:T75)</f>
        <v>7</v>
      </c>
      <c r="U250" s="3002">
        <f t="shared" si="151"/>
        <v>6</v>
      </c>
      <c r="V250" s="3002">
        <f t="shared" si="151"/>
        <v>7</v>
      </c>
      <c r="W250" s="3002">
        <f t="shared" si="151"/>
        <v>7</v>
      </c>
      <c r="X250" s="1558">
        <f t="shared" si="150"/>
        <v>7</v>
      </c>
      <c r="Y250" s="3265">
        <f t="shared" ref="Y250:AA250" si="152">COUNT(Y69:Y75)</f>
        <v>7</v>
      </c>
      <c r="Z250" s="3265">
        <f t="shared" si="152"/>
        <v>7</v>
      </c>
      <c r="AA250" s="3265">
        <f t="shared" si="152"/>
        <v>7</v>
      </c>
      <c r="AB250" s="3499"/>
      <c r="AC250" s="3499"/>
      <c r="AD250" s="3499"/>
      <c r="AE250" s="3499"/>
    </row>
    <row r="251" spans="1:31" s="1096" customFormat="1">
      <c r="A251" s="3570"/>
      <c r="B251" s="3567"/>
      <c r="C251" s="3537"/>
      <c r="D251" s="1557">
        <f>D249/D250</f>
        <v>0</v>
      </c>
      <c r="E251" s="1557">
        <f>E249/C249</f>
        <v>0.14285714285714285</v>
      </c>
      <c r="F251" s="1557">
        <f>F249/C249</f>
        <v>0</v>
      </c>
      <c r="G251" s="1557">
        <f>G249/C249</f>
        <v>0.2857142857142857</v>
      </c>
      <c r="H251" s="1557">
        <f>H249/C249</f>
        <v>0</v>
      </c>
      <c r="I251" s="1557">
        <f>I249/C249</f>
        <v>0</v>
      </c>
      <c r="J251" s="1557">
        <f>J249/C249</f>
        <v>0</v>
      </c>
      <c r="K251" s="1557">
        <f>K249/C249</f>
        <v>0</v>
      </c>
      <c r="L251" s="1557">
        <f>L249/C249</f>
        <v>0</v>
      </c>
      <c r="M251" s="1557">
        <f>M249/C249</f>
        <v>0</v>
      </c>
      <c r="N251" s="1557">
        <f>N249/C249</f>
        <v>0</v>
      </c>
      <c r="O251" s="1557">
        <f>O249/C249</f>
        <v>0</v>
      </c>
      <c r="P251" s="1557">
        <f>P249/C249</f>
        <v>0</v>
      </c>
      <c r="Q251" s="1557">
        <f>Q249/C249</f>
        <v>0</v>
      </c>
      <c r="R251" s="1557">
        <f>R249/C249</f>
        <v>0</v>
      </c>
      <c r="S251" s="1557">
        <f>S249/C249</f>
        <v>0</v>
      </c>
      <c r="T251" s="1557">
        <f t="shared" ref="T251" si="153">T249/E249</f>
        <v>0</v>
      </c>
      <c r="U251" s="1557">
        <f t="shared" ref="U251" si="154">U249/E249</f>
        <v>0</v>
      </c>
      <c r="V251" s="1557">
        <f t="shared" ref="V251" si="155">V249/G249</f>
        <v>0</v>
      </c>
      <c r="W251" s="1557">
        <f t="shared" ref="W251" si="156">W249/G249</f>
        <v>0</v>
      </c>
      <c r="X251" s="1557">
        <f>X249/C249</f>
        <v>0</v>
      </c>
      <c r="Y251" s="1557" t="e">
        <f t="shared" ref="Y251:AA251" si="157">Y249/D249</f>
        <v>#DIV/0!</v>
      </c>
      <c r="Z251" s="1557">
        <f t="shared" si="157"/>
        <v>0</v>
      </c>
      <c r="AA251" s="1557" t="e">
        <f t="shared" si="157"/>
        <v>#DIV/0!</v>
      </c>
      <c r="AB251" s="3500"/>
      <c r="AC251" s="3500"/>
      <c r="AD251" s="3500"/>
      <c r="AE251" s="3500"/>
    </row>
    <row r="252" spans="1:31" s="1106" customFormat="1">
      <c r="A252" s="3570"/>
      <c r="B252" s="3581" t="s">
        <v>49</v>
      </c>
      <c r="C252" s="3535">
        <f>COUNTA(A76:A84)</f>
        <v>9</v>
      </c>
      <c r="D252" s="1556">
        <f>COUNTIF(D76:D84,"&lt;=10")</f>
        <v>0</v>
      </c>
      <c r="E252" s="1556">
        <f t="shared" ref="E252:X252" si="158">COUNTIF(E76:E84,"&lt;=10")</f>
        <v>2</v>
      </c>
      <c r="F252" s="1556">
        <f t="shared" si="158"/>
        <v>0</v>
      </c>
      <c r="G252" s="1556">
        <f t="shared" si="158"/>
        <v>3</v>
      </c>
      <c r="H252" s="1556">
        <f t="shared" si="158"/>
        <v>0</v>
      </c>
      <c r="I252" s="1556">
        <f t="shared" si="158"/>
        <v>0</v>
      </c>
      <c r="J252" s="1556">
        <f t="shared" si="158"/>
        <v>0</v>
      </c>
      <c r="K252" s="1556">
        <f t="shared" si="158"/>
        <v>0</v>
      </c>
      <c r="L252" s="1556">
        <f t="shared" si="158"/>
        <v>0</v>
      </c>
      <c r="M252" s="1556">
        <f t="shared" si="158"/>
        <v>0</v>
      </c>
      <c r="N252" s="1868">
        <f t="shared" si="158"/>
        <v>0</v>
      </c>
      <c r="O252" s="1556">
        <f t="shared" si="158"/>
        <v>0</v>
      </c>
      <c r="P252" s="1556">
        <f t="shared" si="158"/>
        <v>0</v>
      </c>
      <c r="Q252" s="1556">
        <f t="shared" si="158"/>
        <v>0</v>
      </c>
      <c r="R252" s="1556">
        <f t="shared" si="158"/>
        <v>0</v>
      </c>
      <c r="S252" s="1556">
        <f t="shared" si="158"/>
        <v>0</v>
      </c>
      <c r="T252" s="3001">
        <f t="shared" ref="T252:W252" si="159">COUNTIF(T76:T84,"&lt;=10")</f>
        <v>0</v>
      </c>
      <c r="U252" s="3001">
        <f t="shared" si="159"/>
        <v>0</v>
      </c>
      <c r="V252" s="3001">
        <f t="shared" si="159"/>
        <v>0</v>
      </c>
      <c r="W252" s="3001">
        <f t="shared" si="159"/>
        <v>0</v>
      </c>
      <c r="X252" s="1556">
        <f t="shared" si="158"/>
        <v>0</v>
      </c>
      <c r="Y252" s="3264">
        <f t="shared" ref="Y252:AA252" si="160">COUNTIF(Y76:Y84,"&lt;=10")</f>
        <v>0</v>
      </c>
      <c r="Z252" s="3264">
        <f t="shared" si="160"/>
        <v>0</v>
      </c>
      <c r="AA252" s="3264">
        <f t="shared" si="160"/>
        <v>0</v>
      </c>
      <c r="AB252" s="3499"/>
      <c r="AC252" s="3499"/>
      <c r="AD252" s="3499"/>
      <c r="AE252" s="3499"/>
    </row>
    <row r="253" spans="1:31" s="1096" customFormat="1">
      <c r="A253" s="3570"/>
      <c r="B253" s="3582"/>
      <c r="C253" s="3536"/>
      <c r="D253" s="1558">
        <f>COUNT(D76:D84)</f>
        <v>9</v>
      </c>
      <c r="E253" s="1558">
        <f t="shared" ref="E253:X253" si="161">COUNT(E76:E84)</f>
        <v>9</v>
      </c>
      <c r="F253" s="1558">
        <f t="shared" si="161"/>
        <v>9</v>
      </c>
      <c r="G253" s="1558">
        <f t="shared" si="161"/>
        <v>9</v>
      </c>
      <c r="H253" s="1558">
        <f t="shared" si="161"/>
        <v>9</v>
      </c>
      <c r="I253" s="1558">
        <f t="shared" si="161"/>
        <v>9</v>
      </c>
      <c r="J253" s="1558">
        <f t="shared" si="161"/>
        <v>9</v>
      </c>
      <c r="K253" s="1558">
        <f t="shared" si="161"/>
        <v>9</v>
      </c>
      <c r="L253" s="1558">
        <f t="shared" si="161"/>
        <v>9</v>
      </c>
      <c r="M253" s="1558">
        <f t="shared" si="161"/>
        <v>9</v>
      </c>
      <c r="N253" s="1869">
        <f t="shared" si="161"/>
        <v>9</v>
      </c>
      <c r="O253" s="1558">
        <f t="shared" si="161"/>
        <v>0</v>
      </c>
      <c r="P253" s="1558">
        <f t="shared" si="161"/>
        <v>9</v>
      </c>
      <c r="Q253" s="1558">
        <f t="shared" si="161"/>
        <v>9</v>
      </c>
      <c r="R253" s="1558">
        <f t="shared" si="161"/>
        <v>9</v>
      </c>
      <c r="S253" s="1558">
        <f t="shared" si="161"/>
        <v>9</v>
      </c>
      <c r="T253" s="3002">
        <f t="shared" ref="T253:W253" si="162">COUNT(T76:T84)</f>
        <v>9</v>
      </c>
      <c r="U253" s="3002">
        <f t="shared" si="162"/>
        <v>9</v>
      </c>
      <c r="V253" s="3002">
        <f t="shared" si="162"/>
        <v>9</v>
      </c>
      <c r="W253" s="3002">
        <f t="shared" si="162"/>
        <v>9</v>
      </c>
      <c r="X253" s="1558">
        <f t="shared" si="161"/>
        <v>9</v>
      </c>
      <c r="Y253" s="3265">
        <f t="shared" ref="Y253:AA253" si="163">COUNT(Y76:Y84)</f>
        <v>9</v>
      </c>
      <c r="Z253" s="3265">
        <f t="shared" si="163"/>
        <v>9</v>
      </c>
      <c r="AA253" s="3265">
        <f t="shared" si="163"/>
        <v>9</v>
      </c>
      <c r="AB253" s="3499"/>
      <c r="AC253" s="3499"/>
      <c r="AD253" s="3499"/>
      <c r="AE253" s="3499"/>
    </row>
    <row r="254" spans="1:31" s="1096" customFormat="1">
      <c r="A254" s="3570"/>
      <c r="B254" s="3583"/>
      <c r="C254" s="3537"/>
      <c r="D254" s="1557">
        <f>D252/D253</f>
        <v>0</v>
      </c>
      <c r="E254" s="1557">
        <f>E252/C252</f>
        <v>0.22222222222222221</v>
      </c>
      <c r="F254" s="1557">
        <f>F252/C252</f>
        <v>0</v>
      </c>
      <c r="G254" s="1557">
        <f>G252/C252</f>
        <v>0.33333333333333331</v>
      </c>
      <c r="H254" s="1557">
        <f>H252/C252</f>
        <v>0</v>
      </c>
      <c r="I254" s="1557">
        <f>I252/C252</f>
        <v>0</v>
      </c>
      <c r="J254" s="1557">
        <f>J252/C252</f>
        <v>0</v>
      </c>
      <c r="K254" s="1557">
        <f>K252/C252</f>
        <v>0</v>
      </c>
      <c r="L254" s="1557">
        <f>L252/C252</f>
        <v>0</v>
      </c>
      <c r="M254" s="1557">
        <f>M252/C252</f>
        <v>0</v>
      </c>
      <c r="N254" s="1557">
        <f>N252/C252</f>
        <v>0</v>
      </c>
      <c r="O254" s="1557">
        <f>O252/C252</f>
        <v>0</v>
      </c>
      <c r="P254" s="1557">
        <f>P252/C252</f>
        <v>0</v>
      </c>
      <c r="Q254" s="1557">
        <f>Q252/C252</f>
        <v>0</v>
      </c>
      <c r="R254" s="1557">
        <f>R252/C252</f>
        <v>0</v>
      </c>
      <c r="S254" s="1557">
        <f>S252/C252</f>
        <v>0</v>
      </c>
      <c r="T254" s="1557">
        <f t="shared" ref="T254" si="164">T252/E252</f>
        <v>0</v>
      </c>
      <c r="U254" s="1557">
        <f t="shared" ref="U254" si="165">U252/E252</f>
        <v>0</v>
      </c>
      <c r="V254" s="1557">
        <f t="shared" ref="V254" si="166">V252/G252</f>
        <v>0</v>
      </c>
      <c r="W254" s="1557">
        <f t="shared" ref="W254" si="167">W252/G252</f>
        <v>0</v>
      </c>
      <c r="X254" s="1557">
        <f>X252/C252</f>
        <v>0</v>
      </c>
      <c r="Y254" s="1557" t="e">
        <f t="shared" ref="Y254:AA254" si="168">Y252/D252</f>
        <v>#DIV/0!</v>
      </c>
      <c r="Z254" s="1557">
        <f t="shared" si="168"/>
        <v>0</v>
      </c>
      <c r="AA254" s="1557" t="e">
        <f t="shared" si="168"/>
        <v>#DIV/0!</v>
      </c>
      <c r="AB254" s="3500"/>
      <c r="AC254" s="3500"/>
      <c r="AD254" s="3500"/>
      <c r="AE254" s="3500"/>
    </row>
    <row r="255" spans="1:31" s="1106" customFormat="1">
      <c r="A255" s="3570"/>
      <c r="B255" s="3565" t="s">
        <v>40</v>
      </c>
      <c r="C255" s="3535">
        <f>COUNTA(A85:A94)</f>
        <v>10</v>
      </c>
      <c r="D255" s="1556">
        <f>COUNTIF(D85:D94,"&lt;=10")</f>
        <v>0</v>
      </c>
      <c r="E255" s="1556">
        <f t="shared" ref="E255:X255" si="169">COUNTIF(E85:E94,"&lt;=10")</f>
        <v>0</v>
      </c>
      <c r="F255" s="1556">
        <f t="shared" si="169"/>
        <v>0</v>
      </c>
      <c r="G255" s="1556">
        <f t="shared" si="169"/>
        <v>0</v>
      </c>
      <c r="H255" s="1556">
        <f t="shared" si="169"/>
        <v>0</v>
      </c>
      <c r="I255" s="1556">
        <f t="shared" si="169"/>
        <v>0</v>
      </c>
      <c r="J255" s="1556">
        <f t="shared" si="169"/>
        <v>0</v>
      </c>
      <c r="K255" s="1556">
        <f t="shared" si="169"/>
        <v>0</v>
      </c>
      <c r="L255" s="1556">
        <f t="shared" si="169"/>
        <v>0</v>
      </c>
      <c r="M255" s="1556">
        <f t="shared" si="169"/>
        <v>0</v>
      </c>
      <c r="N255" s="1868">
        <f t="shared" si="169"/>
        <v>0</v>
      </c>
      <c r="O255" s="1556">
        <f t="shared" si="169"/>
        <v>0</v>
      </c>
      <c r="P255" s="1556">
        <f t="shared" si="169"/>
        <v>0</v>
      </c>
      <c r="Q255" s="1556">
        <f t="shared" si="169"/>
        <v>0</v>
      </c>
      <c r="R255" s="1556">
        <f t="shared" si="169"/>
        <v>0</v>
      </c>
      <c r="S255" s="1556">
        <f t="shared" si="169"/>
        <v>0</v>
      </c>
      <c r="T255" s="3001">
        <f t="shared" ref="T255:W255" si="170">COUNTIF(T85:T94,"&lt;=10")</f>
        <v>0</v>
      </c>
      <c r="U255" s="3001">
        <f t="shared" si="170"/>
        <v>0</v>
      </c>
      <c r="V255" s="3001">
        <f t="shared" si="170"/>
        <v>0</v>
      </c>
      <c r="W255" s="3001">
        <f t="shared" si="170"/>
        <v>0</v>
      </c>
      <c r="X255" s="1556">
        <f t="shared" si="169"/>
        <v>0</v>
      </c>
      <c r="Y255" s="3264">
        <f t="shared" ref="Y255:AA255" si="171">COUNTIF(Y85:Y94,"&lt;=10")</f>
        <v>0</v>
      </c>
      <c r="Z255" s="3264">
        <f t="shared" si="171"/>
        <v>0</v>
      </c>
      <c r="AA255" s="3264">
        <f t="shared" si="171"/>
        <v>0</v>
      </c>
      <c r="AB255" s="3499"/>
      <c r="AC255" s="3499"/>
      <c r="AD255" s="3499"/>
      <c r="AE255" s="3499"/>
    </row>
    <row r="256" spans="1:31" s="4" customFormat="1">
      <c r="A256" s="3570"/>
      <c r="B256" s="3566"/>
      <c r="C256" s="3536"/>
      <c r="D256" s="1558">
        <f>COUNT(D85:D94)</f>
        <v>10</v>
      </c>
      <c r="E256" s="1558">
        <f t="shared" ref="E256:X256" si="172">COUNT(E85:E94)</f>
        <v>10</v>
      </c>
      <c r="F256" s="1558">
        <f t="shared" si="172"/>
        <v>10</v>
      </c>
      <c r="G256" s="1558">
        <f t="shared" si="172"/>
        <v>10</v>
      </c>
      <c r="H256" s="1558">
        <f t="shared" si="172"/>
        <v>10</v>
      </c>
      <c r="I256" s="1558">
        <f t="shared" si="172"/>
        <v>10</v>
      </c>
      <c r="J256" s="1558">
        <f t="shared" si="172"/>
        <v>10</v>
      </c>
      <c r="K256" s="1558">
        <f t="shared" si="172"/>
        <v>10</v>
      </c>
      <c r="L256" s="1558">
        <f t="shared" si="172"/>
        <v>10</v>
      </c>
      <c r="M256" s="1558">
        <f t="shared" si="172"/>
        <v>10</v>
      </c>
      <c r="N256" s="1869">
        <f t="shared" si="172"/>
        <v>10</v>
      </c>
      <c r="O256" s="1558">
        <f t="shared" si="172"/>
        <v>0</v>
      </c>
      <c r="P256" s="1558">
        <f t="shared" si="172"/>
        <v>10</v>
      </c>
      <c r="Q256" s="1558">
        <f t="shared" si="172"/>
        <v>10</v>
      </c>
      <c r="R256" s="1558">
        <f t="shared" si="172"/>
        <v>10</v>
      </c>
      <c r="S256" s="1558">
        <f t="shared" si="172"/>
        <v>10</v>
      </c>
      <c r="T256" s="3002">
        <f t="shared" ref="T256:W256" si="173">COUNT(T85:T94)</f>
        <v>10</v>
      </c>
      <c r="U256" s="3002">
        <f t="shared" si="173"/>
        <v>10</v>
      </c>
      <c r="V256" s="3002">
        <f t="shared" si="173"/>
        <v>10</v>
      </c>
      <c r="W256" s="3002">
        <f t="shared" si="173"/>
        <v>10</v>
      </c>
      <c r="X256" s="1558">
        <f t="shared" si="172"/>
        <v>10</v>
      </c>
      <c r="Y256" s="3265">
        <f t="shared" ref="Y256:AA256" si="174">COUNT(Y85:Y94)</f>
        <v>10</v>
      </c>
      <c r="Z256" s="3265">
        <f t="shared" si="174"/>
        <v>10</v>
      </c>
      <c r="AA256" s="3265">
        <f t="shared" si="174"/>
        <v>10</v>
      </c>
      <c r="AB256" s="3499"/>
      <c r="AC256" s="3499"/>
      <c r="AD256" s="3499"/>
      <c r="AE256" s="3499"/>
    </row>
    <row r="257" spans="1:31">
      <c r="A257" s="3571"/>
      <c r="B257" s="3567"/>
      <c r="C257" s="3537"/>
      <c r="D257" s="1557">
        <f>D255/D256</f>
        <v>0</v>
      </c>
      <c r="E257" s="1557">
        <f>E255/C255</f>
        <v>0</v>
      </c>
      <c r="F257" s="1557">
        <f>F255/C255</f>
        <v>0</v>
      </c>
      <c r="G257" s="1557">
        <f>G255/C255</f>
        <v>0</v>
      </c>
      <c r="H257" s="1557">
        <f>H255/C255</f>
        <v>0</v>
      </c>
      <c r="I257" s="1557">
        <f>I255/C255</f>
        <v>0</v>
      </c>
      <c r="J257" s="1557">
        <f>J255/C255</f>
        <v>0</v>
      </c>
      <c r="K257" s="1557">
        <f>K255/C255</f>
        <v>0</v>
      </c>
      <c r="L257" s="1557">
        <f>L255/C255</f>
        <v>0</v>
      </c>
      <c r="M257" s="1557">
        <f>M255/C255</f>
        <v>0</v>
      </c>
      <c r="N257" s="1557">
        <f>N255/C255</f>
        <v>0</v>
      </c>
      <c r="O257" s="1557">
        <f>O255/C255</f>
        <v>0</v>
      </c>
      <c r="P257" s="1557">
        <f>P255/C255</f>
        <v>0</v>
      </c>
      <c r="Q257" s="1557">
        <f>Q255/C255</f>
        <v>0</v>
      </c>
      <c r="R257" s="1557">
        <f>R255/C255</f>
        <v>0</v>
      </c>
      <c r="S257" s="1557">
        <f>S255/C255</f>
        <v>0</v>
      </c>
      <c r="T257" s="1557" t="e">
        <f t="shared" ref="T257" si="175">T255/E255</f>
        <v>#DIV/0!</v>
      </c>
      <c r="U257" s="1557" t="e">
        <f t="shared" ref="U257" si="176">U255/E255</f>
        <v>#DIV/0!</v>
      </c>
      <c r="V257" s="1557" t="e">
        <f t="shared" ref="V257" si="177">V255/G255</f>
        <v>#DIV/0!</v>
      </c>
      <c r="W257" s="1557" t="e">
        <f t="shared" ref="W257" si="178">W255/G255</f>
        <v>#DIV/0!</v>
      </c>
      <c r="X257" s="1557">
        <f>X255/C255</f>
        <v>0</v>
      </c>
      <c r="Y257" s="1557" t="e">
        <f t="shared" ref="Y257:AA257" si="179">Y255/D255</f>
        <v>#DIV/0!</v>
      </c>
      <c r="Z257" s="1557" t="e">
        <f t="shared" si="179"/>
        <v>#DIV/0!</v>
      </c>
      <c r="AA257" s="1557" t="e">
        <f t="shared" si="179"/>
        <v>#DIV/0!</v>
      </c>
      <c r="AB257" s="3500"/>
      <c r="AC257" s="3500"/>
      <c r="AD257" s="3500"/>
      <c r="AE257" s="3500"/>
    </row>
    <row r="258" spans="1:31">
      <c r="A258" s="3569" t="s">
        <v>300</v>
      </c>
      <c r="B258" s="3565" t="s">
        <v>67</v>
      </c>
      <c r="C258" s="3535">
        <f>COUNTA(A101:A106)</f>
        <v>6</v>
      </c>
      <c r="D258" s="1556">
        <f>COUNTIF(D101:D106,"&lt;=10")</f>
        <v>3</v>
      </c>
      <c r="E258" s="1556">
        <f t="shared" ref="E258:X258" si="180">COUNTIF(E101:E106,"&lt;=10")</f>
        <v>3</v>
      </c>
      <c r="F258" s="1556">
        <f t="shared" si="180"/>
        <v>3</v>
      </c>
      <c r="G258" s="1556">
        <f t="shared" si="180"/>
        <v>3</v>
      </c>
      <c r="H258" s="1556">
        <f t="shared" si="180"/>
        <v>3</v>
      </c>
      <c r="I258" s="1556">
        <f t="shared" si="180"/>
        <v>3</v>
      </c>
      <c r="J258" s="1556">
        <f t="shared" si="180"/>
        <v>3</v>
      </c>
      <c r="K258" s="1556">
        <f t="shared" si="180"/>
        <v>3</v>
      </c>
      <c r="L258" s="1556">
        <f t="shared" si="180"/>
        <v>6</v>
      </c>
      <c r="M258" s="1556">
        <f t="shared" si="180"/>
        <v>6</v>
      </c>
      <c r="N258" s="1868">
        <f t="shared" si="180"/>
        <v>6</v>
      </c>
      <c r="O258" s="1556">
        <f t="shared" si="180"/>
        <v>6</v>
      </c>
      <c r="P258" s="1556">
        <f t="shared" si="180"/>
        <v>6</v>
      </c>
      <c r="Q258" s="1556">
        <f t="shared" si="180"/>
        <v>6</v>
      </c>
      <c r="R258" s="1556">
        <f t="shared" si="180"/>
        <v>4</v>
      </c>
      <c r="S258" s="1556">
        <f t="shared" si="180"/>
        <v>6</v>
      </c>
      <c r="T258" s="3001">
        <f t="shared" ref="T258:W258" si="181">COUNTIF(T101:T106,"&lt;=10")</f>
        <v>6</v>
      </c>
      <c r="U258" s="3001">
        <f t="shared" si="181"/>
        <v>4</v>
      </c>
      <c r="V258" s="3001">
        <f t="shared" si="181"/>
        <v>6</v>
      </c>
      <c r="W258" s="3001">
        <f t="shared" si="181"/>
        <v>0</v>
      </c>
      <c r="X258" s="1556">
        <f t="shared" si="180"/>
        <v>4</v>
      </c>
      <c r="Y258" s="3264">
        <f t="shared" ref="Y258:AA258" si="182">COUNTIF(Y101:Y106,"&lt;=10")</f>
        <v>6</v>
      </c>
      <c r="Z258" s="3264">
        <f t="shared" si="182"/>
        <v>6</v>
      </c>
      <c r="AA258" s="3264">
        <f t="shared" si="182"/>
        <v>6</v>
      </c>
      <c r="AB258" s="3499"/>
      <c r="AC258" s="3499"/>
      <c r="AD258" s="3499"/>
      <c r="AE258" s="3499"/>
    </row>
    <row r="259" spans="1:31">
      <c r="A259" s="3570"/>
      <c r="B259" s="3566"/>
      <c r="C259" s="3536"/>
      <c r="D259" s="1558">
        <f>COUNT(D101:D106)</f>
        <v>3</v>
      </c>
      <c r="E259" s="1558">
        <f t="shared" ref="E259:X259" si="183">COUNT(E101:E106)</f>
        <v>3</v>
      </c>
      <c r="F259" s="1558">
        <f t="shared" si="183"/>
        <v>3</v>
      </c>
      <c r="G259" s="1558">
        <f t="shared" si="183"/>
        <v>3</v>
      </c>
      <c r="H259" s="1558">
        <f t="shared" si="183"/>
        <v>3</v>
      </c>
      <c r="I259" s="1558">
        <f t="shared" si="183"/>
        <v>3</v>
      </c>
      <c r="J259" s="1558">
        <f t="shared" si="183"/>
        <v>3</v>
      </c>
      <c r="K259" s="1558">
        <f t="shared" si="183"/>
        <v>3</v>
      </c>
      <c r="L259" s="1558">
        <f t="shared" si="183"/>
        <v>6</v>
      </c>
      <c r="M259" s="1558">
        <f t="shared" si="183"/>
        <v>6</v>
      </c>
      <c r="N259" s="1869">
        <f t="shared" si="183"/>
        <v>6</v>
      </c>
      <c r="O259" s="1558">
        <f t="shared" si="183"/>
        <v>6</v>
      </c>
      <c r="P259" s="1558">
        <f t="shared" si="183"/>
        <v>6</v>
      </c>
      <c r="Q259" s="1558">
        <f t="shared" si="183"/>
        <v>6</v>
      </c>
      <c r="R259" s="1558">
        <f t="shared" si="183"/>
        <v>6</v>
      </c>
      <c r="S259" s="1558">
        <f t="shared" si="183"/>
        <v>6</v>
      </c>
      <c r="T259" s="3002">
        <f t="shared" ref="T259:W259" si="184">COUNT(T101:T106)</f>
        <v>6</v>
      </c>
      <c r="U259" s="3002">
        <f t="shared" si="184"/>
        <v>6</v>
      </c>
      <c r="V259" s="3002">
        <f t="shared" si="184"/>
        <v>6</v>
      </c>
      <c r="W259" s="3002">
        <f t="shared" si="184"/>
        <v>0</v>
      </c>
      <c r="X259" s="1558">
        <f t="shared" si="183"/>
        <v>6</v>
      </c>
      <c r="Y259" s="3265">
        <f t="shared" ref="Y259:AA259" si="185">COUNT(Y101:Y106)</f>
        <v>6</v>
      </c>
      <c r="Z259" s="3265">
        <f t="shared" si="185"/>
        <v>6</v>
      </c>
      <c r="AA259" s="3265">
        <f t="shared" si="185"/>
        <v>6</v>
      </c>
      <c r="AB259" s="3499"/>
      <c r="AC259" s="3499"/>
      <c r="AD259" s="3499"/>
      <c r="AE259" s="3499"/>
    </row>
    <row r="260" spans="1:31">
      <c r="A260" s="3570"/>
      <c r="B260" s="3567"/>
      <c r="C260" s="3537"/>
      <c r="D260" s="1557">
        <f>D258/D259</f>
        <v>1</v>
      </c>
      <c r="E260" s="1557">
        <f>E258/C258</f>
        <v>0.5</v>
      </c>
      <c r="F260" s="1557">
        <f>F258/C258</f>
        <v>0.5</v>
      </c>
      <c r="G260" s="1557">
        <f>G258/C258</f>
        <v>0.5</v>
      </c>
      <c r="H260" s="1557">
        <f>H258/C258</f>
        <v>0.5</v>
      </c>
      <c r="I260" s="1557">
        <f>I258/C258</f>
        <v>0.5</v>
      </c>
      <c r="J260" s="1557">
        <f>J258/C258</f>
        <v>0.5</v>
      </c>
      <c r="K260" s="1557">
        <f>K258/C258</f>
        <v>0.5</v>
      </c>
      <c r="L260" s="1557">
        <f>L258/C258</f>
        <v>1</v>
      </c>
      <c r="M260" s="1557">
        <f>M258/C258</f>
        <v>1</v>
      </c>
      <c r="N260" s="1557">
        <f>N258/C258</f>
        <v>1</v>
      </c>
      <c r="O260" s="1557">
        <f>O258/C258</f>
        <v>1</v>
      </c>
      <c r="P260" s="1557">
        <f>P258/C258</f>
        <v>1</v>
      </c>
      <c r="Q260" s="1557">
        <f>Q258/C258</f>
        <v>1</v>
      </c>
      <c r="R260" s="1557">
        <f>R258/C258</f>
        <v>0.66666666666666663</v>
      </c>
      <c r="S260" s="1557">
        <f>S258/C258</f>
        <v>1</v>
      </c>
      <c r="T260" s="1557">
        <f t="shared" ref="T260" si="186">T258/E258</f>
        <v>2</v>
      </c>
      <c r="U260" s="1557">
        <f t="shared" ref="U260" si="187">U258/E258</f>
        <v>1.3333333333333333</v>
      </c>
      <c r="V260" s="1557">
        <f t="shared" ref="V260" si="188">V258/G258</f>
        <v>2</v>
      </c>
      <c r="W260" s="1557">
        <f t="shared" ref="W260" si="189">W258/G258</f>
        <v>0</v>
      </c>
      <c r="X260" s="1557">
        <f>X258/C258</f>
        <v>0.66666666666666663</v>
      </c>
      <c r="Y260" s="1557">
        <f t="shared" ref="Y260:AA260" si="190">Y258/D258</f>
        <v>2</v>
      </c>
      <c r="Z260" s="1557">
        <f t="shared" si="190"/>
        <v>2</v>
      </c>
      <c r="AA260" s="1557">
        <f t="shared" si="190"/>
        <v>2</v>
      </c>
      <c r="AB260" s="3500"/>
      <c r="AC260" s="3500"/>
      <c r="AD260" s="3500"/>
      <c r="AE260" s="3500"/>
    </row>
    <row r="261" spans="1:31">
      <c r="A261" s="3570"/>
      <c r="B261" s="3565" t="s">
        <v>186</v>
      </c>
      <c r="C261" s="3535">
        <f>COUNTA(A107:A114)</f>
        <v>8</v>
      </c>
      <c r="D261" s="1556">
        <f>COUNTIF(D107:D114,"&lt;=10")</f>
        <v>2</v>
      </c>
      <c r="E261" s="1556">
        <f t="shared" ref="E261:X261" si="191">COUNTIF(E107:E114,"&lt;=10")</f>
        <v>2</v>
      </c>
      <c r="F261" s="1556">
        <f t="shared" si="191"/>
        <v>5</v>
      </c>
      <c r="G261" s="1556">
        <f t="shared" si="191"/>
        <v>3</v>
      </c>
      <c r="H261" s="1556">
        <f t="shared" si="191"/>
        <v>3</v>
      </c>
      <c r="I261" s="1556">
        <f t="shared" si="191"/>
        <v>0</v>
      </c>
      <c r="J261" s="1556">
        <f t="shared" si="191"/>
        <v>5</v>
      </c>
      <c r="K261" s="1556">
        <f t="shared" si="191"/>
        <v>3</v>
      </c>
      <c r="L261" s="1556">
        <f t="shared" si="191"/>
        <v>3</v>
      </c>
      <c r="M261" s="1556">
        <f t="shared" si="191"/>
        <v>5</v>
      </c>
      <c r="N261" s="1868">
        <f t="shared" si="191"/>
        <v>8</v>
      </c>
      <c r="O261" s="1556">
        <f t="shared" si="191"/>
        <v>7</v>
      </c>
      <c r="P261" s="1556">
        <f t="shared" si="191"/>
        <v>4</v>
      </c>
      <c r="Q261" s="1556">
        <f t="shared" si="191"/>
        <v>3</v>
      </c>
      <c r="R261" s="1556">
        <f t="shared" si="191"/>
        <v>5</v>
      </c>
      <c r="S261" s="1556">
        <f t="shared" si="191"/>
        <v>5</v>
      </c>
      <c r="T261" s="3001">
        <f t="shared" ref="T261:W261" si="192">COUNTIF(T107:T114,"&lt;=10")</f>
        <v>3</v>
      </c>
      <c r="U261" s="3001">
        <f t="shared" si="192"/>
        <v>3</v>
      </c>
      <c r="V261" s="3001">
        <f t="shared" si="192"/>
        <v>7</v>
      </c>
      <c r="W261" s="3001">
        <f t="shared" si="192"/>
        <v>0</v>
      </c>
      <c r="X261" s="1556">
        <f t="shared" si="191"/>
        <v>5</v>
      </c>
      <c r="Y261" s="3264">
        <f t="shared" ref="Y261:AA261" si="193">COUNTIF(Y107:Y114,"&lt;=10")</f>
        <v>5</v>
      </c>
      <c r="Z261" s="3264">
        <f t="shared" si="193"/>
        <v>2</v>
      </c>
      <c r="AA261" s="3264">
        <f t="shared" si="193"/>
        <v>7</v>
      </c>
      <c r="AB261" s="3499"/>
      <c r="AC261" s="3499"/>
      <c r="AD261" s="3499"/>
      <c r="AE261" s="3499"/>
    </row>
    <row r="262" spans="1:31">
      <c r="A262" s="3570"/>
      <c r="B262" s="3566"/>
      <c r="C262" s="3536"/>
      <c r="D262" s="1558">
        <f>COUNT(D107:D114)</f>
        <v>6</v>
      </c>
      <c r="E262" s="1558">
        <f t="shared" ref="E262:X262" si="194">COUNT(E107:E114)</f>
        <v>6</v>
      </c>
      <c r="F262" s="1558">
        <f t="shared" si="194"/>
        <v>6</v>
      </c>
      <c r="G262" s="1558">
        <f t="shared" si="194"/>
        <v>6</v>
      </c>
      <c r="H262" s="1558">
        <f t="shared" si="194"/>
        <v>6</v>
      </c>
      <c r="I262" s="1558">
        <f t="shared" si="194"/>
        <v>6</v>
      </c>
      <c r="J262" s="1558">
        <f t="shared" si="194"/>
        <v>6</v>
      </c>
      <c r="K262" s="1558">
        <f t="shared" si="194"/>
        <v>6</v>
      </c>
      <c r="L262" s="1558">
        <f t="shared" si="194"/>
        <v>8</v>
      </c>
      <c r="M262" s="1558">
        <f t="shared" si="194"/>
        <v>8</v>
      </c>
      <c r="N262" s="1869">
        <f t="shared" si="194"/>
        <v>8</v>
      </c>
      <c r="O262" s="1558">
        <f t="shared" si="194"/>
        <v>8</v>
      </c>
      <c r="P262" s="1558">
        <f t="shared" si="194"/>
        <v>8</v>
      </c>
      <c r="Q262" s="1558">
        <f t="shared" si="194"/>
        <v>8</v>
      </c>
      <c r="R262" s="1558">
        <f t="shared" si="194"/>
        <v>8</v>
      </c>
      <c r="S262" s="1558">
        <f t="shared" si="194"/>
        <v>8</v>
      </c>
      <c r="T262" s="3002">
        <f t="shared" ref="T262:W262" si="195">COUNT(T107:T114)</f>
        <v>8</v>
      </c>
      <c r="U262" s="3002">
        <f t="shared" si="195"/>
        <v>8</v>
      </c>
      <c r="V262" s="3002">
        <f t="shared" si="195"/>
        <v>8</v>
      </c>
      <c r="W262" s="3002">
        <f t="shared" si="195"/>
        <v>0</v>
      </c>
      <c r="X262" s="1558">
        <f t="shared" si="194"/>
        <v>8</v>
      </c>
      <c r="Y262" s="3265">
        <f t="shared" ref="Y262:AA262" si="196">COUNT(Y107:Y114)</f>
        <v>8</v>
      </c>
      <c r="Z262" s="3265">
        <f t="shared" si="196"/>
        <v>7</v>
      </c>
      <c r="AA262" s="3265">
        <f t="shared" si="196"/>
        <v>8</v>
      </c>
      <c r="AB262" s="3499"/>
      <c r="AC262" s="3499"/>
      <c r="AD262" s="3499"/>
      <c r="AE262" s="3499"/>
    </row>
    <row r="263" spans="1:31">
      <c r="A263" s="3570"/>
      <c r="B263" s="3567"/>
      <c r="C263" s="3537"/>
      <c r="D263" s="1557">
        <f>D261/D262</f>
        <v>0.33333333333333331</v>
      </c>
      <c r="E263" s="1557">
        <f>E261/C261</f>
        <v>0.25</v>
      </c>
      <c r="F263" s="1557">
        <f>F261/C261</f>
        <v>0.625</v>
      </c>
      <c r="G263" s="1557">
        <f>G261/C261</f>
        <v>0.375</v>
      </c>
      <c r="H263" s="1557">
        <f>H261/C261</f>
        <v>0.375</v>
      </c>
      <c r="I263" s="1557">
        <f>I261/C261</f>
        <v>0</v>
      </c>
      <c r="J263" s="1557">
        <f>J261/C261</f>
        <v>0.625</v>
      </c>
      <c r="K263" s="1557">
        <f>K261/C261</f>
        <v>0.375</v>
      </c>
      <c r="L263" s="1557">
        <f>L261/C261</f>
        <v>0.375</v>
      </c>
      <c r="M263" s="1557">
        <f>M261/C261</f>
        <v>0.625</v>
      </c>
      <c r="N263" s="1557">
        <f>N261/C261</f>
        <v>1</v>
      </c>
      <c r="O263" s="1557">
        <f>O261/C261</f>
        <v>0.875</v>
      </c>
      <c r="P263" s="1557">
        <f>P261/C261</f>
        <v>0.5</v>
      </c>
      <c r="Q263" s="1557">
        <f>Q261/C261</f>
        <v>0.375</v>
      </c>
      <c r="R263" s="1557">
        <f>R261/C261</f>
        <v>0.625</v>
      </c>
      <c r="S263" s="1557">
        <f>S261/C261</f>
        <v>0.625</v>
      </c>
      <c r="T263" s="1557">
        <f t="shared" ref="T263" si="197">T261/E261</f>
        <v>1.5</v>
      </c>
      <c r="U263" s="1557">
        <f t="shared" ref="U263" si="198">U261/E261</f>
        <v>1.5</v>
      </c>
      <c r="V263" s="1557">
        <f t="shared" ref="V263" si="199">V261/G261</f>
        <v>2.3333333333333335</v>
      </c>
      <c r="W263" s="1557">
        <f t="shared" ref="W263" si="200">W261/G261</f>
        <v>0</v>
      </c>
      <c r="X263" s="1557">
        <f>X261/C261</f>
        <v>0.625</v>
      </c>
      <c r="Y263" s="1557">
        <f t="shared" ref="Y263:AA263" si="201">Y261/D261</f>
        <v>2.5</v>
      </c>
      <c r="Z263" s="1557">
        <f t="shared" si="201"/>
        <v>1</v>
      </c>
      <c r="AA263" s="1557">
        <f t="shared" si="201"/>
        <v>1.4</v>
      </c>
      <c r="AB263" s="3500"/>
      <c r="AC263" s="3500"/>
      <c r="AD263" s="3500"/>
      <c r="AE263" s="3500"/>
    </row>
    <row r="264" spans="1:31">
      <c r="A264" s="3570"/>
      <c r="B264" s="3565" t="s">
        <v>133</v>
      </c>
      <c r="C264" s="3535">
        <f>COUNTA(A115:A119)</f>
        <v>5</v>
      </c>
      <c r="D264" s="1556">
        <f t="shared" ref="D264:AA264" si="202">COUNTIF(D115:D119,"&lt;=10")</f>
        <v>0</v>
      </c>
      <c r="E264" s="1556">
        <f t="shared" si="202"/>
        <v>0</v>
      </c>
      <c r="F264" s="1556">
        <f t="shared" si="202"/>
        <v>0</v>
      </c>
      <c r="G264" s="1556">
        <f t="shared" si="202"/>
        <v>0</v>
      </c>
      <c r="H264" s="1556">
        <f t="shared" si="202"/>
        <v>0</v>
      </c>
      <c r="I264" s="1556">
        <f t="shared" si="202"/>
        <v>4</v>
      </c>
      <c r="J264" s="1556">
        <f t="shared" si="202"/>
        <v>5</v>
      </c>
      <c r="K264" s="1556">
        <f t="shared" si="202"/>
        <v>5</v>
      </c>
      <c r="L264" s="1556">
        <f t="shared" si="202"/>
        <v>3</v>
      </c>
      <c r="M264" s="1556">
        <f t="shared" si="202"/>
        <v>3</v>
      </c>
      <c r="N264" s="1868">
        <f t="shared" si="202"/>
        <v>5</v>
      </c>
      <c r="O264" s="1556">
        <f t="shared" si="202"/>
        <v>5</v>
      </c>
      <c r="P264" s="1556">
        <f t="shared" si="202"/>
        <v>1</v>
      </c>
      <c r="Q264" s="1556">
        <f t="shared" si="202"/>
        <v>3</v>
      </c>
      <c r="R264" s="1556">
        <f t="shared" si="202"/>
        <v>5</v>
      </c>
      <c r="S264" s="1556">
        <f t="shared" si="202"/>
        <v>4</v>
      </c>
      <c r="T264" s="3001">
        <f t="shared" si="202"/>
        <v>3</v>
      </c>
      <c r="U264" s="3001">
        <f t="shared" si="202"/>
        <v>3</v>
      </c>
      <c r="V264" s="3001">
        <f t="shared" si="202"/>
        <v>4</v>
      </c>
      <c r="W264" s="3001">
        <f t="shared" si="202"/>
        <v>0</v>
      </c>
      <c r="X264" s="1556">
        <f t="shared" si="202"/>
        <v>3</v>
      </c>
      <c r="Y264" s="3264">
        <f t="shared" si="202"/>
        <v>4</v>
      </c>
      <c r="Z264" s="3264">
        <f t="shared" si="202"/>
        <v>4</v>
      </c>
      <c r="AA264" s="3264">
        <f t="shared" si="202"/>
        <v>4</v>
      </c>
      <c r="AB264" s="3499"/>
      <c r="AC264" s="3499"/>
      <c r="AD264" s="3499"/>
      <c r="AE264" s="3499"/>
    </row>
    <row r="265" spans="1:31">
      <c r="A265" s="3570"/>
      <c r="B265" s="3566"/>
      <c r="C265" s="3536"/>
      <c r="D265" s="1558">
        <f t="shared" ref="D265:AA265" si="203">COUNT(D115:D119)</f>
        <v>0</v>
      </c>
      <c r="E265" s="1558">
        <f t="shared" si="203"/>
        <v>0</v>
      </c>
      <c r="F265" s="1558">
        <f t="shared" si="203"/>
        <v>0</v>
      </c>
      <c r="G265" s="1558">
        <f t="shared" si="203"/>
        <v>0</v>
      </c>
      <c r="H265" s="1558">
        <f t="shared" si="203"/>
        <v>0</v>
      </c>
      <c r="I265" s="1558">
        <f t="shared" si="203"/>
        <v>5</v>
      </c>
      <c r="J265" s="1558">
        <f t="shared" si="203"/>
        <v>5</v>
      </c>
      <c r="K265" s="1558">
        <f t="shared" si="203"/>
        <v>5</v>
      </c>
      <c r="L265" s="1558">
        <f t="shared" si="203"/>
        <v>5</v>
      </c>
      <c r="M265" s="1558">
        <f t="shared" si="203"/>
        <v>5</v>
      </c>
      <c r="N265" s="1869">
        <f t="shared" si="203"/>
        <v>5</v>
      </c>
      <c r="O265" s="1558">
        <f t="shared" si="203"/>
        <v>5</v>
      </c>
      <c r="P265" s="1558">
        <f t="shared" si="203"/>
        <v>5</v>
      </c>
      <c r="Q265" s="1558">
        <f t="shared" si="203"/>
        <v>5</v>
      </c>
      <c r="R265" s="1558">
        <f t="shared" si="203"/>
        <v>5</v>
      </c>
      <c r="S265" s="1558">
        <f t="shared" si="203"/>
        <v>5</v>
      </c>
      <c r="T265" s="3002">
        <f t="shared" si="203"/>
        <v>5</v>
      </c>
      <c r="U265" s="3002">
        <f t="shared" si="203"/>
        <v>5</v>
      </c>
      <c r="V265" s="3002">
        <f t="shared" si="203"/>
        <v>5</v>
      </c>
      <c r="W265" s="3002">
        <f t="shared" si="203"/>
        <v>0</v>
      </c>
      <c r="X265" s="1558">
        <f t="shared" si="203"/>
        <v>5</v>
      </c>
      <c r="Y265" s="3265">
        <f t="shared" si="203"/>
        <v>4</v>
      </c>
      <c r="Z265" s="3265">
        <f t="shared" si="203"/>
        <v>5</v>
      </c>
      <c r="AA265" s="3265">
        <f t="shared" si="203"/>
        <v>5</v>
      </c>
      <c r="AB265" s="3499"/>
      <c r="AC265" s="3499"/>
      <c r="AD265" s="3499"/>
      <c r="AE265" s="3499"/>
    </row>
    <row r="266" spans="1:31">
      <c r="A266" s="3570"/>
      <c r="B266" s="3567"/>
      <c r="C266" s="3537"/>
      <c r="D266" s="1557" t="e">
        <f>D264/D265</f>
        <v>#DIV/0!</v>
      </c>
      <c r="E266" s="1557">
        <f>E264/C264</f>
        <v>0</v>
      </c>
      <c r="F266" s="1557">
        <f>F264/C264</f>
        <v>0</v>
      </c>
      <c r="G266" s="1557">
        <f>G264/C264</f>
        <v>0</v>
      </c>
      <c r="H266" s="1557">
        <f>H264/C264</f>
        <v>0</v>
      </c>
      <c r="I266" s="1557">
        <f>I264/C264</f>
        <v>0.8</v>
      </c>
      <c r="J266" s="1557">
        <f>J264/C264</f>
        <v>1</v>
      </c>
      <c r="K266" s="1557">
        <f>K264/C264</f>
        <v>1</v>
      </c>
      <c r="L266" s="1557">
        <f>L264/C264</f>
        <v>0.6</v>
      </c>
      <c r="M266" s="1557">
        <f>M264/C264</f>
        <v>0.6</v>
      </c>
      <c r="N266" s="1557">
        <f>N264/C264</f>
        <v>1</v>
      </c>
      <c r="O266" s="1557">
        <f>O264/C264</f>
        <v>1</v>
      </c>
      <c r="P266" s="1557">
        <f>P264/C264</f>
        <v>0.2</v>
      </c>
      <c r="Q266" s="1557">
        <f>Q264/C264</f>
        <v>0.6</v>
      </c>
      <c r="R266" s="1557">
        <f>R264/C264</f>
        <v>1</v>
      </c>
      <c r="S266" s="1557">
        <f>S264/C264</f>
        <v>0.8</v>
      </c>
      <c r="T266" s="1557" t="e">
        <f t="shared" ref="T266" si="204">T264/E264</f>
        <v>#DIV/0!</v>
      </c>
      <c r="U266" s="1557" t="e">
        <f t="shared" ref="U266" si="205">U264/E264</f>
        <v>#DIV/0!</v>
      </c>
      <c r="V266" s="1557" t="e">
        <f t="shared" ref="V266" si="206">V264/G264</f>
        <v>#DIV/0!</v>
      </c>
      <c r="W266" s="1557" t="e">
        <f t="shared" ref="W266" si="207">W264/G264</f>
        <v>#DIV/0!</v>
      </c>
      <c r="X266" s="1557">
        <f>X264/C264</f>
        <v>0.6</v>
      </c>
      <c r="Y266" s="1557" t="e">
        <f t="shared" ref="Y266:AA266" si="208">Y264/D264</f>
        <v>#DIV/0!</v>
      </c>
      <c r="Z266" s="1557" t="e">
        <f t="shared" si="208"/>
        <v>#DIV/0!</v>
      </c>
      <c r="AA266" s="1557" t="e">
        <f t="shared" si="208"/>
        <v>#DIV/0!</v>
      </c>
      <c r="AB266" s="3500"/>
      <c r="AC266" s="3500"/>
      <c r="AD266" s="3500"/>
      <c r="AE266" s="3500"/>
    </row>
    <row r="267" spans="1:31">
      <c r="A267" s="3570"/>
      <c r="B267" s="3565" t="s">
        <v>70</v>
      </c>
      <c r="C267" s="3535">
        <f>COUNTA(A120:A124)</f>
        <v>5</v>
      </c>
      <c r="D267" s="1556">
        <f>COUNTIF(D120:D124,"&lt;=10")</f>
        <v>4</v>
      </c>
      <c r="E267" s="1556">
        <f t="shared" ref="E267:X267" si="209">COUNTIF(E120:E124,"&lt;=10")</f>
        <v>4</v>
      </c>
      <c r="F267" s="1556">
        <f t="shared" si="209"/>
        <v>5</v>
      </c>
      <c r="G267" s="1556">
        <f t="shared" si="209"/>
        <v>4</v>
      </c>
      <c r="H267" s="1556">
        <f t="shared" si="209"/>
        <v>5</v>
      </c>
      <c r="I267" s="1556">
        <f t="shared" si="209"/>
        <v>4</v>
      </c>
      <c r="J267" s="1556">
        <f t="shared" si="209"/>
        <v>4</v>
      </c>
      <c r="K267" s="1556">
        <f t="shared" si="209"/>
        <v>4</v>
      </c>
      <c r="L267" s="1556">
        <f t="shared" si="209"/>
        <v>5</v>
      </c>
      <c r="M267" s="1556">
        <f t="shared" si="209"/>
        <v>4</v>
      </c>
      <c r="N267" s="1868">
        <f t="shared" si="209"/>
        <v>4</v>
      </c>
      <c r="O267" s="1556">
        <f t="shared" si="209"/>
        <v>4</v>
      </c>
      <c r="P267" s="1556">
        <f t="shared" si="209"/>
        <v>3</v>
      </c>
      <c r="Q267" s="1556">
        <f t="shared" si="209"/>
        <v>4</v>
      </c>
      <c r="R267" s="1556">
        <f t="shared" si="209"/>
        <v>3</v>
      </c>
      <c r="S267" s="1556">
        <f t="shared" si="209"/>
        <v>4</v>
      </c>
      <c r="T267" s="3001">
        <f t="shared" ref="T267:W267" si="210">COUNTIF(T120:T124,"&lt;=10")</f>
        <v>4</v>
      </c>
      <c r="U267" s="3001">
        <f t="shared" si="210"/>
        <v>4</v>
      </c>
      <c r="V267" s="3001">
        <f t="shared" si="210"/>
        <v>4</v>
      </c>
      <c r="W267" s="3001">
        <f t="shared" si="210"/>
        <v>0</v>
      </c>
      <c r="X267" s="1556">
        <f t="shared" si="209"/>
        <v>3</v>
      </c>
      <c r="Y267" s="3264">
        <f t="shared" ref="Y267:AA267" si="211">COUNTIF(Y120:Y124,"&lt;=10")</f>
        <v>4</v>
      </c>
      <c r="Z267" s="3264">
        <f t="shared" si="211"/>
        <v>4</v>
      </c>
      <c r="AA267" s="3264">
        <f t="shared" si="211"/>
        <v>4</v>
      </c>
      <c r="AB267" s="3499"/>
      <c r="AC267" s="3499"/>
      <c r="AD267" s="3499"/>
      <c r="AE267" s="3499"/>
    </row>
    <row r="268" spans="1:31">
      <c r="A268" s="3570"/>
      <c r="B268" s="3566"/>
      <c r="C268" s="3536"/>
      <c r="D268" s="1558">
        <f>COUNT(D120:D124)</f>
        <v>5</v>
      </c>
      <c r="E268" s="1558">
        <f t="shared" ref="E268:X268" si="212">COUNT(E120:E124)</f>
        <v>5</v>
      </c>
      <c r="F268" s="1558">
        <f t="shared" si="212"/>
        <v>5</v>
      </c>
      <c r="G268" s="1558">
        <f t="shared" si="212"/>
        <v>5</v>
      </c>
      <c r="H268" s="1558">
        <f t="shared" si="212"/>
        <v>5</v>
      </c>
      <c r="I268" s="1558">
        <f t="shared" si="212"/>
        <v>5</v>
      </c>
      <c r="J268" s="1558">
        <f t="shared" si="212"/>
        <v>5</v>
      </c>
      <c r="K268" s="1558">
        <f t="shared" si="212"/>
        <v>5</v>
      </c>
      <c r="L268" s="1558">
        <f t="shared" si="212"/>
        <v>5</v>
      </c>
      <c r="M268" s="1558">
        <f t="shared" si="212"/>
        <v>5</v>
      </c>
      <c r="N268" s="1869">
        <f t="shared" si="212"/>
        <v>5</v>
      </c>
      <c r="O268" s="1558">
        <f t="shared" si="212"/>
        <v>5</v>
      </c>
      <c r="P268" s="1558">
        <f t="shared" si="212"/>
        <v>5</v>
      </c>
      <c r="Q268" s="1558">
        <f t="shared" si="212"/>
        <v>5</v>
      </c>
      <c r="R268" s="1558">
        <f t="shared" si="212"/>
        <v>5</v>
      </c>
      <c r="S268" s="1558">
        <f t="shared" si="212"/>
        <v>5</v>
      </c>
      <c r="T268" s="3002">
        <f t="shared" ref="T268:W268" si="213">COUNT(T120:T124)</f>
        <v>5</v>
      </c>
      <c r="U268" s="3002">
        <f t="shared" si="213"/>
        <v>5</v>
      </c>
      <c r="V268" s="3002">
        <f t="shared" si="213"/>
        <v>4</v>
      </c>
      <c r="W268" s="3002">
        <f t="shared" si="213"/>
        <v>0</v>
      </c>
      <c r="X268" s="1558">
        <f t="shared" si="212"/>
        <v>5</v>
      </c>
      <c r="Y268" s="3265">
        <f t="shared" ref="Y268:AA268" si="214">COUNT(Y120:Y124)</f>
        <v>5</v>
      </c>
      <c r="Z268" s="3265">
        <f t="shared" si="214"/>
        <v>5</v>
      </c>
      <c r="AA268" s="3265">
        <f t="shared" si="214"/>
        <v>5</v>
      </c>
      <c r="AB268" s="3499"/>
      <c r="AC268" s="3499"/>
      <c r="AD268" s="3499"/>
      <c r="AE268" s="3499"/>
    </row>
    <row r="269" spans="1:31">
      <c r="A269" s="3571"/>
      <c r="B269" s="3567"/>
      <c r="C269" s="3537"/>
      <c r="D269" s="1557">
        <f>D267/D268</f>
        <v>0.8</v>
      </c>
      <c r="E269" s="1557">
        <f>E267/C267</f>
        <v>0.8</v>
      </c>
      <c r="F269" s="1557">
        <f>F267/C267</f>
        <v>1</v>
      </c>
      <c r="G269" s="1557">
        <f>G267/C267</f>
        <v>0.8</v>
      </c>
      <c r="H269" s="1557">
        <f>H267/C267</f>
        <v>1</v>
      </c>
      <c r="I269" s="1557">
        <f>I267/C267</f>
        <v>0.8</v>
      </c>
      <c r="J269" s="1557">
        <f>J267/C267</f>
        <v>0.8</v>
      </c>
      <c r="K269" s="1557">
        <f>K267/C267</f>
        <v>0.8</v>
      </c>
      <c r="L269" s="1557">
        <f>L267/C267</f>
        <v>1</v>
      </c>
      <c r="M269" s="1557">
        <f>M267/C267</f>
        <v>0.8</v>
      </c>
      <c r="N269" s="1557">
        <f>N267/C267</f>
        <v>0.8</v>
      </c>
      <c r="O269" s="1557">
        <f>O267/C267</f>
        <v>0.8</v>
      </c>
      <c r="P269" s="1557">
        <f>P267/C267</f>
        <v>0.6</v>
      </c>
      <c r="Q269" s="1557">
        <f>Q267/C267</f>
        <v>0.8</v>
      </c>
      <c r="R269" s="1557">
        <f>R267/C267</f>
        <v>0.6</v>
      </c>
      <c r="S269" s="1557">
        <f>S267/C267</f>
        <v>0.8</v>
      </c>
      <c r="T269" s="1557">
        <f t="shared" ref="T269" si="215">T267/E267</f>
        <v>1</v>
      </c>
      <c r="U269" s="1557">
        <f t="shared" ref="U269" si="216">U267/E267</f>
        <v>1</v>
      </c>
      <c r="V269" s="1557">
        <f t="shared" ref="V269" si="217">V267/G267</f>
        <v>1</v>
      </c>
      <c r="W269" s="1557">
        <f t="shared" ref="W269" si="218">W267/G267</f>
        <v>0</v>
      </c>
      <c r="X269" s="1557">
        <f>X267/C267</f>
        <v>0.6</v>
      </c>
      <c r="Y269" s="1557">
        <f t="shared" ref="Y269:AA269" si="219">Y267/D267</f>
        <v>1</v>
      </c>
      <c r="Z269" s="1557">
        <f t="shared" si="219"/>
        <v>1</v>
      </c>
      <c r="AA269" s="1557">
        <f t="shared" si="219"/>
        <v>0.8</v>
      </c>
      <c r="AB269" s="3500"/>
      <c r="AC269" s="3500"/>
      <c r="AD269" s="3500"/>
      <c r="AE269" s="3500"/>
    </row>
    <row r="270" spans="1:31">
      <c r="A270" s="3572" t="s">
        <v>291</v>
      </c>
      <c r="B270" s="3574"/>
      <c r="C270" s="1104">
        <f>SUM(C222:C267)</f>
        <v>84</v>
      </c>
      <c r="D270" s="1104">
        <f>SUM(D222,D225,D228,D231,D234,D237,D240,D243,D246,D249,D252,D255,D258,D261,D264,D267)</f>
        <v>25</v>
      </c>
      <c r="E270" s="1104">
        <f t="shared" ref="E270:X270" si="220">SUM(E222,E225,E228,E231,E234,E237,E240,E243,E246,E249,E252,E255,E258,E261,E264,E267)</f>
        <v>31</v>
      </c>
      <c r="F270" s="1104">
        <f t="shared" si="220"/>
        <v>40</v>
      </c>
      <c r="G270" s="1104">
        <f t="shared" si="220"/>
        <v>38</v>
      </c>
      <c r="H270" s="1104">
        <f t="shared" si="220"/>
        <v>29</v>
      </c>
      <c r="I270" s="1104">
        <f t="shared" si="220"/>
        <v>27</v>
      </c>
      <c r="J270" s="1104">
        <f t="shared" si="220"/>
        <v>41</v>
      </c>
      <c r="K270" s="1104">
        <f t="shared" si="220"/>
        <v>33</v>
      </c>
      <c r="L270" s="1104">
        <f t="shared" si="220"/>
        <v>29</v>
      </c>
      <c r="M270" s="1104">
        <f t="shared" si="220"/>
        <v>34</v>
      </c>
      <c r="N270" s="1104">
        <f t="shared" si="220"/>
        <v>47</v>
      </c>
      <c r="O270" s="1104">
        <f t="shared" si="220"/>
        <v>39</v>
      </c>
      <c r="P270" s="1104">
        <f t="shared" si="220"/>
        <v>23</v>
      </c>
      <c r="Q270" s="1104">
        <f t="shared" si="220"/>
        <v>26</v>
      </c>
      <c r="R270" s="1104">
        <f t="shared" si="220"/>
        <v>27</v>
      </c>
      <c r="S270" s="1104">
        <f t="shared" si="220"/>
        <v>34</v>
      </c>
      <c r="T270" s="1104">
        <f t="shared" ref="T270:W270" si="221">SUM(T222,T225,T228,T231,T234,T237,T240,T243,T246,T249,T252,T255,T258,T261,T264,T267)</f>
        <v>16</v>
      </c>
      <c r="U270" s="1104">
        <f t="shared" si="221"/>
        <v>14</v>
      </c>
      <c r="V270" s="1104">
        <f t="shared" si="221"/>
        <v>21</v>
      </c>
      <c r="W270" s="1104">
        <f t="shared" si="221"/>
        <v>14</v>
      </c>
      <c r="X270" s="1104">
        <f t="shared" si="220"/>
        <v>27</v>
      </c>
      <c r="Y270" s="1104">
        <f t="shared" ref="Y270:AA270" si="222">SUM(Y222,Y225,Y228,Y231,Y234,Y237,Y240,Y243,Y246,Y249,Y252,Y255,Y258,Y261,Y264,Y267)</f>
        <v>25</v>
      </c>
      <c r="Z270" s="1104">
        <f t="shared" si="222"/>
        <v>27</v>
      </c>
      <c r="AA270" s="1104">
        <f t="shared" si="222"/>
        <v>30</v>
      </c>
      <c r="AB270" s="45"/>
      <c r="AC270" s="45"/>
      <c r="AD270" s="45"/>
      <c r="AE270" s="45"/>
    </row>
    <row r="271" spans="1:31">
      <c r="A271" s="3575"/>
      <c r="B271" s="3577"/>
      <c r="C271" s="1375" t="s">
        <v>305</v>
      </c>
      <c r="D271" s="1104">
        <f>SUM(D223,D226,D229,D232,D235,D238,D241,D244,D247,D250,D253,D256,D259,D262,D265,D268)</f>
        <v>73</v>
      </c>
      <c r="E271" s="1104">
        <f t="shared" ref="E271:X271" si="223">SUM(E223,E226,E229,E232,E235,E238,E241,E244,E247,E250,E253,E256,E259,E262,E265,E268)</f>
        <v>73</v>
      </c>
      <c r="F271" s="1104">
        <f t="shared" si="223"/>
        <v>74</v>
      </c>
      <c r="G271" s="1104">
        <f t="shared" si="223"/>
        <v>74</v>
      </c>
      <c r="H271" s="1104">
        <f t="shared" si="223"/>
        <v>74</v>
      </c>
      <c r="I271" s="1104">
        <f t="shared" si="223"/>
        <v>79</v>
      </c>
      <c r="J271" s="1104">
        <f t="shared" si="223"/>
        <v>79</v>
      </c>
      <c r="K271" s="1104">
        <f t="shared" si="223"/>
        <v>79</v>
      </c>
      <c r="L271" s="1104">
        <f t="shared" si="223"/>
        <v>80</v>
      </c>
      <c r="M271" s="1104">
        <f t="shared" si="223"/>
        <v>84</v>
      </c>
      <c r="N271" s="1104">
        <f t="shared" si="223"/>
        <v>84</v>
      </c>
      <c r="O271" s="1104">
        <f t="shared" si="223"/>
        <v>53</v>
      </c>
      <c r="P271" s="1104">
        <f t="shared" si="223"/>
        <v>76</v>
      </c>
      <c r="Q271" s="1104">
        <f t="shared" si="223"/>
        <v>78</v>
      </c>
      <c r="R271" s="1104">
        <f t="shared" si="223"/>
        <v>79</v>
      </c>
      <c r="S271" s="1104">
        <f t="shared" si="223"/>
        <v>84</v>
      </c>
      <c r="T271" s="1104">
        <f t="shared" ref="T271:W271" si="224">SUM(T223,T226,T229,T232,T235,T238,T241,T244,T247,T250,T253,T256,T259,T262,T265,T268)</f>
        <v>63</v>
      </c>
      <c r="U271" s="1104">
        <f t="shared" si="224"/>
        <v>62</v>
      </c>
      <c r="V271" s="1104">
        <f t="shared" si="224"/>
        <v>62</v>
      </c>
      <c r="W271" s="1104">
        <f t="shared" si="224"/>
        <v>60</v>
      </c>
      <c r="X271" s="1104">
        <f t="shared" si="223"/>
        <v>83</v>
      </c>
      <c r="Y271" s="1104">
        <f t="shared" ref="Y271:AA271" si="225">SUM(Y223,Y226,Y229,Y232,Y235,Y238,Y241,Y244,Y247,Y250,Y253,Y256,Y259,Y262,Y265,Y268)</f>
        <v>82</v>
      </c>
      <c r="Z271" s="1104">
        <f t="shared" si="225"/>
        <v>82</v>
      </c>
      <c r="AA271" s="1104">
        <f t="shared" si="225"/>
        <v>83</v>
      </c>
      <c r="AB271" s="45"/>
      <c r="AC271" s="45"/>
      <c r="AD271" s="45"/>
      <c r="AE271" s="45"/>
    </row>
    <row r="272" spans="1:31">
      <c r="A272" s="3578"/>
      <c r="B272" s="3580"/>
      <c r="C272" s="1100" t="s">
        <v>302</v>
      </c>
      <c r="D272" s="1105">
        <f>D270/D271</f>
        <v>0.34246575342465752</v>
      </c>
      <c r="E272" s="1105">
        <f t="shared" ref="E272:X272" si="226">E270/E271</f>
        <v>0.42465753424657532</v>
      </c>
      <c r="F272" s="1105">
        <f t="shared" si="226"/>
        <v>0.54054054054054057</v>
      </c>
      <c r="G272" s="1105">
        <f t="shared" si="226"/>
        <v>0.51351351351351349</v>
      </c>
      <c r="H272" s="1105">
        <f t="shared" si="226"/>
        <v>0.39189189189189189</v>
      </c>
      <c r="I272" s="1105">
        <f t="shared" si="226"/>
        <v>0.34177215189873417</v>
      </c>
      <c r="J272" s="1105">
        <f t="shared" si="226"/>
        <v>0.51898734177215189</v>
      </c>
      <c r="K272" s="1105">
        <f t="shared" si="226"/>
        <v>0.41772151898734178</v>
      </c>
      <c r="L272" s="1105">
        <f t="shared" si="226"/>
        <v>0.36249999999999999</v>
      </c>
      <c r="M272" s="1105">
        <f t="shared" si="226"/>
        <v>0.40476190476190477</v>
      </c>
      <c r="N272" s="1105">
        <f t="shared" si="226"/>
        <v>0.55952380952380953</v>
      </c>
      <c r="O272" s="1105">
        <f t="shared" si="226"/>
        <v>0.73584905660377353</v>
      </c>
      <c r="P272" s="1105">
        <f t="shared" si="226"/>
        <v>0.30263157894736842</v>
      </c>
      <c r="Q272" s="1105">
        <f t="shared" si="226"/>
        <v>0.33333333333333331</v>
      </c>
      <c r="R272" s="1105">
        <f t="shared" si="226"/>
        <v>0.34177215189873417</v>
      </c>
      <c r="S272" s="1105">
        <f t="shared" si="226"/>
        <v>0.40476190476190477</v>
      </c>
      <c r="T272" s="1105">
        <f t="shared" ref="T272:W272" si="227">T270/T271</f>
        <v>0.25396825396825395</v>
      </c>
      <c r="U272" s="1105">
        <f t="shared" si="227"/>
        <v>0.22580645161290322</v>
      </c>
      <c r="V272" s="1105">
        <f t="shared" si="227"/>
        <v>0.33870967741935482</v>
      </c>
      <c r="W272" s="1105">
        <f t="shared" si="227"/>
        <v>0.23333333333333334</v>
      </c>
      <c r="X272" s="1105">
        <f t="shared" si="226"/>
        <v>0.3253012048192771</v>
      </c>
      <c r="Y272" s="1105">
        <f t="shared" ref="Y272:AA272" si="228">Y270/Y271</f>
        <v>0.3048780487804878</v>
      </c>
      <c r="Z272" s="1105">
        <f t="shared" si="228"/>
        <v>0.32926829268292684</v>
      </c>
      <c r="AA272" s="1105">
        <f t="shared" si="228"/>
        <v>0.36144578313253012</v>
      </c>
      <c r="AB272" s="3501"/>
      <c r="AC272" s="3501"/>
      <c r="AD272" s="3501"/>
      <c r="AE272" s="3501"/>
    </row>
  </sheetData>
  <sortState ref="C104:M108">
    <sortCondition ref="C104:C108"/>
  </sortState>
  <mergeCells count="71">
    <mergeCell ref="B225:B227"/>
    <mergeCell ref="B231:B233"/>
    <mergeCell ref="B228:B230"/>
    <mergeCell ref="B234:B236"/>
    <mergeCell ref="B237:B239"/>
    <mergeCell ref="C267:C269"/>
    <mergeCell ref="A270:B272"/>
    <mergeCell ref="B258:B260"/>
    <mergeCell ref="B261:B263"/>
    <mergeCell ref="B264:B266"/>
    <mergeCell ref="B267:B269"/>
    <mergeCell ref="C258:C260"/>
    <mergeCell ref="A258:A269"/>
    <mergeCell ref="C261:C263"/>
    <mergeCell ref="C264:C266"/>
    <mergeCell ref="B255:B257"/>
    <mergeCell ref="A219:A221"/>
    <mergeCell ref="B219:B221"/>
    <mergeCell ref="C219:C221"/>
    <mergeCell ref="C255:C257"/>
    <mergeCell ref="C243:C245"/>
    <mergeCell ref="C246:C248"/>
    <mergeCell ref="C249:C251"/>
    <mergeCell ref="C252:C254"/>
    <mergeCell ref="C225:C227"/>
    <mergeCell ref="C228:C230"/>
    <mergeCell ref="C231:C233"/>
    <mergeCell ref="C234:C236"/>
    <mergeCell ref="C237:C239"/>
    <mergeCell ref="A222:A248"/>
    <mergeCell ref="A249:A257"/>
    <mergeCell ref="B252:B254"/>
    <mergeCell ref="T220:W220"/>
    <mergeCell ref="B222:B224"/>
    <mergeCell ref="C222:C224"/>
    <mergeCell ref="E5:M5"/>
    <mergeCell ref="F6:L6"/>
    <mergeCell ref="B249:B251"/>
    <mergeCell ref="D219:X219"/>
    <mergeCell ref="D220:G220"/>
    <mergeCell ref="H220:K220"/>
    <mergeCell ref="L220:O220"/>
    <mergeCell ref="P220:S220"/>
    <mergeCell ref="B240:B242"/>
    <mergeCell ref="B243:B245"/>
    <mergeCell ref="B246:B248"/>
    <mergeCell ref="C240:C242"/>
    <mergeCell ref="T8:W8"/>
    <mergeCell ref="D2:N3"/>
    <mergeCell ref="P8:S8"/>
    <mergeCell ref="A8:A9"/>
    <mergeCell ref="C8:C9"/>
    <mergeCell ref="D8:G8"/>
    <mergeCell ref="H8:K8"/>
    <mergeCell ref="F7:L7"/>
    <mergeCell ref="AB8:AE8"/>
    <mergeCell ref="X220:AA220"/>
    <mergeCell ref="AB220:AE220"/>
    <mergeCell ref="A47:A50"/>
    <mergeCell ref="A51:A53"/>
    <mergeCell ref="A54:A56"/>
    <mergeCell ref="A57:A59"/>
    <mergeCell ref="A60:A62"/>
    <mergeCell ref="X8:AA8"/>
    <mergeCell ref="F157:I158"/>
    <mergeCell ref="B130:B132"/>
    <mergeCell ref="F202:I203"/>
    <mergeCell ref="F136:I137"/>
    <mergeCell ref="N136:Q137"/>
    <mergeCell ref="N157:Q158"/>
    <mergeCell ref="N202:Q203"/>
  </mergeCells>
  <conditionalFormatting sqref="K202:K203 D157:E158 K157:K158 K135:K136 D135:E136 D202:E203 F135:J135 D99:K99">
    <cfRule type="cellIs" dxfId="222" priority="95" operator="greaterThanOrEqual">
      <formula>5</formula>
    </cfRule>
  </conditionalFormatting>
  <conditionalFormatting sqref="D139:W152 D205:AE213 D71:M94 D69:O70 P69:W94 D101:W124 D13:W62 Y13:AE62 Y69:AE94 D160:AE197">
    <cfRule type="cellIs" dxfId="221" priority="74" operator="lessThanOrEqual">
      <formula>10</formula>
    </cfRule>
  </conditionalFormatting>
  <conditionalFormatting sqref="D13:W62 Y13:AE62 X101:AE124">
    <cfRule type="cellIs" dxfId="220" priority="29" operator="lessThan">
      <formula>10</formula>
    </cfRule>
    <cfRule type="cellIs" dxfId="219" priority="30" operator="greaterThan">
      <formula>10</formula>
    </cfRule>
  </conditionalFormatting>
  <conditionalFormatting sqref="D47:L62 P47:X62 Y60:Y62 Z47:AE62">
    <cfRule type="cellIs" dxfId="218" priority="11" operator="greaterThanOrEqual">
      <formula>5</formula>
    </cfRule>
  </conditionalFormatting>
  <conditionalFormatting sqref="M47:O62">
    <cfRule type="cellIs" dxfId="217" priority="10" operator="lessThanOrEqual">
      <formula>0.4</formula>
    </cfRule>
  </conditionalFormatting>
  <conditionalFormatting sqref="D47:X62 Y60:Y62 Z47:AE62">
    <cfRule type="cellIs" dxfId="216" priority="7" operator="lessThan">
      <formula>5</formula>
    </cfRule>
    <cfRule type="cellIs" dxfId="215" priority="8" operator="greaterThan">
      <formula>5</formula>
    </cfRule>
    <cfRule type="cellIs" dxfId="214" priority="9" operator="greaterThan">
      <formula>5</formula>
    </cfRule>
  </conditionalFormatting>
  <conditionalFormatting sqref="D47:O62">
    <cfRule type="cellIs" dxfId="213" priority="6" operator="greaterThan">
      <formula>4.9</formula>
    </cfRule>
  </conditionalFormatting>
  <pageMargins left="0.17" right="0.17" top="0.17499999999999999" bottom="0.17499999999999999" header="0.3" footer="0.3"/>
  <pageSetup paperSize="9" scale="9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EC272"/>
  <sheetViews>
    <sheetView topLeftCell="A89" zoomScale="80" zoomScaleNormal="80" workbookViewId="0">
      <pane xSplit="6525" topLeftCell="U1" activePane="topRight"/>
      <selection activeCell="A64" sqref="A64"/>
      <selection pane="topRight" activeCell="AB123" sqref="AB123"/>
    </sheetView>
  </sheetViews>
  <sheetFormatPr defaultRowHeight="15"/>
  <cols>
    <col min="1" max="1" width="26.5703125" customWidth="1"/>
    <col min="2" max="2" width="6" style="965" customWidth="1"/>
    <col min="3" max="3" width="40.85546875" customWidth="1"/>
    <col min="4" max="4" width="13.42578125" bestFit="1" customWidth="1"/>
    <col min="5" max="19" width="11.42578125" bestFit="1" customWidth="1"/>
    <col min="20" max="23" width="11.42578125" style="2837" customWidth="1"/>
    <col min="24" max="24" width="10.5703125" customWidth="1"/>
    <col min="25" max="25" width="10.7109375" customWidth="1"/>
    <col min="26" max="26" width="12.28515625" customWidth="1"/>
  </cols>
  <sheetData>
    <row r="1" spans="1:133">
      <c r="A1" s="726"/>
      <c r="B1" s="726"/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54"/>
      <c r="Q1" s="754"/>
      <c r="R1" s="754"/>
      <c r="S1" s="754"/>
      <c r="T1" s="754"/>
      <c r="U1" s="754"/>
      <c r="V1" s="754"/>
      <c r="W1" s="754"/>
      <c r="X1" s="764"/>
    </row>
    <row r="2" spans="1:133">
      <c r="A2" s="726"/>
      <c r="B2" s="726"/>
      <c r="C2" s="726"/>
      <c r="D2" s="3595" t="s">
        <v>264</v>
      </c>
      <c r="E2" s="3595"/>
      <c r="F2" s="3595"/>
      <c r="G2" s="3595"/>
      <c r="H2" s="3595"/>
      <c r="I2" s="3595"/>
      <c r="J2" s="3595"/>
      <c r="K2" s="3595"/>
      <c r="L2" s="3595"/>
      <c r="M2" s="3595"/>
      <c r="N2" s="3595"/>
      <c r="O2" s="726"/>
      <c r="P2" s="754"/>
      <c r="Q2" s="754"/>
      <c r="R2" s="754"/>
      <c r="S2" s="754"/>
      <c r="T2" s="754"/>
      <c r="U2" s="754"/>
      <c r="V2" s="754"/>
      <c r="W2" s="754"/>
      <c r="X2" s="764"/>
    </row>
    <row r="3" spans="1:133">
      <c r="A3" s="726"/>
      <c r="B3" s="726"/>
      <c r="C3" s="726"/>
      <c r="D3" s="3595"/>
      <c r="E3" s="3595"/>
      <c r="F3" s="3595"/>
      <c r="G3" s="3595"/>
      <c r="H3" s="3595"/>
      <c r="I3" s="3595"/>
      <c r="J3" s="3595"/>
      <c r="K3" s="3595"/>
      <c r="L3" s="3595"/>
      <c r="M3" s="3595"/>
      <c r="N3" s="3595"/>
      <c r="O3" s="726"/>
      <c r="P3" s="754"/>
      <c r="Q3" s="754"/>
      <c r="R3" s="754"/>
      <c r="S3" s="754"/>
      <c r="T3" s="754"/>
      <c r="U3" s="754"/>
      <c r="V3" s="754"/>
      <c r="W3" s="754"/>
      <c r="X3" s="764"/>
    </row>
    <row r="4" spans="1:133" ht="15.75" thickBot="1">
      <c r="A4" s="726"/>
      <c r="B4" s="726"/>
      <c r="C4" s="726"/>
      <c r="D4" s="726"/>
      <c r="E4" s="726"/>
      <c r="F4" s="726"/>
      <c r="G4" s="726"/>
      <c r="H4" s="726"/>
      <c r="I4" s="726"/>
      <c r="J4" s="726"/>
      <c r="K4" s="726"/>
      <c r="L4" s="726"/>
      <c r="M4" s="726"/>
      <c r="N4" s="726"/>
      <c r="O4" s="726"/>
      <c r="P4" s="754"/>
      <c r="Q4" s="754"/>
      <c r="R4" s="754"/>
      <c r="S4" s="754"/>
      <c r="T4" s="754"/>
      <c r="U4" s="754"/>
      <c r="V4" s="754"/>
      <c r="W4" s="754"/>
      <c r="X4" s="764"/>
    </row>
    <row r="5" spans="1:133" ht="15.75" thickBot="1">
      <c r="A5" s="750"/>
      <c r="B5" s="750"/>
      <c r="C5" s="750"/>
      <c r="D5" s="750"/>
      <c r="E5" s="3538" t="s">
        <v>199</v>
      </c>
      <c r="F5" s="3539"/>
      <c r="G5" s="3539"/>
      <c r="H5" s="3539"/>
      <c r="I5" s="3539"/>
      <c r="J5" s="3539"/>
      <c r="K5" s="3539"/>
      <c r="L5" s="3539"/>
      <c r="M5" s="3540"/>
      <c r="N5" s="726"/>
      <c r="O5" s="726"/>
      <c r="P5" s="754"/>
      <c r="Q5" s="754"/>
      <c r="R5" s="754"/>
      <c r="S5" s="754"/>
      <c r="T5" s="754"/>
      <c r="U5" s="754"/>
      <c r="V5" s="754"/>
      <c r="W5" s="754"/>
      <c r="X5" s="764"/>
    </row>
    <row r="6" spans="1:133" ht="15.75" thickBot="1">
      <c r="A6" s="751"/>
      <c r="B6" s="751"/>
      <c r="C6" s="751"/>
      <c r="D6" s="753"/>
      <c r="E6" s="752"/>
      <c r="F6" s="3589" t="s">
        <v>263</v>
      </c>
      <c r="G6" s="3590"/>
      <c r="H6" s="3590"/>
      <c r="I6" s="3590"/>
      <c r="J6" s="3590"/>
      <c r="K6" s="3590"/>
      <c r="L6" s="3591"/>
      <c r="M6" s="726"/>
      <c r="N6" s="726"/>
      <c r="O6" s="726"/>
      <c r="P6" s="754"/>
      <c r="Q6" s="754"/>
      <c r="R6" s="754"/>
      <c r="S6" s="754"/>
      <c r="T6" s="754"/>
      <c r="U6" s="754"/>
      <c r="V6" s="754"/>
      <c r="W6" s="754"/>
      <c r="X6" s="764"/>
    </row>
    <row r="7" spans="1:133" ht="15.75" thickBot="1">
      <c r="A7" s="116"/>
      <c r="B7" s="116"/>
      <c r="C7" s="116"/>
      <c r="D7" s="237"/>
      <c r="E7" s="237"/>
      <c r="F7" s="3589" t="s">
        <v>426</v>
      </c>
      <c r="G7" s="3590"/>
      <c r="H7" s="3590"/>
      <c r="I7" s="3590"/>
      <c r="J7" s="3590"/>
      <c r="K7" s="3590"/>
      <c r="L7" s="3591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767"/>
    </row>
    <row r="8" spans="1:133" ht="15.75" thickBot="1">
      <c r="A8" s="3596" t="s">
        <v>0</v>
      </c>
      <c r="B8" s="1006"/>
      <c r="C8" s="3598" t="s">
        <v>1</v>
      </c>
      <c r="D8" s="3550">
        <v>2011</v>
      </c>
      <c r="E8" s="3551"/>
      <c r="F8" s="3551"/>
      <c r="G8" s="3552"/>
      <c r="H8" s="3600">
        <v>2012</v>
      </c>
      <c r="I8" s="3548"/>
      <c r="J8" s="3548"/>
      <c r="K8" s="3601"/>
      <c r="L8" s="968">
        <v>2013</v>
      </c>
      <c r="M8" s="968"/>
      <c r="N8" s="968"/>
      <c r="O8" s="968"/>
      <c r="P8" s="3517">
        <v>2014</v>
      </c>
      <c r="Q8" s="3517"/>
      <c r="R8" s="3517"/>
      <c r="S8" s="3518"/>
      <c r="T8" s="3517">
        <v>2015</v>
      </c>
      <c r="U8" s="3517"/>
      <c r="V8" s="3517"/>
      <c r="W8" s="3518"/>
      <c r="X8" s="3516">
        <v>2016</v>
      </c>
      <c r="Y8" s="3517"/>
      <c r="Z8" s="3517"/>
      <c r="AA8" s="3518"/>
      <c r="AB8" s="3516">
        <v>2017</v>
      </c>
      <c r="AC8" s="3517"/>
      <c r="AD8" s="3517"/>
      <c r="AE8" s="3518"/>
    </row>
    <row r="9" spans="1:133" ht="15.75" thickBot="1">
      <c r="A9" s="3597"/>
      <c r="B9" s="1007"/>
      <c r="C9" s="3599"/>
      <c r="D9" s="720" t="s">
        <v>2</v>
      </c>
      <c r="E9" s="721" t="s">
        <v>3</v>
      </c>
      <c r="F9" s="725" t="s">
        <v>4</v>
      </c>
      <c r="G9" s="2494" t="s">
        <v>5</v>
      </c>
      <c r="H9" s="2101" t="s">
        <v>2</v>
      </c>
      <c r="I9" s="721" t="s">
        <v>3</v>
      </c>
      <c r="J9" s="725" t="s">
        <v>4</v>
      </c>
      <c r="K9" s="2499" t="s">
        <v>5</v>
      </c>
      <c r="L9" s="2101" t="s">
        <v>2</v>
      </c>
      <c r="M9" s="721" t="s">
        <v>3</v>
      </c>
      <c r="N9" s="725" t="s">
        <v>4</v>
      </c>
      <c r="O9" s="2499" t="s">
        <v>5</v>
      </c>
      <c r="P9" s="2101" t="s">
        <v>2</v>
      </c>
      <c r="Q9" s="721" t="s">
        <v>3</v>
      </c>
      <c r="R9" s="725" t="s">
        <v>4</v>
      </c>
      <c r="S9" s="724" t="s">
        <v>5</v>
      </c>
      <c r="T9" s="2101" t="s">
        <v>2</v>
      </c>
      <c r="U9" s="2843" t="s">
        <v>3</v>
      </c>
      <c r="V9" s="2844" t="s">
        <v>4</v>
      </c>
      <c r="W9" s="724" t="s">
        <v>5</v>
      </c>
      <c r="X9" s="3151" t="s">
        <v>2</v>
      </c>
      <c r="Y9" s="3208" t="s">
        <v>3</v>
      </c>
      <c r="Z9" s="3209" t="s">
        <v>4</v>
      </c>
      <c r="AA9" s="2499" t="s">
        <v>5</v>
      </c>
      <c r="AB9" s="3151" t="s">
        <v>2</v>
      </c>
      <c r="AC9" s="3493" t="s">
        <v>3</v>
      </c>
      <c r="AD9" s="3494" t="s">
        <v>4</v>
      </c>
      <c r="AE9" s="2499" t="s">
        <v>5</v>
      </c>
    </row>
    <row r="10" spans="1:133" ht="15.75" customHeight="1" thickBot="1">
      <c r="A10" s="542" t="s">
        <v>168</v>
      </c>
      <c r="B10" s="355"/>
      <c r="C10" s="542" t="s">
        <v>168</v>
      </c>
      <c r="D10" s="355">
        <v>6</v>
      </c>
      <c r="E10" s="355">
        <v>6</v>
      </c>
      <c r="F10" s="355">
        <v>6</v>
      </c>
      <c r="G10" s="428">
        <v>6</v>
      </c>
      <c r="H10" s="547">
        <v>6</v>
      </c>
      <c r="I10" s="355">
        <v>6</v>
      </c>
      <c r="J10" s="355">
        <v>6</v>
      </c>
      <c r="K10" s="274">
        <v>6</v>
      </c>
      <c r="L10" s="547">
        <v>6</v>
      </c>
      <c r="M10" s="355">
        <v>6</v>
      </c>
      <c r="N10" s="355">
        <v>6</v>
      </c>
      <c r="O10" s="428">
        <v>6</v>
      </c>
      <c r="P10" s="547">
        <v>6</v>
      </c>
      <c r="Q10" s="355">
        <v>6</v>
      </c>
      <c r="R10" s="355">
        <v>6</v>
      </c>
      <c r="S10" s="355">
        <v>6</v>
      </c>
      <c r="T10" s="547">
        <v>6</v>
      </c>
      <c r="U10" s="355">
        <v>6</v>
      </c>
      <c r="V10" s="355">
        <v>6</v>
      </c>
      <c r="W10" s="355">
        <v>6</v>
      </c>
      <c r="X10" s="355">
        <v>6</v>
      </c>
      <c r="Y10" s="355">
        <v>6</v>
      </c>
      <c r="Z10" s="355">
        <v>6.5</v>
      </c>
      <c r="AA10" s="355">
        <v>6.5</v>
      </c>
      <c r="AB10" s="355">
        <v>6.5</v>
      </c>
      <c r="AC10" s="355">
        <v>6.5</v>
      </c>
      <c r="AD10" s="355">
        <v>6.5</v>
      </c>
      <c r="AE10" s="355">
        <v>6.5</v>
      </c>
    </row>
    <row r="11" spans="1:133" ht="14.25" customHeight="1" thickBot="1">
      <c r="A11" s="328" t="s">
        <v>125</v>
      </c>
      <c r="B11" s="328"/>
      <c r="C11" s="542" t="s">
        <v>168</v>
      </c>
      <c r="D11" s="355">
        <v>8.5</v>
      </c>
      <c r="E11" s="355">
        <v>8.5</v>
      </c>
      <c r="F11" s="355">
        <v>8.5</v>
      </c>
      <c r="G11" s="428">
        <v>8.5</v>
      </c>
      <c r="H11" s="547">
        <v>8.5</v>
      </c>
      <c r="I11" s="355">
        <v>8.5</v>
      </c>
      <c r="J11" s="355">
        <v>8.5</v>
      </c>
      <c r="K11" s="428">
        <v>8.5</v>
      </c>
      <c r="L11" s="547">
        <v>8.5</v>
      </c>
      <c r="M11" s="355">
        <v>8.5</v>
      </c>
      <c r="N11" s="355">
        <v>8.5</v>
      </c>
      <c r="O11" s="428">
        <v>8.5</v>
      </c>
      <c r="P11" s="547">
        <v>8.5</v>
      </c>
      <c r="Q11" s="355">
        <v>8.5</v>
      </c>
      <c r="R11" s="355">
        <v>8.5</v>
      </c>
      <c r="S11" s="355">
        <v>8.5</v>
      </c>
      <c r="T11" s="547">
        <v>8.5</v>
      </c>
      <c r="U11" s="355">
        <v>8.5</v>
      </c>
      <c r="V11" s="355">
        <v>8.5</v>
      </c>
      <c r="W11" s="355">
        <v>8.5</v>
      </c>
      <c r="X11" s="355">
        <v>8.5</v>
      </c>
      <c r="Y11" s="355">
        <v>8.5</v>
      </c>
      <c r="Z11" s="355">
        <v>9</v>
      </c>
      <c r="AA11" s="355">
        <v>9</v>
      </c>
      <c r="AB11" s="355">
        <v>9</v>
      </c>
      <c r="AC11" s="355">
        <v>9</v>
      </c>
      <c r="AD11" s="355">
        <v>9</v>
      </c>
      <c r="AE11" s="355">
        <v>9</v>
      </c>
      <c r="AF11" s="13"/>
      <c r="AG11" s="13"/>
      <c r="AH11" s="61"/>
      <c r="AI11" s="61"/>
      <c r="AJ11" s="61"/>
      <c r="AK11" s="61"/>
      <c r="AL11" s="61"/>
      <c r="AM11" s="149"/>
      <c r="AN11" s="149"/>
      <c r="AO11" s="13"/>
      <c r="AP11" s="13"/>
      <c r="AQ11" s="61"/>
      <c r="AR11" s="61"/>
      <c r="AS11" s="61"/>
      <c r="AT11" s="61"/>
      <c r="AU11" s="61"/>
      <c r="AV11" s="150"/>
      <c r="AW11" s="150"/>
      <c r="AX11" s="150"/>
      <c r="AY11" s="13"/>
      <c r="AZ11" s="13"/>
      <c r="BA11" s="61"/>
      <c r="BB11" s="61"/>
      <c r="BC11" s="61"/>
      <c r="BD11" s="61"/>
      <c r="BE11" s="149"/>
      <c r="BF11" s="149"/>
      <c r="BG11" s="149"/>
      <c r="BH11" s="13"/>
      <c r="BI11" s="13"/>
      <c r="BJ11" s="61"/>
      <c r="BK11" s="61"/>
      <c r="BL11" s="61"/>
      <c r="BM11" s="61"/>
      <c r="BN11" s="61"/>
      <c r="BO11" s="149"/>
      <c r="BP11" s="149"/>
      <c r="BQ11" s="13"/>
      <c r="BR11" s="13"/>
      <c r="BS11" s="61"/>
      <c r="BT11" s="61"/>
      <c r="BU11" s="61"/>
      <c r="BV11" s="61"/>
      <c r="BW11" s="61"/>
      <c r="BX11" s="149"/>
      <c r="BY11" s="149"/>
      <c r="BZ11" s="149"/>
      <c r="CA11" s="13"/>
      <c r="CB11" s="13"/>
      <c r="CC11" s="61"/>
      <c r="CD11" s="61"/>
      <c r="CE11" s="61"/>
      <c r="CF11" s="61"/>
      <c r="CG11" s="61"/>
      <c r="CH11" s="149"/>
      <c r="CI11" s="149"/>
      <c r="CJ11" s="149"/>
      <c r="CK11" s="13"/>
      <c r="CL11" s="13"/>
      <c r="CM11" s="61"/>
      <c r="CN11" s="61"/>
      <c r="CO11" s="61"/>
      <c r="CP11" s="61"/>
      <c r="CQ11" s="149"/>
      <c r="CR11" s="149"/>
      <c r="CS11" s="149"/>
      <c r="CT11" s="149"/>
      <c r="CU11" s="13"/>
      <c r="CV11" s="13"/>
      <c r="CW11" s="61"/>
      <c r="CX11" s="61"/>
      <c r="CY11" s="61"/>
      <c r="CZ11" s="61"/>
      <c r="DA11" s="149"/>
      <c r="DB11" s="149"/>
      <c r="DC11" s="149"/>
      <c r="DD11" s="13"/>
      <c r="DE11" s="13"/>
      <c r="DF11" s="61"/>
      <c r="DG11" s="61"/>
      <c r="DH11" s="61"/>
      <c r="DI11" s="61"/>
      <c r="DJ11" s="149"/>
      <c r="DK11" s="149"/>
      <c r="DL11" s="149"/>
      <c r="DM11" s="13"/>
      <c r="DN11" s="13"/>
      <c r="DO11" s="61"/>
      <c r="DP11" s="61"/>
      <c r="DQ11" s="61"/>
      <c r="DR11" s="61"/>
      <c r="DS11" s="149"/>
      <c r="DT11" s="149"/>
      <c r="DU11" s="13"/>
      <c r="DV11" s="13"/>
      <c r="DW11" s="61"/>
      <c r="DX11" s="61"/>
      <c r="DY11" s="61"/>
      <c r="DZ11" s="61"/>
      <c r="EA11" s="61"/>
      <c r="EB11" s="61"/>
      <c r="EC11" s="61"/>
    </row>
    <row r="12" spans="1:133">
      <c r="A12" s="1037" t="s">
        <v>16</v>
      </c>
      <c r="B12" s="1377">
        <v>3</v>
      </c>
      <c r="C12" s="1291" t="s">
        <v>21</v>
      </c>
      <c r="D12" s="1292">
        <v>8.9</v>
      </c>
      <c r="E12" s="1292">
        <v>7.1</v>
      </c>
      <c r="F12" s="1292">
        <v>6.9</v>
      </c>
      <c r="G12" s="2495">
        <v>6.65</v>
      </c>
      <c r="H12" s="2439">
        <v>8.6999999999999993</v>
      </c>
      <c r="I12" s="1295">
        <v>7</v>
      </c>
      <c r="J12" s="1348">
        <v>7.7</v>
      </c>
      <c r="K12" s="1296">
        <v>8.1999999999999993</v>
      </c>
      <c r="L12" s="1241">
        <v>8.1999999999999993</v>
      </c>
      <c r="M12" s="1118">
        <v>8.6999999999999993</v>
      </c>
      <c r="N12" s="1118">
        <v>8.5</v>
      </c>
      <c r="O12" s="2489">
        <v>8.41</v>
      </c>
      <c r="P12" s="2230">
        <v>8.56</v>
      </c>
      <c r="Q12" s="2452">
        <v>7.63</v>
      </c>
      <c r="R12" s="1577">
        <v>8.48</v>
      </c>
      <c r="S12" s="1577">
        <v>7.38</v>
      </c>
      <c r="T12" s="2230"/>
      <c r="U12" s="2452"/>
      <c r="V12" s="1577"/>
      <c r="W12" s="1577">
        <v>8.4499999999999993</v>
      </c>
      <c r="X12" s="786">
        <v>7.78</v>
      </c>
      <c r="Y12" s="1118">
        <v>7.98</v>
      </c>
      <c r="Z12" s="1118">
        <v>7.58</v>
      </c>
      <c r="AA12" s="2489">
        <v>7.65</v>
      </c>
      <c r="AB12" s="2489">
        <v>7.31</v>
      </c>
      <c r="AC12" s="2489"/>
      <c r="AD12" s="2489"/>
      <c r="AE12" s="2489"/>
      <c r="AF12" s="14"/>
      <c r="AG12" s="14"/>
      <c r="AH12" s="61"/>
      <c r="AI12" s="61"/>
      <c r="AJ12" s="61"/>
      <c r="AK12" s="61"/>
      <c r="AL12" s="28"/>
      <c r="AM12" s="151"/>
      <c r="AN12" s="151"/>
      <c r="AO12" s="14"/>
      <c r="AP12" s="14"/>
      <c r="AQ12" s="61"/>
      <c r="AR12" s="61"/>
      <c r="AS12" s="61"/>
      <c r="AT12" s="61"/>
      <c r="AU12" s="28"/>
      <c r="AV12" s="152"/>
      <c r="AW12" s="152"/>
      <c r="AX12" s="152"/>
      <c r="AY12" s="14"/>
      <c r="AZ12" s="14"/>
      <c r="BA12" s="61"/>
      <c r="BB12" s="61"/>
      <c r="BC12" s="61"/>
      <c r="BD12" s="28"/>
      <c r="BE12" s="151"/>
      <c r="BF12" s="151"/>
      <c r="BG12" s="151"/>
      <c r="BH12" s="14"/>
      <c r="BI12" s="14"/>
      <c r="BJ12" s="61"/>
      <c r="BK12" s="61"/>
      <c r="BL12" s="61"/>
      <c r="BM12" s="61"/>
      <c r="BN12" s="28"/>
      <c r="BO12" s="151"/>
      <c r="BP12" s="151"/>
      <c r="BQ12" s="14"/>
      <c r="BR12" s="14"/>
      <c r="BS12" s="61"/>
      <c r="BT12" s="61"/>
      <c r="BU12" s="61"/>
      <c r="BV12" s="61"/>
      <c r="BW12" s="28"/>
      <c r="BX12" s="151"/>
      <c r="BY12" s="151"/>
      <c r="BZ12" s="151"/>
      <c r="CA12" s="14"/>
      <c r="CB12" s="14"/>
      <c r="CC12" s="61"/>
      <c r="CD12" s="61"/>
      <c r="CE12" s="61"/>
      <c r="CF12" s="61"/>
      <c r="CG12" s="28"/>
      <c r="CH12" s="151"/>
      <c r="CI12" s="151"/>
      <c r="CJ12" s="151"/>
      <c r="CK12" s="14"/>
      <c r="CL12" s="14"/>
      <c r="CM12" s="61"/>
      <c r="CN12" s="61"/>
      <c r="CO12" s="61"/>
      <c r="CP12" s="28"/>
      <c r="CQ12" s="151"/>
      <c r="CR12" s="151"/>
      <c r="CS12" s="151"/>
      <c r="CT12" s="151"/>
      <c r="CU12" s="14"/>
      <c r="CV12" s="14"/>
      <c r="CW12" s="61"/>
      <c r="CX12" s="61"/>
      <c r="CY12" s="61"/>
      <c r="CZ12" s="28"/>
      <c r="DA12" s="151"/>
      <c r="DB12" s="151"/>
      <c r="DC12" s="151"/>
      <c r="DD12" s="14"/>
      <c r="DE12" s="14"/>
      <c r="DF12" s="61"/>
      <c r="DG12" s="61"/>
      <c r="DH12" s="61"/>
      <c r="DI12" s="28"/>
      <c r="DJ12" s="151"/>
      <c r="DK12" s="151"/>
      <c r="DL12" s="151"/>
      <c r="DM12" s="14"/>
      <c r="DN12" s="14"/>
      <c r="DO12" s="61"/>
      <c r="DP12" s="61"/>
      <c r="DQ12" s="61"/>
      <c r="DR12" s="28"/>
      <c r="DS12" s="151"/>
      <c r="DT12" s="151"/>
      <c r="DU12" s="14"/>
      <c r="DV12" s="14"/>
      <c r="DW12" s="61"/>
      <c r="DX12" s="61"/>
      <c r="DY12" s="61"/>
      <c r="DZ12" s="61"/>
      <c r="EA12" s="61"/>
      <c r="EB12" s="61"/>
      <c r="EC12" s="61"/>
    </row>
    <row r="13" spans="1:133" ht="13.5" customHeight="1">
      <c r="A13" s="1376" t="s">
        <v>16</v>
      </c>
      <c r="B13" s="1000"/>
      <c r="C13" s="1299" t="s">
        <v>20</v>
      </c>
      <c r="D13" s="1300">
        <v>8.6999999999999993</v>
      </c>
      <c r="E13" s="1300">
        <v>6.1</v>
      </c>
      <c r="F13" s="1300">
        <v>6.9</v>
      </c>
      <c r="G13" s="2496">
        <v>7.5</v>
      </c>
      <c r="H13" s="2440">
        <v>8.4</v>
      </c>
      <c r="I13" s="1303">
        <v>7.4</v>
      </c>
      <c r="J13" s="1351">
        <v>7.6</v>
      </c>
      <c r="K13" s="1304">
        <v>8.6</v>
      </c>
      <c r="L13" s="1183">
        <v>8.5</v>
      </c>
      <c r="M13" s="1126">
        <v>8.8000000000000007</v>
      </c>
      <c r="N13" s="1126">
        <v>8.6</v>
      </c>
      <c r="O13" s="1232">
        <v>8.3000000000000007</v>
      </c>
      <c r="P13" s="2231">
        <v>8.2200000000000006</v>
      </c>
      <c r="Q13" s="1305">
        <v>7.57</v>
      </c>
      <c r="R13" s="1305">
        <v>7.86</v>
      </c>
      <c r="S13" s="1245">
        <v>7.34</v>
      </c>
      <c r="T13" s="2231"/>
      <c r="U13" s="1305"/>
      <c r="V13" s="1305"/>
      <c r="W13" s="1245">
        <v>8.14</v>
      </c>
      <c r="X13" s="786">
        <v>7.62</v>
      </c>
      <c r="Y13" s="1126">
        <v>8.0500000000000007</v>
      </c>
      <c r="Z13" s="1126">
        <v>7.17</v>
      </c>
      <c r="AA13" s="1232">
        <v>7.56</v>
      </c>
      <c r="AB13" s="1232">
        <v>7.33</v>
      </c>
      <c r="AC13" s="1232"/>
      <c r="AD13" s="1232"/>
      <c r="AE13" s="1232"/>
      <c r="AF13" s="14"/>
      <c r="AG13" s="14"/>
      <c r="AH13" s="61"/>
      <c r="AI13" s="61"/>
      <c r="AJ13" s="61"/>
      <c r="AK13" s="61"/>
      <c r="AL13" s="61"/>
      <c r="AM13" s="151"/>
      <c r="AN13" s="151"/>
      <c r="AO13" s="14"/>
      <c r="AP13" s="14"/>
      <c r="AQ13" s="61"/>
      <c r="AR13" s="61"/>
      <c r="AS13" s="61"/>
      <c r="AT13" s="61"/>
      <c r="AU13" s="61"/>
      <c r="AV13" s="152"/>
      <c r="AW13" s="152"/>
      <c r="AX13" s="152"/>
      <c r="AY13" s="14"/>
      <c r="AZ13" s="14"/>
      <c r="BA13" s="61"/>
      <c r="BB13" s="61"/>
      <c r="BC13" s="61"/>
      <c r="BD13" s="61"/>
      <c r="BE13" s="151"/>
      <c r="BF13" s="151"/>
      <c r="BG13" s="151"/>
      <c r="BH13" s="14"/>
      <c r="BI13" s="14"/>
      <c r="BJ13" s="61"/>
      <c r="BK13" s="61"/>
      <c r="BL13" s="61"/>
      <c r="BM13" s="61"/>
      <c r="BN13" s="61"/>
      <c r="BO13" s="151"/>
      <c r="BP13" s="151"/>
      <c r="BQ13" s="14"/>
      <c r="BR13" s="14"/>
      <c r="BS13" s="61"/>
      <c r="BT13" s="61"/>
      <c r="BU13" s="61"/>
      <c r="BV13" s="61"/>
      <c r="BW13" s="61"/>
      <c r="BX13" s="151"/>
      <c r="BY13" s="151"/>
      <c r="BZ13" s="151"/>
      <c r="CA13" s="14"/>
      <c r="CB13" s="14"/>
      <c r="CC13" s="61"/>
      <c r="CD13" s="61"/>
      <c r="CE13" s="61"/>
      <c r="CF13" s="61"/>
      <c r="CG13" s="61"/>
      <c r="CH13" s="151"/>
      <c r="CI13" s="151"/>
      <c r="CJ13" s="151"/>
      <c r="CK13" s="14"/>
      <c r="CL13" s="14"/>
      <c r="CM13" s="61"/>
      <c r="CN13" s="61"/>
      <c r="CO13" s="61"/>
      <c r="CP13" s="61"/>
      <c r="CQ13" s="151"/>
      <c r="CR13" s="151"/>
      <c r="CS13" s="151"/>
      <c r="CT13" s="151"/>
      <c r="CU13" s="14"/>
      <c r="CV13" s="14"/>
      <c r="CW13" s="61"/>
      <c r="CX13" s="61"/>
      <c r="CY13" s="61"/>
      <c r="CZ13" s="61"/>
      <c r="DA13" s="151"/>
      <c r="DB13" s="151"/>
      <c r="DC13" s="151"/>
      <c r="DD13" s="14"/>
      <c r="DE13" s="14"/>
      <c r="DF13" s="61"/>
      <c r="DG13" s="61"/>
      <c r="DH13" s="61"/>
      <c r="DI13" s="61"/>
      <c r="DJ13" s="151"/>
      <c r="DK13" s="151"/>
      <c r="DL13" s="151"/>
      <c r="DM13" s="14"/>
      <c r="DN13" s="14"/>
      <c r="DO13" s="61"/>
      <c r="DP13" s="61"/>
      <c r="DQ13" s="61"/>
      <c r="DR13" s="61"/>
      <c r="DS13" s="151"/>
      <c r="DT13" s="151"/>
      <c r="DU13" s="14"/>
      <c r="DV13" s="14"/>
      <c r="DW13" s="61"/>
      <c r="DX13" s="61"/>
      <c r="DY13" s="61"/>
      <c r="DZ13" s="61"/>
      <c r="EA13" s="61"/>
      <c r="EB13" s="61"/>
      <c r="EC13" s="61"/>
    </row>
    <row r="14" spans="1:133">
      <c r="A14" s="1376" t="s">
        <v>16</v>
      </c>
      <c r="B14" s="1000"/>
      <c r="C14" s="1299" t="s">
        <v>17</v>
      </c>
      <c r="D14" s="1300">
        <v>8.3000000000000007</v>
      </c>
      <c r="E14" s="1300">
        <v>6.26</v>
      </c>
      <c r="F14" s="1300">
        <v>6.8</v>
      </c>
      <c r="G14" s="2496">
        <v>7.6</v>
      </c>
      <c r="H14" s="2440">
        <v>7.3</v>
      </c>
      <c r="I14" s="1303">
        <v>7.3</v>
      </c>
      <c r="J14" s="1351">
        <v>7.8</v>
      </c>
      <c r="K14" s="1304">
        <v>8.4</v>
      </c>
      <c r="L14" s="1183">
        <v>8.08</v>
      </c>
      <c r="M14" s="1126">
        <v>8.5</v>
      </c>
      <c r="N14" s="1126">
        <v>8.5</v>
      </c>
      <c r="O14" s="2490">
        <v>8.1199999999999992</v>
      </c>
      <c r="P14" s="2231">
        <v>8.31</v>
      </c>
      <c r="Q14" s="1305">
        <v>7.24</v>
      </c>
      <c r="R14" s="1305">
        <v>7.83</v>
      </c>
      <c r="S14" s="1245">
        <v>7.5</v>
      </c>
      <c r="T14" s="2231"/>
      <c r="U14" s="1305"/>
      <c r="V14" s="1305"/>
      <c r="W14" s="1245">
        <v>8.0500000000000007</v>
      </c>
      <c r="X14" s="786" t="s">
        <v>336</v>
      </c>
      <c r="Y14" s="1126" t="s">
        <v>336</v>
      </c>
      <c r="Z14" s="1126" t="s">
        <v>336</v>
      </c>
      <c r="AA14" s="2490"/>
      <c r="AB14" s="2490" t="s">
        <v>336</v>
      </c>
      <c r="AC14" s="2490"/>
      <c r="AD14" s="2490"/>
      <c r="AE14" s="2490"/>
      <c r="AF14" s="14"/>
      <c r="AG14" s="14"/>
      <c r="AH14" s="61"/>
      <c r="AI14" s="61"/>
      <c r="AJ14" s="61"/>
      <c r="AK14" s="61"/>
      <c r="AL14" s="61"/>
      <c r="AM14" s="151"/>
      <c r="AN14" s="151"/>
      <c r="AO14" s="14"/>
      <c r="AP14" s="14"/>
      <c r="AQ14" s="61"/>
      <c r="AR14" s="61"/>
      <c r="AS14" s="61"/>
      <c r="AT14" s="61"/>
      <c r="AU14" s="61"/>
      <c r="AV14" s="152"/>
      <c r="AW14" s="152"/>
      <c r="AX14" s="152"/>
      <c r="AY14" s="14"/>
      <c r="AZ14" s="14"/>
      <c r="BA14" s="61"/>
      <c r="BB14" s="61"/>
      <c r="BC14" s="61"/>
      <c r="BD14" s="61"/>
      <c r="BE14" s="151"/>
      <c r="BF14" s="151"/>
      <c r="BG14" s="151"/>
      <c r="BH14" s="14"/>
      <c r="BI14" s="14"/>
      <c r="BJ14" s="61"/>
      <c r="BK14" s="61"/>
      <c r="BL14" s="61"/>
      <c r="BM14" s="61"/>
      <c r="BN14" s="61"/>
      <c r="BO14" s="151"/>
      <c r="BP14" s="151"/>
      <c r="BQ14" s="14"/>
      <c r="BR14" s="14"/>
      <c r="BS14" s="61"/>
      <c r="BT14" s="61"/>
      <c r="BU14" s="61"/>
      <c r="BV14" s="61"/>
      <c r="BW14" s="61"/>
      <c r="BX14" s="151"/>
      <c r="BY14" s="151"/>
      <c r="BZ14" s="151"/>
      <c r="CA14" s="14"/>
      <c r="CB14" s="14"/>
      <c r="CC14" s="61"/>
      <c r="CD14" s="61"/>
      <c r="CE14" s="61"/>
      <c r="CF14" s="61"/>
      <c r="CG14" s="61"/>
      <c r="CH14" s="151"/>
      <c r="CI14" s="151"/>
      <c r="CJ14" s="151"/>
      <c r="CK14" s="14"/>
      <c r="CL14" s="14"/>
      <c r="CM14" s="61"/>
      <c r="CN14" s="61"/>
      <c r="CO14" s="61"/>
      <c r="CP14" s="61"/>
      <c r="CQ14" s="151"/>
      <c r="CR14" s="151"/>
      <c r="CS14" s="151"/>
      <c r="CT14" s="151"/>
      <c r="CU14" s="14"/>
      <c r="CV14" s="14"/>
      <c r="CW14" s="61"/>
      <c r="CX14" s="61"/>
      <c r="CY14" s="61"/>
      <c r="CZ14" s="61"/>
      <c r="DA14" s="151"/>
      <c r="DB14" s="151"/>
      <c r="DC14" s="151"/>
      <c r="DD14" s="14"/>
      <c r="DE14" s="14"/>
      <c r="DF14" s="61"/>
      <c r="DG14" s="61"/>
      <c r="DH14" s="61"/>
      <c r="DI14" s="61"/>
      <c r="DJ14" s="151"/>
      <c r="DK14" s="151"/>
      <c r="DL14" s="151"/>
      <c r="DM14" s="14"/>
      <c r="DN14" s="14"/>
      <c r="DO14" s="61"/>
      <c r="DP14" s="61"/>
      <c r="DQ14" s="61"/>
      <c r="DR14" s="61"/>
      <c r="DS14" s="151"/>
      <c r="DT14" s="151"/>
      <c r="DU14" s="14"/>
      <c r="DV14" s="14"/>
      <c r="DW14" s="61"/>
      <c r="DX14" s="61"/>
      <c r="DY14" s="61"/>
      <c r="DZ14" s="61"/>
      <c r="EA14" s="61"/>
      <c r="EB14" s="61"/>
      <c r="EC14" s="61"/>
    </row>
    <row r="15" spans="1:133" ht="15.75" thickBot="1">
      <c r="A15" s="1378" t="s">
        <v>16</v>
      </c>
      <c r="B15" s="1001"/>
      <c r="C15" s="1308" t="s">
        <v>18</v>
      </c>
      <c r="D15" s="1309">
        <v>8.9</v>
      </c>
      <c r="E15" s="1309">
        <v>6.1</v>
      </c>
      <c r="F15" s="1309">
        <v>6.7</v>
      </c>
      <c r="G15" s="2497">
        <v>6.51</v>
      </c>
      <c r="H15" s="2441">
        <v>8.8000000000000007</v>
      </c>
      <c r="I15" s="1312">
        <v>7.1</v>
      </c>
      <c r="J15" s="1356">
        <v>7.9</v>
      </c>
      <c r="K15" s="1313">
        <v>8.6999999999999993</v>
      </c>
      <c r="L15" s="1184">
        <v>8.4</v>
      </c>
      <c r="M15" s="1136">
        <v>8.6</v>
      </c>
      <c r="N15" s="1136">
        <v>8.1999999999999993</v>
      </c>
      <c r="O15" s="2488">
        <v>4.2</v>
      </c>
      <c r="P15" s="2238">
        <v>8.81</v>
      </c>
      <c r="Q15" s="1314">
        <v>7.37</v>
      </c>
      <c r="R15" s="1314">
        <v>7.86</v>
      </c>
      <c r="S15" s="1359">
        <v>7.21</v>
      </c>
      <c r="T15" s="2238"/>
      <c r="U15" s="1314"/>
      <c r="V15" s="1314"/>
      <c r="W15" s="1359">
        <v>8.3000000000000007</v>
      </c>
      <c r="X15" s="786">
        <v>7.74</v>
      </c>
      <c r="Y15" s="1136">
        <v>8.1300000000000008</v>
      </c>
      <c r="Z15" s="1136">
        <v>6.91</v>
      </c>
      <c r="AA15" s="2488">
        <v>7.55</v>
      </c>
      <c r="AB15" s="2488">
        <v>7.35</v>
      </c>
      <c r="AC15" s="2488"/>
      <c r="AD15" s="2488"/>
      <c r="AE15" s="2488"/>
      <c r="AF15" s="14"/>
      <c r="AG15" s="14"/>
      <c r="AH15" s="61"/>
      <c r="AI15" s="61"/>
      <c r="AJ15" s="61"/>
      <c r="AK15" s="61"/>
      <c r="AL15" s="61"/>
      <c r="AM15" s="151"/>
      <c r="AN15" s="151"/>
      <c r="AO15" s="14"/>
      <c r="AP15" s="14"/>
      <c r="AQ15" s="61"/>
      <c r="AR15" s="61"/>
      <c r="AS15" s="61"/>
      <c r="AT15" s="61"/>
      <c r="AU15" s="61"/>
      <c r="AV15" s="152"/>
      <c r="AW15" s="152"/>
      <c r="AX15" s="152"/>
      <c r="AY15" s="14"/>
      <c r="AZ15" s="14"/>
      <c r="BA15" s="61"/>
      <c r="BB15" s="61"/>
      <c r="BC15" s="61"/>
      <c r="BD15" s="61"/>
      <c r="BE15" s="151"/>
      <c r="BF15" s="151"/>
      <c r="BG15" s="151"/>
      <c r="BH15" s="14"/>
      <c r="BI15" s="14"/>
      <c r="BJ15" s="61"/>
      <c r="BK15" s="61"/>
      <c r="BL15" s="61"/>
      <c r="BM15" s="61"/>
      <c r="BN15" s="61"/>
      <c r="BO15" s="151"/>
      <c r="BP15" s="151"/>
      <c r="BQ15" s="14"/>
      <c r="BR15" s="14"/>
      <c r="BS15" s="61"/>
      <c r="BT15" s="61"/>
      <c r="BU15" s="61"/>
      <c r="BV15" s="61"/>
      <c r="BW15" s="61"/>
      <c r="BX15" s="151"/>
      <c r="BY15" s="151"/>
      <c r="BZ15" s="151"/>
      <c r="CA15" s="14"/>
      <c r="CB15" s="14"/>
      <c r="CC15" s="61"/>
      <c r="CD15" s="61"/>
      <c r="CE15" s="61"/>
      <c r="CF15" s="61"/>
      <c r="CG15" s="61"/>
      <c r="CH15" s="151"/>
      <c r="CI15" s="151"/>
      <c r="CJ15" s="151"/>
      <c r="CK15" s="14"/>
      <c r="CL15" s="14"/>
      <c r="CM15" s="61"/>
      <c r="CN15" s="61"/>
      <c r="CO15" s="61"/>
      <c r="CP15" s="61"/>
      <c r="CQ15" s="151"/>
      <c r="CR15" s="151"/>
      <c r="CS15" s="151"/>
      <c r="CT15" s="151"/>
      <c r="CU15" s="14"/>
      <c r="CV15" s="14"/>
      <c r="CW15" s="61"/>
      <c r="CX15" s="61"/>
      <c r="CY15" s="61"/>
      <c r="CZ15" s="61"/>
      <c r="DA15" s="151"/>
      <c r="DB15" s="151"/>
      <c r="DC15" s="151"/>
      <c r="DD15" s="14"/>
      <c r="DE15" s="14"/>
      <c r="DF15" s="61"/>
      <c r="DG15" s="61"/>
      <c r="DH15" s="61"/>
      <c r="DI15" s="61"/>
      <c r="DJ15" s="151"/>
      <c r="DK15" s="151"/>
      <c r="DL15" s="151"/>
      <c r="DM15" s="14"/>
      <c r="DN15" s="14"/>
      <c r="DO15" s="61"/>
      <c r="DP15" s="61"/>
      <c r="DQ15" s="61"/>
      <c r="DR15" s="61"/>
      <c r="DS15" s="151"/>
      <c r="DT15" s="151"/>
      <c r="DU15" s="14"/>
      <c r="DV15" s="14"/>
      <c r="DW15" s="61"/>
      <c r="DX15" s="61"/>
      <c r="DY15" s="61"/>
      <c r="DZ15" s="61"/>
      <c r="EA15" s="61"/>
      <c r="EB15" s="61"/>
      <c r="EC15" s="61"/>
    </row>
    <row r="16" spans="1:133">
      <c r="A16" s="1037" t="s">
        <v>131</v>
      </c>
      <c r="B16" s="1377">
        <f>COUNTA(C16:C18)</f>
        <v>3</v>
      </c>
      <c r="C16" s="1291" t="s">
        <v>25</v>
      </c>
      <c r="D16" s="1292">
        <v>8.5</v>
      </c>
      <c r="E16" s="1292">
        <v>6.9</v>
      </c>
      <c r="F16" s="1292">
        <v>7.29</v>
      </c>
      <c r="G16" s="2495">
        <v>8.1</v>
      </c>
      <c r="H16" s="2442">
        <v>8.58</v>
      </c>
      <c r="I16" s="1295">
        <v>8</v>
      </c>
      <c r="J16" s="1348">
        <v>8.23</v>
      </c>
      <c r="K16" s="1296">
        <v>8.07</v>
      </c>
      <c r="L16" s="1241">
        <v>8.3000000000000007</v>
      </c>
      <c r="M16" s="1118">
        <v>8.4499999999999993</v>
      </c>
      <c r="N16" s="1118">
        <v>8.4499999999999993</v>
      </c>
      <c r="O16" s="2489">
        <v>7.49</v>
      </c>
      <c r="P16" s="2230">
        <v>8.27</v>
      </c>
      <c r="Q16" s="1317">
        <v>7.88</v>
      </c>
      <c r="R16" s="1317">
        <v>7.56</v>
      </c>
      <c r="S16" s="1211">
        <v>7.79</v>
      </c>
      <c r="T16" s="2230">
        <v>7.97</v>
      </c>
      <c r="U16" s="1317">
        <v>7.97</v>
      </c>
      <c r="V16" s="3080">
        <v>7.08</v>
      </c>
      <c r="W16" s="1211">
        <v>7.61</v>
      </c>
      <c r="X16" s="786">
        <v>8.11</v>
      </c>
      <c r="Y16" s="1118">
        <v>8.09</v>
      </c>
      <c r="Z16" s="1118">
        <v>7.64</v>
      </c>
      <c r="AA16" s="2489">
        <v>7.94</v>
      </c>
      <c r="AB16" s="2489">
        <v>7.47</v>
      </c>
      <c r="AC16" s="2489"/>
      <c r="AD16" s="2489"/>
      <c r="AE16" s="2489"/>
      <c r="AF16" s="14"/>
      <c r="AG16" s="14"/>
      <c r="AH16" s="61"/>
      <c r="AI16" s="61"/>
      <c r="AJ16" s="61"/>
      <c r="AK16" s="61"/>
      <c r="AL16" s="61"/>
      <c r="AM16" s="151"/>
      <c r="AN16" s="151"/>
      <c r="AO16" s="14"/>
      <c r="AP16" s="14"/>
      <c r="AQ16" s="61"/>
      <c r="AR16" s="61"/>
      <c r="AS16" s="61"/>
      <c r="AT16" s="61"/>
      <c r="AU16" s="61"/>
      <c r="AV16" s="152"/>
      <c r="AW16" s="152"/>
      <c r="AX16" s="152"/>
      <c r="AY16" s="14"/>
      <c r="AZ16" s="14"/>
      <c r="BA16" s="61"/>
      <c r="BB16" s="61"/>
      <c r="BC16" s="61"/>
      <c r="BD16" s="61"/>
      <c r="BE16" s="151"/>
      <c r="BF16" s="151"/>
      <c r="BG16" s="151"/>
      <c r="BH16" s="14"/>
      <c r="BI16" s="14"/>
      <c r="BJ16" s="61"/>
      <c r="BK16" s="61"/>
      <c r="BL16" s="61"/>
      <c r="BM16" s="61"/>
      <c r="BN16" s="61"/>
      <c r="BO16" s="151"/>
      <c r="BP16" s="151"/>
      <c r="BQ16" s="14"/>
      <c r="BR16" s="14"/>
      <c r="BS16" s="61"/>
      <c r="BT16" s="61"/>
      <c r="BU16" s="61"/>
      <c r="BV16" s="61"/>
      <c r="BW16" s="61"/>
      <c r="BX16" s="153"/>
      <c r="BY16" s="153"/>
      <c r="BZ16" s="153"/>
      <c r="CA16" s="14"/>
      <c r="CB16" s="14"/>
      <c r="CC16" s="61"/>
      <c r="CD16" s="61"/>
      <c r="CE16" s="61"/>
      <c r="CF16" s="61"/>
      <c r="CG16" s="61"/>
      <c r="CH16" s="151"/>
      <c r="CI16" s="151"/>
      <c r="CJ16" s="151"/>
      <c r="CK16" s="14"/>
      <c r="CL16" s="14"/>
      <c r="CM16" s="61"/>
      <c r="CN16" s="61"/>
      <c r="CO16" s="61"/>
      <c r="CP16" s="61"/>
      <c r="CQ16" s="153"/>
      <c r="CR16" s="153"/>
      <c r="CS16" s="153"/>
      <c r="CT16" s="153"/>
      <c r="CU16" s="14"/>
      <c r="CV16" s="14"/>
      <c r="CW16" s="61"/>
      <c r="CX16" s="61"/>
      <c r="CY16" s="61"/>
      <c r="CZ16" s="61"/>
      <c r="DA16" s="151"/>
      <c r="DB16" s="151"/>
      <c r="DC16" s="151"/>
      <c r="DD16" s="14"/>
      <c r="DE16" s="14"/>
      <c r="DF16" s="61"/>
      <c r="DG16" s="61"/>
      <c r="DH16" s="61"/>
      <c r="DI16" s="61"/>
      <c r="DJ16" s="151"/>
      <c r="DK16" s="151"/>
      <c r="DL16" s="151"/>
      <c r="DM16" s="14"/>
      <c r="DN16" s="14"/>
      <c r="DO16" s="61"/>
      <c r="DP16" s="61"/>
      <c r="DQ16" s="61"/>
      <c r="DR16" s="61"/>
      <c r="DS16" s="151"/>
      <c r="DT16" s="151"/>
      <c r="DU16" s="14"/>
      <c r="DV16" s="14"/>
      <c r="DW16" s="61"/>
      <c r="DX16" s="61"/>
      <c r="DY16" s="61"/>
      <c r="DZ16" s="61"/>
      <c r="EA16" s="61"/>
      <c r="EB16" s="61"/>
      <c r="EC16" s="61"/>
    </row>
    <row r="17" spans="1:133">
      <c r="A17" s="1376" t="s">
        <v>131</v>
      </c>
      <c r="B17" s="1000"/>
      <c r="C17" s="1299" t="s">
        <v>33</v>
      </c>
      <c r="D17" s="1300">
        <v>8.4</v>
      </c>
      <c r="E17" s="1300">
        <v>7.4</v>
      </c>
      <c r="F17" s="1300">
        <v>7.09</v>
      </c>
      <c r="G17" s="2496">
        <v>8.1999999999999993</v>
      </c>
      <c r="H17" s="2443">
        <v>8.74</v>
      </c>
      <c r="I17" s="1303">
        <v>7.7</v>
      </c>
      <c r="J17" s="1351">
        <v>8.26</v>
      </c>
      <c r="K17" s="1304">
        <v>8.34</v>
      </c>
      <c r="L17" s="1183">
        <v>8.1999999999999993</v>
      </c>
      <c r="M17" s="1126">
        <v>8.43</v>
      </c>
      <c r="N17" s="1126">
        <v>8.43</v>
      </c>
      <c r="O17" s="2490">
        <v>6.99</v>
      </c>
      <c r="P17" s="2343">
        <v>8.26</v>
      </c>
      <c r="Q17" s="1341">
        <v>7.96</v>
      </c>
      <c r="R17" s="1341">
        <v>7.85</v>
      </c>
      <c r="S17" s="1245">
        <v>7.84</v>
      </c>
      <c r="T17" s="2343">
        <v>7.94</v>
      </c>
      <c r="U17" s="1341">
        <v>7.73</v>
      </c>
      <c r="V17" s="3081">
        <v>7.56</v>
      </c>
      <c r="W17" s="1245">
        <v>7.54</v>
      </c>
      <c r="X17" s="786">
        <v>8.07</v>
      </c>
      <c r="Y17" s="1126">
        <v>7.85</v>
      </c>
      <c r="Z17" s="1126">
        <v>7.72</v>
      </c>
      <c r="AA17" s="2490">
        <v>7.8</v>
      </c>
      <c r="AB17" s="2490">
        <v>7.41</v>
      </c>
      <c r="AC17" s="2490"/>
      <c r="AD17" s="2490"/>
      <c r="AE17" s="2490"/>
      <c r="AF17" s="14"/>
      <c r="AG17" s="14"/>
      <c r="AH17" s="61"/>
      <c r="AI17" s="61"/>
      <c r="AJ17" s="61"/>
      <c r="AK17" s="61"/>
      <c r="AL17" s="61"/>
      <c r="AM17" s="154"/>
      <c r="AN17" s="154"/>
      <c r="AO17" s="14"/>
      <c r="AP17" s="14"/>
      <c r="AQ17" s="61"/>
      <c r="AR17" s="61"/>
      <c r="AS17" s="61"/>
      <c r="AT17" s="61"/>
      <c r="AU17" s="61"/>
      <c r="AV17" s="154"/>
      <c r="AW17" s="154"/>
      <c r="AX17" s="154"/>
      <c r="AY17" s="14"/>
      <c r="AZ17" s="14"/>
      <c r="BA17" s="61"/>
      <c r="BB17" s="61"/>
      <c r="BC17" s="61"/>
      <c r="BD17" s="61"/>
      <c r="BE17" s="154"/>
      <c r="BF17" s="154"/>
      <c r="BG17" s="154"/>
      <c r="BH17" s="14"/>
      <c r="BI17" s="14"/>
      <c r="BJ17" s="61"/>
      <c r="BK17" s="61"/>
      <c r="BL17" s="61"/>
      <c r="BM17" s="61"/>
      <c r="BN17" s="61"/>
      <c r="BO17" s="154"/>
      <c r="BP17" s="154"/>
      <c r="BQ17" s="14"/>
      <c r="BR17" s="14"/>
      <c r="BS17" s="61"/>
      <c r="BT17" s="61"/>
      <c r="BU17" s="61"/>
      <c r="BV17" s="61"/>
      <c r="BW17" s="61"/>
      <c r="BX17" s="154"/>
      <c r="BY17" s="154"/>
      <c r="BZ17" s="154"/>
      <c r="CA17" s="14"/>
      <c r="CB17" s="14"/>
      <c r="CC17" s="61"/>
      <c r="CD17" s="61"/>
      <c r="CE17" s="61"/>
      <c r="CF17" s="61"/>
      <c r="CG17" s="61"/>
      <c r="CH17" s="154"/>
      <c r="CI17" s="154"/>
      <c r="CJ17" s="154"/>
      <c r="CK17" s="14"/>
      <c r="CL17" s="14"/>
      <c r="CM17" s="61"/>
      <c r="CN17" s="61"/>
      <c r="CO17" s="61"/>
      <c r="CP17" s="61"/>
      <c r="CQ17" s="154"/>
      <c r="CR17" s="154"/>
      <c r="CS17" s="154"/>
      <c r="CT17" s="154"/>
      <c r="CU17" s="14"/>
      <c r="CV17" s="14"/>
      <c r="CW17" s="61"/>
      <c r="CX17" s="61"/>
      <c r="CY17" s="61"/>
      <c r="CZ17" s="61"/>
      <c r="DA17" s="154"/>
      <c r="DB17" s="154"/>
      <c r="DC17" s="154"/>
      <c r="DD17" s="14"/>
      <c r="DE17" s="14"/>
      <c r="DF17" s="61"/>
      <c r="DG17" s="61"/>
      <c r="DH17" s="61"/>
      <c r="DI17" s="61"/>
      <c r="DJ17" s="154"/>
      <c r="DK17" s="154"/>
      <c r="DL17" s="154"/>
      <c r="DM17" s="14"/>
      <c r="DN17" s="14"/>
      <c r="DO17" s="61"/>
      <c r="DP17" s="61"/>
      <c r="DQ17" s="61"/>
      <c r="DR17" s="61"/>
      <c r="DS17" s="154"/>
      <c r="DT17" s="154"/>
      <c r="DU17" s="14"/>
      <c r="DV17" s="14"/>
      <c r="DW17" s="61"/>
      <c r="DX17" s="61"/>
      <c r="DY17" s="61"/>
      <c r="DZ17" s="61"/>
      <c r="EA17" s="61"/>
      <c r="EB17" s="61"/>
      <c r="EC17" s="61"/>
    </row>
    <row r="18" spans="1:133" ht="15.75" thickBot="1">
      <c r="A18" s="1378" t="s">
        <v>131</v>
      </c>
      <c r="B18" s="1001"/>
      <c r="C18" s="1308" t="s">
        <v>31</v>
      </c>
      <c r="D18" s="1309">
        <v>8.6</v>
      </c>
      <c r="E18" s="1309">
        <v>6.9</v>
      </c>
      <c r="F18" s="1309">
        <v>7.54</v>
      </c>
      <c r="G18" s="2497">
        <v>8</v>
      </c>
      <c r="H18" s="2444">
        <v>8.61</v>
      </c>
      <c r="I18" s="1312">
        <v>7.9</v>
      </c>
      <c r="J18" s="1356">
        <v>8.16</v>
      </c>
      <c r="K18" s="1313">
        <v>8.01</v>
      </c>
      <c r="L18" s="1184">
        <v>8.17</v>
      </c>
      <c r="M18" s="1136">
        <v>8.5</v>
      </c>
      <c r="N18" s="1136">
        <v>8.5</v>
      </c>
      <c r="O18" s="2488">
        <v>7.47</v>
      </c>
      <c r="P18" s="2344">
        <v>8.26</v>
      </c>
      <c r="Q18" s="1320">
        <v>7.88</v>
      </c>
      <c r="R18" s="1320">
        <v>7.65</v>
      </c>
      <c r="S18" s="1359">
        <v>7.56</v>
      </c>
      <c r="T18" s="2344">
        <v>7.87</v>
      </c>
      <c r="U18" s="1320">
        <v>7.89</v>
      </c>
      <c r="V18" s="3082">
        <v>7.32</v>
      </c>
      <c r="W18" s="1359">
        <v>7.73</v>
      </c>
      <c r="X18" s="786">
        <v>7.75</v>
      </c>
      <c r="Y18" s="1136">
        <v>8.0500000000000007</v>
      </c>
      <c r="Z18" s="1136">
        <v>7.66</v>
      </c>
      <c r="AA18" s="2488">
        <v>7.84</v>
      </c>
      <c r="AB18" s="2488">
        <v>7.37</v>
      </c>
      <c r="AC18" s="2488"/>
      <c r="AD18" s="2488"/>
      <c r="AE18" s="2488"/>
      <c r="AF18" s="14"/>
      <c r="AG18" s="14"/>
      <c r="AH18" s="61"/>
      <c r="AI18" s="61"/>
      <c r="AJ18" s="61"/>
      <c r="AK18" s="61"/>
      <c r="AL18" s="61"/>
      <c r="AM18" s="162"/>
      <c r="AN18" s="162"/>
      <c r="AO18" s="14"/>
      <c r="AP18" s="14"/>
      <c r="AQ18" s="61"/>
      <c r="AR18" s="61"/>
      <c r="AS18" s="61"/>
      <c r="AT18" s="61"/>
      <c r="AU18" s="61"/>
      <c r="AV18" s="162"/>
      <c r="AW18" s="162"/>
      <c r="AX18" s="162"/>
      <c r="AY18" s="14"/>
      <c r="AZ18" s="14"/>
      <c r="BA18" s="61"/>
      <c r="BB18" s="61"/>
      <c r="BC18" s="61"/>
      <c r="BD18" s="61"/>
      <c r="BE18" s="162"/>
      <c r="BF18" s="162"/>
      <c r="BG18" s="162"/>
      <c r="BH18" s="14"/>
      <c r="BI18" s="14"/>
      <c r="BJ18" s="61"/>
      <c r="BK18" s="61"/>
      <c r="BL18" s="61"/>
      <c r="BM18" s="61"/>
      <c r="BN18" s="61"/>
      <c r="BO18" s="162"/>
      <c r="BP18" s="162"/>
      <c r="BQ18" s="14"/>
      <c r="BR18" s="14"/>
      <c r="BS18" s="61"/>
      <c r="BT18" s="61"/>
      <c r="BU18" s="61"/>
      <c r="BV18" s="61"/>
      <c r="BW18" s="61"/>
      <c r="BX18" s="162"/>
      <c r="BY18" s="162"/>
      <c r="BZ18" s="162"/>
      <c r="CA18" s="14"/>
      <c r="CB18" s="14"/>
      <c r="CC18" s="61"/>
      <c r="CD18" s="61"/>
      <c r="CE18" s="61"/>
      <c r="CF18" s="61"/>
      <c r="CG18" s="61"/>
      <c r="CH18" s="162"/>
      <c r="CI18" s="162"/>
      <c r="CJ18" s="162"/>
      <c r="CK18" s="14"/>
      <c r="CL18" s="14"/>
      <c r="CM18" s="61"/>
      <c r="CN18" s="61"/>
      <c r="CO18" s="61"/>
      <c r="CP18" s="61"/>
      <c r="CQ18" s="162"/>
      <c r="CR18" s="162"/>
      <c r="CS18" s="162"/>
      <c r="CT18" s="162"/>
      <c r="CU18" s="14"/>
      <c r="CV18" s="14"/>
      <c r="CW18" s="61"/>
      <c r="CX18" s="61"/>
      <c r="CY18" s="61"/>
      <c r="CZ18" s="61"/>
      <c r="DA18" s="162"/>
      <c r="DB18" s="162"/>
      <c r="DC18" s="162"/>
      <c r="DD18" s="14"/>
      <c r="DE18" s="14"/>
      <c r="DF18" s="61"/>
      <c r="DG18" s="61"/>
      <c r="DH18" s="61"/>
      <c r="DI18" s="61"/>
      <c r="DJ18" s="162"/>
      <c r="DK18" s="162"/>
      <c r="DL18" s="162"/>
      <c r="DM18" s="14"/>
      <c r="DN18" s="14"/>
      <c r="DO18" s="61"/>
      <c r="DP18" s="61"/>
      <c r="DQ18" s="61"/>
      <c r="DR18" s="61"/>
      <c r="DS18" s="162"/>
      <c r="DT18" s="162"/>
      <c r="DU18" s="14"/>
      <c r="DV18" s="14"/>
      <c r="DW18" s="61"/>
      <c r="DX18" s="61"/>
      <c r="DY18" s="61"/>
      <c r="DZ18" s="61"/>
      <c r="EA18" s="61"/>
      <c r="EB18" s="61"/>
      <c r="EC18" s="61"/>
    </row>
    <row r="19" spans="1:133">
      <c r="A19" s="1037" t="s">
        <v>185</v>
      </c>
      <c r="B19" s="1377">
        <f>COUNTA(C19:C21)</f>
        <v>3</v>
      </c>
      <c r="C19" s="1291" t="s">
        <v>19</v>
      </c>
      <c r="D19" s="1292">
        <v>8.5</v>
      </c>
      <c r="E19" s="1292">
        <v>6.2</v>
      </c>
      <c r="F19" s="1292">
        <v>7.61</v>
      </c>
      <c r="G19" s="2495">
        <v>7.26</v>
      </c>
      <c r="H19" s="2439">
        <v>8.51</v>
      </c>
      <c r="I19" s="1295">
        <v>8.44</v>
      </c>
      <c r="J19" s="1348">
        <v>7.54</v>
      </c>
      <c r="K19" s="1296">
        <v>7.7</v>
      </c>
      <c r="L19" s="1241"/>
      <c r="M19" s="1118">
        <v>8.1</v>
      </c>
      <c r="N19" s="1118">
        <v>8.1300000000000008</v>
      </c>
      <c r="O19" s="2489">
        <v>7.78</v>
      </c>
      <c r="P19" s="1379">
        <v>8.36</v>
      </c>
      <c r="Q19" s="1380">
        <v>7.3</v>
      </c>
      <c r="R19" s="1380">
        <v>7.63</v>
      </c>
      <c r="S19" s="1211">
        <v>7.63</v>
      </c>
      <c r="T19" s="1379"/>
      <c r="U19" s="1380"/>
      <c r="V19" s="1380"/>
      <c r="W19" s="1211">
        <v>8.3000000000000007</v>
      </c>
      <c r="X19" s="767">
        <v>7.76</v>
      </c>
      <c r="Y19" s="1118">
        <v>7.7</v>
      </c>
      <c r="Z19" s="1118">
        <v>7.87</v>
      </c>
      <c r="AA19" s="2489">
        <v>7.63</v>
      </c>
      <c r="AB19" s="2489">
        <v>7.38</v>
      </c>
      <c r="AC19" s="2489"/>
      <c r="AD19" s="2489"/>
      <c r="AE19" s="2489"/>
      <c r="AF19" s="14"/>
      <c r="AG19" s="61"/>
      <c r="AH19" s="61"/>
      <c r="AI19" s="61"/>
      <c r="AJ19" s="61"/>
      <c r="AK19" s="61"/>
      <c r="AL19" s="61"/>
      <c r="AM19" s="61"/>
      <c r="AN19" s="61"/>
      <c r="AO19" s="61"/>
      <c r="AP19" s="14"/>
      <c r="AQ19" s="61"/>
      <c r="AR19" s="61"/>
      <c r="AS19" s="61"/>
      <c r="AT19" s="61"/>
      <c r="AU19" s="61"/>
      <c r="AV19" s="61"/>
      <c r="AW19" s="61"/>
      <c r="AX19" s="61"/>
      <c r="AY19" s="14"/>
      <c r="AZ19" s="61"/>
      <c r="BA19" s="61"/>
      <c r="BB19" s="61"/>
      <c r="BC19" s="61"/>
      <c r="BD19" s="61"/>
      <c r="BE19" s="61"/>
      <c r="BF19" s="61"/>
      <c r="BG19" s="61"/>
      <c r="BH19" s="14"/>
      <c r="BI19" s="61"/>
      <c r="BJ19" s="61"/>
      <c r="BK19" s="61"/>
      <c r="BL19" s="61"/>
      <c r="BM19" s="61"/>
      <c r="BN19" s="61"/>
      <c r="BO19" s="61"/>
      <c r="BP19" s="61"/>
      <c r="BQ19" s="61"/>
      <c r="BR19" s="14"/>
      <c r="BS19" s="61"/>
      <c r="BT19" s="61"/>
      <c r="BU19" s="61"/>
      <c r="BV19" s="61"/>
      <c r="BW19" s="61"/>
      <c r="BX19" s="61"/>
      <c r="BY19" s="61"/>
      <c r="BZ19" s="61"/>
      <c r="CA19" s="14"/>
      <c r="CB19" s="61"/>
      <c r="CC19" s="61"/>
      <c r="CD19" s="61"/>
      <c r="CE19" s="61"/>
      <c r="CF19" s="61"/>
      <c r="CG19" s="61"/>
      <c r="CH19" s="61"/>
      <c r="CI19" s="61"/>
      <c r="CJ19" s="61"/>
      <c r="CK19" s="14"/>
      <c r="CL19" s="61"/>
      <c r="CM19" s="61"/>
      <c r="CN19" s="61"/>
      <c r="CO19" s="61"/>
      <c r="CP19" s="61"/>
      <c r="CQ19" s="61"/>
      <c r="CR19" s="61"/>
      <c r="CS19" s="61"/>
      <c r="CT19" s="14"/>
      <c r="CU19" s="61"/>
      <c r="CV19" s="61"/>
      <c r="CW19" s="61"/>
      <c r="CX19" s="61"/>
      <c r="CY19" s="61"/>
      <c r="CZ19" s="61"/>
      <c r="DA19" s="61"/>
      <c r="DB19" s="61"/>
      <c r="DC19" s="61"/>
      <c r="DD19" s="14"/>
      <c r="DE19" s="61"/>
      <c r="DF19" s="61"/>
      <c r="DG19" s="61"/>
      <c r="DH19" s="61"/>
      <c r="DI19" s="61"/>
      <c r="DJ19" s="61"/>
      <c r="DK19" s="61"/>
      <c r="DL19" s="61"/>
      <c r="DM19" s="14"/>
      <c r="DN19" s="61"/>
      <c r="DO19" s="61"/>
      <c r="DP19" s="61"/>
      <c r="DQ19" s="61"/>
      <c r="DR19" s="61"/>
      <c r="DS19" s="61"/>
      <c r="DT19" s="61"/>
      <c r="DU19" s="61"/>
      <c r="DV19" s="14"/>
      <c r="DW19" s="61"/>
      <c r="DX19" s="61"/>
      <c r="DY19" s="61"/>
      <c r="DZ19" s="61"/>
      <c r="EA19" s="61"/>
      <c r="EB19" s="61"/>
      <c r="EC19" s="61"/>
    </row>
    <row r="20" spans="1:133" ht="15" customHeight="1">
      <c r="A20" s="1376" t="s">
        <v>185</v>
      </c>
      <c r="B20" s="1000"/>
      <c r="C20" s="1299" t="s">
        <v>37</v>
      </c>
      <c r="D20" s="1300">
        <v>8.6</v>
      </c>
      <c r="E20" s="1300">
        <v>7.3</v>
      </c>
      <c r="F20" s="1300">
        <v>8.2200000000000006</v>
      </c>
      <c r="G20" s="2496">
        <v>7.69</v>
      </c>
      <c r="H20" s="2440">
        <v>6.14</v>
      </c>
      <c r="I20" s="1303">
        <v>7.55</v>
      </c>
      <c r="J20" s="1351">
        <v>8.02</v>
      </c>
      <c r="K20" s="1304">
        <v>8.4</v>
      </c>
      <c r="L20" s="1183"/>
      <c r="M20" s="1126">
        <v>8.1999999999999993</v>
      </c>
      <c r="N20" s="1126">
        <v>8.2200000000000006</v>
      </c>
      <c r="O20" s="2490">
        <v>7.91</v>
      </c>
      <c r="P20" s="1183">
        <v>8.5</v>
      </c>
      <c r="Q20" s="1127">
        <v>7.94</v>
      </c>
      <c r="R20" s="1127">
        <v>8.35</v>
      </c>
      <c r="S20" s="1245">
        <v>8.6199999999999992</v>
      </c>
      <c r="T20" s="1183"/>
      <c r="U20" s="1127"/>
      <c r="V20" s="1127"/>
      <c r="W20" s="1245">
        <v>8.1199999999999992</v>
      </c>
      <c r="X20" s="767">
        <v>7.45</v>
      </c>
      <c r="Y20" s="1126">
        <v>7.43</v>
      </c>
      <c r="Z20" s="1126">
        <v>7.85</v>
      </c>
      <c r="AA20" s="2490">
        <v>7.47</v>
      </c>
      <c r="AB20" s="2490">
        <v>7.45</v>
      </c>
      <c r="AC20" s="2490"/>
      <c r="AD20" s="2490"/>
      <c r="AE20" s="2490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</row>
    <row r="21" spans="1:133" ht="15.75" thickBot="1">
      <c r="A21" s="1378" t="s">
        <v>185</v>
      </c>
      <c r="B21" s="1001"/>
      <c r="C21" s="1308" t="s">
        <v>15</v>
      </c>
      <c r="D21" s="1309">
        <v>8.1999999999999993</v>
      </c>
      <c r="E21" s="1309">
        <v>6.5</v>
      </c>
      <c r="F21" s="1309">
        <v>7.6</v>
      </c>
      <c r="G21" s="2497">
        <v>7.61</v>
      </c>
      <c r="H21" s="2444">
        <v>9.44</v>
      </c>
      <c r="I21" s="1309">
        <v>8.64</v>
      </c>
      <c r="J21" s="1356">
        <v>7.94</v>
      </c>
      <c r="K21" s="1313">
        <v>7.8</v>
      </c>
      <c r="L21" s="1184"/>
      <c r="M21" s="1136">
        <v>8</v>
      </c>
      <c r="N21" s="1136">
        <v>8.11</v>
      </c>
      <c r="O21" s="2490">
        <v>3.7</v>
      </c>
      <c r="P21" s="886">
        <v>8.02</v>
      </c>
      <c r="Q21" s="633">
        <v>7.48</v>
      </c>
      <c r="R21" s="633">
        <v>7.81</v>
      </c>
      <c r="S21" s="634">
        <v>8.02</v>
      </c>
      <c r="T21" s="886"/>
      <c r="U21" s="633"/>
      <c r="V21" s="633"/>
      <c r="W21" s="634">
        <v>8.4</v>
      </c>
      <c r="X21" s="767">
        <v>7.7</v>
      </c>
      <c r="Y21" s="1136">
        <v>7.12</v>
      </c>
      <c r="Z21" s="1136">
        <v>7.75</v>
      </c>
      <c r="AA21" s="2490">
        <v>7.46</v>
      </c>
      <c r="AB21" s="2490">
        <v>7.35</v>
      </c>
      <c r="AC21" s="2490"/>
      <c r="AD21" s="2490"/>
      <c r="AE21" s="2490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>
      <c r="A22" s="1037" t="s">
        <v>132</v>
      </c>
      <c r="B22" s="1377">
        <f>COUNTA(C22:C26)</f>
        <v>5</v>
      </c>
      <c r="C22" s="1291" t="s">
        <v>20</v>
      </c>
      <c r="D22" s="1292">
        <v>8.6999999999999993</v>
      </c>
      <c r="E22" s="1292">
        <v>6</v>
      </c>
      <c r="F22" s="1292">
        <v>7.4</v>
      </c>
      <c r="G22" s="2495">
        <v>8.24</v>
      </c>
      <c r="H22" s="2442">
        <v>8.1999999999999993</v>
      </c>
      <c r="I22" s="1295">
        <v>8.0399999999999991</v>
      </c>
      <c r="J22" s="1348">
        <v>7.6</v>
      </c>
      <c r="K22" s="1296">
        <v>8.0299999999999994</v>
      </c>
      <c r="L22" s="1241">
        <v>7.95</v>
      </c>
      <c r="M22" s="1118">
        <v>8.25</v>
      </c>
      <c r="N22" s="1207">
        <v>8.25</v>
      </c>
      <c r="O22" s="2024">
        <v>7.29</v>
      </c>
      <c r="P22" s="1203">
        <v>8.08</v>
      </c>
      <c r="Q22" s="1119">
        <v>7.49</v>
      </c>
      <c r="R22" s="1119">
        <v>7.55</v>
      </c>
      <c r="S22" s="1120">
        <v>7.75</v>
      </c>
      <c r="T22" s="1203">
        <v>7.73</v>
      </c>
      <c r="U22" s="1119">
        <v>7.3</v>
      </c>
      <c r="V22" s="1119">
        <v>7.38</v>
      </c>
      <c r="W22" s="1120">
        <v>7.6</v>
      </c>
      <c r="X22" s="767">
        <v>7.74</v>
      </c>
      <c r="Y22" s="1118">
        <v>7.48</v>
      </c>
      <c r="Z22" s="1207">
        <v>7.29</v>
      </c>
      <c r="AA22" s="2024">
        <v>7.5</v>
      </c>
      <c r="AB22" s="2024">
        <v>7.36</v>
      </c>
      <c r="AC22" s="2024"/>
      <c r="AD22" s="2024"/>
      <c r="AE22" s="2024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</row>
    <row r="23" spans="1:133">
      <c r="A23" s="1376" t="s">
        <v>132</v>
      </c>
      <c r="B23" s="1000"/>
      <c r="C23" s="1299" t="s">
        <v>30</v>
      </c>
      <c r="D23" s="1300">
        <v>8.6</v>
      </c>
      <c r="E23" s="1300">
        <v>7.4</v>
      </c>
      <c r="F23" s="1300">
        <v>7.3</v>
      </c>
      <c r="G23" s="2496">
        <v>8.1199999999999992</v>
      </c>
      <c r="H23" s="2443">
        <v>8.26</v>
      </c>
      <c r="I23" s="1303">
        <v>8.5299999999999994</v>
      </c>
      <c r="J23" s="1351">
        <v>7.52</v>
      </c>
      <c r="K23" s="1304">
        <v>7.66</v>
      </c>
      <c r="L23" s="1183">
        <v>7.58</v>
      </c>
      <c r="M23" s="1126">
        <v>8.3000000000000007</v>
      </c>
      <c r="N23" s="1208">
        <v>8.1999999999999993</v>
      </c>
      <c r="O23" s="2500">
        <v>7.39</v>
      </c>
      <c r="P23" s="1046">
        <v>7.98</v>
      </c>
      <c r="Q23" s="1127">
        <v>7.45</v>
      </c>
      <c r="R23" s="1127">
        <v>7.75</v>
      </c>
      <c r="S23" s="1128">
        <v>7.78</v>
      </c>
      <c r="T23" s="1046">
        <v>7.62</v>
      </c>
      <c r="U23" s="1127">
        <v>7.31</v>
      </c>
      <c r="V23" s="1127">
        <v>7.35</v>
      </c>
      <c r="W23" s="1128">
        <v>7.72</v>
      </c>
      <c r="X23" s="767">
        <v>7.7</v>
      </c>
      <c r="Y23" s="1126">
        <v>7.06</v>
      </c>
      <c r="Z23" s="1208">
        <v>7.35</v>
      </c>
      <c r="AA23" s="2500">
        <v>7.42</v>
      </c>
      <c r="AB23" s="2500">
        <v>7.35</v>
      </c>
      <c r="AC23" s="2500"/>
      <c r="AD23" s="2500"/>
      <c r="AE23" s="2500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>
      <c r="A24" s="1376" t="s">
        <v>132</v>
      </c>
      <c r="B24" s="1000"/>
      <c r="C24" s="1299" t="s">
        <v>12</v>
      </c>
      <c r="D24" s="1300">
        <v>8.8000000000000007</v>
      </c>
      <c r="E24" s="1300">
        <v>7.4</v>
      </c>
      <c r="F24" s="1300">
        <v>7.1</v>
      </c>
      <c r="G24" s="2496">
        <v>8.59</v>
      </c>
      <c r="H24" s="2443">
        <v>8.41</v>
      </c>
      <c r="I24" s="1303">
        <v>7.84</v>
      </c>
      <c r="J24" s="1351">
        <v>7.46</v>
      </c>
      <c r="K24" s="1304">
        <v>8.11</v>
      </c>
      <c r="L24" s="1183">
        <v>8.5500000000000007</v>
      </c>
      <c r="M24" s="1126">
        <v>8.15</v>
      </c>
      <c r="N24" s="1208">
        <v>8.1530000000000005</v>
      </c>
      <c r="O24" s="2022">
        <v>7.75</v>
      </c>
      <c r="P24" s="1046">
        <v>8.7200000000000006</v>
      </c>
      <c r="Q24" s="1127">
        <v>7.81</v>
      </c>
      <c r="R24" s="1127">
        <v>7.98</v>
      </c>
      <c r="S24" s="1128">
        <v>7.78</v>
      </c>
      <c r="T24" s="1046">
        <v>7.95</v>
      </c>
      <c r="U24" s="1127">
        <v>7.56</v>
      </c>
      <c r="V24" s="1127">
        <v>7.5</v>
      </c>
      <c r="W24" s="1128">
        <v>8.17</v>
      </c>
      <c r="X24" s="767">
        <v>7.87</v>
      </c>
      <c r="Y24" s="1126">
        <v>7.84</v>
      </c>
      <c r="Z24" s="1208">
        <v>7.73</v>
      </c>
      <c r="AA24" s="2022">
        <v>7.83</v>
      </c>
      <c r="AB24" s="2022">
        <v>7.53</v>
      </c>
      <c r="AC24" s="2022"/>
      <c r="AD24" s="2022"/>
      <c r="AE24" s="2022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</row>
    <row r="25" spans="1:133">
      <c r="A25" s="1376" t="s">
        <v>132</v>
      </c>
      <c r="B25" s="1000"/>
      <c r="C25" s="1299" t="s">
        <v>26</v>
      </c>
      <c r="D25" s="1300">
        <v>8.5</v>
      </c>
      <c r="E25" s="1300">
        <v>7.1</v>
      </c>
      <c r="F25" s="1300">
        <v>6.7</v>
      </c>
      <c r="G25" s="2496">
        <v>7.85</v>
      </c>
      <c r="H25" s="2443">
        <v>8.34</v>
      </c>
      <c r="I25" s="1303">
        <v>7.87</v>
      </c>
      <c r="J25" s="1351">
        <v>8.0299999999999994</v>
      </c>
      <c r="K25" s="1304">
        <v>7.73</v>
      </c>
      <c r="L25" s="1183">
        <v>7.94</v>
      </c>
      <c r="M25" s="1126"/>
      <c r="N25" s="1208">
        <v>8.3000000000000007</v>
      </c>
      <c r="O25" s="2022">
        <v>7.47</v>
      </c>
      <c r="P25" s="1046">
        <v>8.01</v>
      </c>
      <c r="Q25" s="1127">
        <v>7.41</v>
      </c>
      <c r="R25" s="1127">
        <v>7.61</v>
      </c>
      <c r="S25" s="1128">
        <v>7.78</v>
      </c>
      <c r="T25" s="1046">
        <v>7.73</v>
      </c>
      <c r="U25" s="1127">
        <v>7.32</v>
      </c>
      <c r="V25" s="1127">
        <v>7.44</v>
      </c>
      <c r="W25" s="1128">
        <v>7.63</v>
      </c>
      <c r="X25" s="767">
        <v>7.66</v>
      </c>
      <c r="Y25" s="1126">
        <v>7.51</v>
      </c>
      <c r="Z25" s="1208">
        <v>7.33</v>
      </c>
      <c r="AA25" s="2022">
        <v>7.53</v>
      </c>
      <c r="AB25" s="2022">
        <v>7.4</v>
      </c>
      <c r="AC25" s="2022"/>
      <c r="AD25" s="2022"/>
      <c r="AE25" s="2022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5.75" thickBot="1">
      <c r="A26" s="1378" t="s">
        <v>132</v>
      </c>
      <c r="B26" s="1001"/>
      <c r="C26" s="1308" t="s">
        <v>22</v>
      </c>
      <c r="D26" s="1309">
        <v>8.9</v>
      </c>
      <c r="E26" s="1309">
        <v>7</v>
      </c>
      <c r="F26" s="1309">
        <v>7.2</v>
      </c>
      <c r="G26" s="2497">
        <v>8.15</v>
      </c>
      <c r="H26" s="2444">
        <v>8.3800000000000008</v>
      </c>
      <c r="I26" s="1312">
        <v>8.86</v>
      </c>
      <c r="J26" s="1356">
        <v>7.5</v>
      </c>
      <c r="K26" s="1313">
        <v>8.1</v>
      </c>
      <c r="L26" s="1184">
        <v>8.35</v>
      </c>
      <c r="M26" s="1136">
        <v>8.3000000000000007</v>
      </c>
      <c r="N26" s="1209">
        <v>8.3000000000000007</v>
      </c>
      <c r="O26" s="2023">
        <v>7.49</v>
      </c>
      <c r="P26" s="886">
        <v>7.73</v>
      </c>
      <c r="Q26" s="633">
        <v>7.76</v>
      </c>
      <c r="R26" s="633">
        <v>7.78</v>
      </c>
      <c r="S26" s="634">
        <v>7.85</v>
      </c>
      <c r="T26" s="886">
        <v>7.9</v>
      </c>
      <c r="U26" s="633">
        <v>7.43</v>
      </c>
      <c r="V26" s="633">
        <v>7.45</v>
      </c>
      <c r="W26" s="634">
        <v>7.87</v>
      </c>
      <c r="X26" s="767">
        <v>7.86</v>
      </c>
      <c r="Y26" s="1136">
        <v>7.76</v>
      </c>
      <c r="Z26" s="1209">
        <v>7.74</v>
      </c>
      <c r="AA26" s="2023">
        <v>7.79</v>
      </c>
      <c r="AB26" s="2023">
        <v>7.58</v>
      </c>
      <c r="AC26" s="2023"/>
      <c r="AD26" s="2023"/>
      <c r="AE26" s="2023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</row>
    <row r="27" spans="1:133">
      <c r="A27" s="1037" t="s">
        <v>63</v>
      </c>
      <c r="B27" s="1377">
        <f>COUNTA(C27:C31)</f>
        <v>5</v>
      </c>
      <c r="C27" s="1291" t="s">
        <v>20</v>
      </c>
      <c r="D27" s="1292">
        <v>8.1999999999999993</v>
      </c>
      <c r="E27" s="1292">
        <v>7.3</v>
      </c>
      <c r="F27" s="1292">
        <v>6.5</v>
      </c>
      <c r="G27" s="2495">
        <v>6.02</v>
      </c>
      <c r="H27" s="2442">
        <v>8.1</v>
      </c>
      <c r="I27" s="1295">
        <v>7.5</v>
      </c>
      <c r="J27" s="1348">
        <v>7.76</v>
      </c>
      <c r="K27" s="1296">
        <v>8.1</v>
      </c>
      <c r="L27" s="1241">
        <v>8.1</v>
      </c>
      <c r="M27" s="1118">
        <v>8.1</v>
      </c>
      <c r="N27" s="1118">
        <v>8.1</v>
      </c>
      <c r="O27" s="2490">
        <v>7.94</v>
      </c>
      <c r="P27" s="1203">
        <v>8.09</v>
      </c>
      <c r="Q27" s="1119">
        <v>7.38</v>
      </c>
      <c r="R27" s="1119">
        <v>7.56</v>
      </c>
      <c r="S27" s="1120">
        <v>7.6</v>
      </c>
      <c r="T27" s="1203">
        <v>7.58</v>
      </c>
      <c r="U27" s="1119">
        <v>7.26</v>
      </c>
      <c r="V27" s="1119">
        <v>7.43</v>
      </c>
      <c r="W27" s="1120">
        <v>7.47</v>
      </c>
      <c r="X27" s="767">
        <v>7.56</v>
      </c>
      <c r="Y27" s="1118">
        <v>6.96</v>
      </c>
      <c r="Z27" s="1118">
        <v>7.43</v>
      </c>
      <c r="AA27" s="2490">
        <v>7.48</v>
      </c>
      <c r="AB27" s="2490">
        <v>7.17</v>
      </c>
      <c r="AC27" s="2490"/>
      <c r="AD27" s="2490"/>
      <c r="AE27" s="2490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>
      <c r="A28" s="1376" t="s">
        <v>63</v>
      </c>
      <c r="B28" s="1000"/>
      <c r="C28" s="1299" t="s">
        <v>26</v>
      </c>
      <c r="D28" s="1300">
        <v>8.1</v>
      </c>
      <c r="E28" s="1300">
        <v>7.1</v>
      </c>
      <c r="F28" s="1300">
        <v>6.4</v>
      </c>
      <c r="G28" s="2496">
        <v>6.14</v>
      </c>
      <c r="H28" s="2443">
        <v>5.29</v>
      </c>
      <c r="I28" s="1303">
        <v>7.83</v>
      </c>
      <c r="J28" s="1351">
        <v>8.0299999999999994</v>
      </c>
      <c r="K28" s="1304">
        <v>7.7</v>
      </c>
      <c r="L28" s="2445">
        <v>8.3000000000000007</v>
      </c>
      <c r="M28" s="1126">
        <v>8.1999999999999993</v>
      </c>
      <c r="N28" s="1126">
        <v>8.1</v>
      </c>
      <c r="O28" s="2490">
        <v>7.67</v>
      </c>
      <c r="P28" s="1046">
        <v>8.49</v>
      </c>
      <c r="Q28" s="1127">
        <v>7.47</v>
      </c>
      <c r="R28" s="1127">
        <v>7.46</v>
      </c>
      <c r="S28" s="1128">
        <v>7.5</v>
      </c>
      <c r="T28" s="1046">
        <v>8.18</v>
      </c>
      <c r="U28" s="1127">
        <v>7.63</v>
      </c>
      <c r="V28" s="1127">
        <v>7.38</v>
      </c>
      <c r="W28" s="1128">
        <v>7.53</v>
      </c>
      <c r="X28" s="767">
        <v>7.69</v>
      </c>
      <c r="Y28" s="1126">
        <v>7.05</v>
      </c>
      <c r="Z28" s="1126">
        <v>7.39</v>
      </c>
      <c r="AA28" s="2490">
        <v>7.52</v>
      </c>
      <c r="AB28" s="2490">
        <v>7.23</v>
      </c>
      <c r="AC28" s="2490"/>
      <c r="AD28" s="2490"/>
      <c r="AE28" s="2490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</row>
    <row r="29" spans="1:133">
      <c r="A29" s="1376" t="s">
        <v>63</v>
      </c>
      <c r="B29" s="1000"/>
      <c r="C29" s="1299" t="s">
        <v>39</v>
      </c>
      <c r="D29" s="1300">
        <v>8.3000000000000007</v>
      </c>
      <c r="E29" s="1300">
        <v>7.1</v>
      </c>
      <c r="F29" s="1300">
        <v>6.1</v>
      </c>
      <c r="G29" s="2496">
        <v>6.41</v>
      </c>
      <c r="H29" s="2443">
        <v>7.93</v>
      </c>
      <c r="I29" s="1303">
        <v>8.06</v>
      </c>
      <c r="J29" s="1351">
        <v>7.9</v>
      </c>
      <c r="K29" s="1304">
        <v>7.66</v>
      </c>
      <c r="L29" s="1183">
        <v>8.44</v>
      </c>
      <c r="M29" s="1126">
        <v>8.25</v>
      </c>
      <c r="N29" s="1126">
        <v>8.1999999999999993</v>
      </c>
      <c r="O29" s="2490">
        <v>7.88</v>
      </c>
      <c r="P29" s="1046">
        <v>8.5299999999999994</v>
      </c>
      <c r="Q29" s="1127">
        <v>7.3</v>
      </c>
      <c r="R29" s="1127">
        <v>7.46</v>
      </c>
      <c r="S29" s="1128">
        <v>7.7</v>
      </c>
      <c r="T29" s="1046">
        <v>8.26</v>
      </c>
      <c r="U29" s="1127">
        <v>7.65</v>
      </c>
      <c r="V29" s="1127">
        <v>7.42</v>
      </c>
      <c r="W29" s="1128">
        <v>7.65</v>
      </c>
      <c r="X29" s="767">
        <v>7.68</v>
      </c>
      <c r="Y29" s="1126">
        <v>6.98</v>
      </c>
      <c r="Z29" s="1126">
        <v>7.35</v>
      </c>
      <c r="AA29" s="2490">
        <v>7.48</v>
      </c>
      <c r="AB29" s="2490">
        <v>7.27</v>
      </c>
      <c r="AC29" s="2490"/>
      <c r="AD29" s="2490"/>
      <c r="AE29" s="2490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>
      <c r="A30" s="1376" t="s">
        <v>63</v>
      </c>
      <c r="B30" s="1000"/>
      <c r="C30" s="1299" t="s">
        <v>34</v>
      </c>
      <c r="D30" s="1300">
        <v>8.8000000000000007</v>
      </c>
      <c r="E30" s="1300">
        <v>7</v>
      </c>
      <c r="F30" s="1300">
        <v>6.3</v>
      </c>
      <c r="G30" s="2496">
        <v>6.47</v>
      </c>
      <c r="H30" s="2443">
        <v>8.36</v>
      </c>
      <c r="I30" s="1303">
        <v>7.73</v>
      </c>
      <c r="J30" s="1351">
        <v>7.76</v>
      </c>
      <c r="K30" s="1304">
        <v>8.23</v>
      </c>
      <c r="L30" s="1183">
        <v>8.5399999999999991</v>
      </c>
      <c r="M30" s="1126">
        <v>8.3000000000000007</v>
      </c>
      <c r="N30" s="1126">
        <v>8.3000000000000007</v>
      </c>
      <c r="O30" s="2490">
        <v>7.75</v>
      </c>
      <c r="P30" s="1046">
        <v>8.52</v>
      </c>
      <c r="Q30" s="1127">
        <v>8.32</v>
      </c>
      <c r="R30" s="1127">
        <v>7.89</v>
      </c>
      <c r="S30" s="1128">
        <v>7.7</v>
      </c>
      <c r="T30" s="1046">
        <v>7.89</v>
      </c>
      <c r="U30" s="1127">
        <v>7.65</v>
      </c>
      <c r="V30" s="1127">
        <v>7.41</v>
      </c>
      <c r="W30" s="1128">
        <v>7.89</v>
      </c>
      <c r="X30" s="767">
        <v>8.01</v>
      </c>
      <c r="Y30" s="1126">
        <v>6.97</v>
      </c>
      <c r="Z30" s="1126">
        <v>7.58</v>
      </c>
      <c r="AA30" s="2490">
        <v>7.63</v>
      </c>
      <c r="AB30" s="2490">
        <v>7.35</v>
      </c>
      <c r="AC30" s="2490"/>
      <c r="AD30" s="2490"/>
      <c r="AE30" s="2490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</row>
    <row r="31" spans="1:133" ht="15.75" thickBot="1">
      <c r="A31" s="1378" t="s">
        <v>63</v>
      </c>
      <c r="B31" s="1001"/>
      <c r="C31" s="1308" t="s">
        <v>38</v>
      </c>
      <c r="D31" s="1309">
        <v>8.1</v>
      </c>
      <c r="E31" s="1309">
        <v>7.2</v>
      </c>
      <c r="F31" s="1309">
        <v>6.2</v>
      </c>
      <c r="G31" s="2497">
        <v>6.72</v>
      </c>
      <c r="H31" s="2444">
        <v>7.93</v>
      </c>
      <c r="I31" s="1312">
        <v>8.1999999999999993</v>
      </c>
      <c r="J31" s="1356">
        <v>7.93</v>
      </c>
      <c r="K31" s="1313">
        <v>7.97</v>
      </c>
      <c r="L31" s="1184">
        <v>8.15</v>
      </c>
      <c r="M31" s="1136">
        <v>8.1999999999999993</v>
      </c>
      <c r="N31" s="1136">
        <v>8.3000000000000007</v>
      </c>
      <c r="O31" s="2488">
        <v>7.35</v>
      </c>
      <c r="P31" s="886">
        <v>8.0399999999999991</v>
      </c>
      <c r="Q31" s="633">
        <v>7.31</v>
      </c>
      <c r="R31" s="633">
        <v>7.51</v>
      </c>
      <c r="S31" s="634">
        <v>7.6</v>
      </c>
      <c r="T31" s="886">
        <v>7.73</v>
      </c>
      <c r="U31" s="633">
        <v>7.45</v>
      </c>
      <c r="V31" s="633">
        <v>7.4</v>
      </c>
      <c r="W31" s="634">
        <v>7.47</v>
      </c>
      <c r="X31" s="767">
        <v>7.69</v>
      </c>
      <c r="Y31" s="1136">
        <v>6.85</v>
      </c>
      <c r="Z31" s="1136">
        <v>7.45</v>
      </c>
      <c r="AA31" s="2488">
        <v>7.49</v>
      </c>
      <c r="AB31" s="2488">
        <v>7.21</v>
      </c>
      <c r="AC31" s="2488"/>
      <c r="AD31" s="2488"/>
      <c r="AE31" s="2488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>
      <c r="A32" s="1037" t="s">
        <v>23</v>
      </c>
      <c r="B32" s="1377">
        <f>COUNTA(C32:C34)</f>
        <v>3</v>
      </c>
      <c r="C32" s="1291" t="s">
        <v>32</v>
      </c>
      <c r="D32" s="1292">
        <v>8.1</v>
      </c>
      <c r="E32" s="1292">
        <v>6.2</v>
      </c>
      <c r="F32" s="1292">
        <v>7.23</v>
      </c>
      <c r="G32" s="2495">
        <v>7.94</v>
      </c>
      <c r="H32" s="2442">
        <v>8.0299999999999994</v>
      </c>
      <c r="I32" s="1295">
        <v>8.0299999999999994</v>
      </c>
      <c r="J32" s="1348">
        <v>7.9</v>
      </c>
      <c r="K32" s="1381">
        <v>7.53</v>
      </c>
      <c r="L32" s="1241">
        <v>8.1999999999999993</v>
      </c>
      <c r="M32" s="1118">
        <v>7.6</v>
      </c>
      <c r="N32" s="1118">
        <v>7.6</v>
      </c>
      <c r="O32" s="2489">
        <v>7.85</v>
      </c>
      <c r="P32" s="1241">
        <v>7.7</v>
      </c>
      <c r="Q32" s="1119">
        <v>6.68</v>
      </c>
      <c r="R32" s="1119">
        <v>7.31</v>
      </c>
      <c r="S32" s="1120">
        <v>7.1</v>
      </c>
      <c r="T32" s="1241"/>
      <c r="U32" s="1119"/>
      <c r="V32" s="1119"/>
      <c r="W32" s="1120">
        <v>7.38</v>
      </c>
      <c r="X32" s="767">
        <v>7.75</v>
      </c>
      <c r="Y32" s="1118">
        <v>7.79</v>
      </c>
      <c r="Z32" s="1118">
        <v>7.8</v>
      </c>
      <c r="AA32" s="2489">
        <v>7.82</v>
      </c>
      <c r="AB32" s="2489">
        <v>7.41</v>
      </c>
      <c r="AC32" s="2489"/>
      <c r="AD32" s="2489"/>
      <c r="AE32" s="2489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</row>
    <row r="33" spans="1:133">
      <c r="A33" s="1376" t="s">
        <v>23</v>
      </c>
      <c r="B33" s="1000"/>
      <c r="C33" s="1299" t="s">
        <v>24</v>
      </c>
      <c r="D33" s="1300">
        <v>8.8000000000000007</v>
      </c>
      <c r="E33" s="1300">
        <v>7.1</v>
      </c>
      <c r="F33" s="1300">
        <v>7.75</v>
      </c>
      <c r="G33" s="2496">
        <v>8.35</v>
      </c>
      <c r="H33" s="2443">
        <v>8.1300000000000008</v>
      </c>
      <c r="I33" s="1303">
        <v>8.1999999999999993</v>
      </c>
      <c r="J33" s="1351">
        <v>7.54</v>
      </c>
      <c r="K33" s="1382">
        <v>7.83</v>
      </c>
      <c r="L33" s="1183">
        <v>8.4499999999999993</v>
      </c>
      <c r="M33" s="1126">
        <v>7.7</v>
      </c>
      <c r="N33" s="1126">
        <v>7.7</v>
      </c>
      <c r="O33" s="2490">
        <v>7.98</v>
      </c>
      <c r="P33" s="1046">
        <v>8.15</v>
      </c>
      <c r="Q33" s="1127">
        <v>7.28</v>
      </c>
      <c r="R33" s="1127">
        <v>7.97</v>
      </c>
      <c r="S33" s="1128">
        <v>7.87</v>
      </c>
      <c r="T33" s="1046"/>
      <c r="U33" s="1127"/>
      <c r="V33" s="1127"/>
      <c r="W33" s="1128">
        <v>7.85</v>
      </c>
      <c r="X33" s="767">
        <v>8.02</v>
      </c>
      <c r="Y33" s="1126">
        <v>7.4</v>
      </c>
      <c r="Z33" s="1126">
        <v>7.36</v>
      </c>
      <c r="AA33" s="2490">
        <v>7.6</v>
      </c>
      <c r="AB33" s="2490">
        <v>7.46</v>
      </c>
      <c r="AC33" s="2490"/>
      <c r="AD33" s="2490"/>
      <c r="AE33" s="2490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5.75" thickBot="1">
      <c r="A34" s="1378" t="s">
        <v>23</v>
      </c>
      <c r="B34" s="1001"/>
      <c r="C34" s="1308" t="s">
        <v>27</v>
      </c>
      <c r="D34" s="1309">
        <v>8.4</v>
      </c>
      <c r="E34" s="1309">
        <v>6.9</v>
      </c>
      <c r="F34" s="1309">
        <v>7.89</v>
      </c>
      <c r="G34" s="2497">
        <v>8.18</v>
      </c>
      <c r="H34" s="2444">
        <v>8</v>
      </c>
      <c r="I34" s="1312">
        <v>8.2100000000000009</v>
      </c>
      <c r="J34" s="1356">
        <v>7.82</v>
      </c>
      <c r="K34" s="1383">
        <v>7.76</v>
      </c>
      <c r="L34" s="1184">
        <v>7.88</v>
      </c>
      <c r="M34" s="1136">
        <v>8.1</v>
      </c>
      <c r="N34" s="1136">
        <v>8.1</v>
      </c>
      <c r="O34" s="2488">
        <v>7.76</v>
      </c>
      <c r="P34" s="886">
        <v>7.71</v>
      </c>
      <c r="Q34" s="633">
        <v>7.16</v>
      </c>
      <c r="R34" s="633">
        <v>7.68</v>
      </c>
      <c r="S34" s="634">
        <v>7.47</v>
      </c>
      <c r="T34" s="886"/>
      <c r="U34" s="633"/>
      <c r="V34" s="633"/>
      <c r="W34" s="634">
        <v>7.6</v>
      </c>
      <c r="X34" s="767">
        <v>7.8</v>
      </c>
      <c r="Y34" s="1136">
        <v>8.06</v>
      </c>
      <c r="Z34" s="1136">
        <v>7.93</v>
      </c>
      <c r="AA34" s="2488">
        <v>7.92</v>
      </c>
      <c r="AB34" s="2488">
        <v>7.62</v>
      </c>
      <c r="AC34" s="2488"/>
      <c r="AD34" s="2488"/>
      <c r="AE34" s="2488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</row>
    <row r="35" spans="1:133">
      <c r="A35" s="1037" t="s">
        <v>6</v>
      </c>
      <c r="B35" s="1377">
        <f>COUNTA(C35:C39)</f>
        <v>5</v>
      </c>
      <c r="C35" s="1291" t="s">
        <v>10</v>
      </c>
      <c r="D35" s="1292">
        <v>8.9</v>
      </c>
      <c r="E35" s="1292">
        <v>7.2</v>
      </c>
      <c r="F35" s="1292">
        <v>7.43</v>
      </c>
      <c r="G35" s="2495">
        <v>7.4</v>
      </c>
      <c r="H35" s="2442">
        <v>8.5</v>
      </c>
      <c r="I35" s="1295">
        <v>7.7</v>
      </c>
      <c r="J35" s="1348">
        <v>7.83</v>
      </c>
      <c r="K35" s="1381">
        <v>8.1999999999999993</v>
      </c>
      <c r="L35" s="1241">
        <v>8.4700000000000006</v>
      </c>
      <c r="M35" s="1118">
        <v>7.93</v>
      </c>
      <c r="N35" s="1118">
        <v>7.92</v>
      </c>
      <c r="O35" s="2489"/>
      <c r="P35" s="1203"/>
      <c r="Q35" s="1119"/>
      <c r="R35" s="1119"/>
      <c r="S35" s="1120">
        <v>8.1</v>
      </c>
      <c r="T35" s="1203"/>
      <c r="U35" s="1119"/>
      <c r="V35" s="1119"/>
      <c r="W35" s="1120">
        <v>8.2799999999999994</v>
      </c>
      <c r="X35" s="767">
        <v>7.72</v>
      </c>
      <c r="Y35" s="3241">
        <v>7.84</v>
      </c>
      <c r="Z35" s="1118">
        <v>7.88</v>
      </c>
      <c r="AA35" s="2489">
        <v>7.69</v>
      </c>
      <c r="AB35" s="2489">
        <v>7.62</v>
      </c>
      <c r="AC35" s="2489"/>
      <c r="AD35" s="2489"/>
      <c r="AE35" s="2489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>
      <c r="A36" s="1376" t="s">
        <v>6</v>
      </c>
      <c r="B36" s="1000"/>
      <c r="C36" s="1299" t="s">
        <v>20</v>
      </c>
      <c r="D36" s="1300">
        <v>8.6999999999999993</v>
      </c>
      <c r="E36" s="1300">
        <v>7.6</v>
      </c>
      <c r="F36" s="1300">
        <v>6.73</v>
      </c>
      <c r="G36" s="2496">
        <v>6.1</v>
      </c>
      <c r="H36" s="2443">
        <v>8.4</v>
      </c>
      <c r="I36" s="1303">
        <v>8</v>
      </c>
      <c r="J36" s="1351">
        <v>7.25</v>
      </c>
      <c r="K36" s="1382">
        <v>8.6</v>
      </c>
      <c r="L36" s="1183">
        <v>9.33</v>
      </c>
      <c r="M36" s="1126">
        <v>8.9</v>
      </c>
      <c r="N36" s="1126">
        <v>8.89</v>
      </c>
      <c r="O36" s="2490"/>
      <c r="P36" s="1046"/>
      <c r="Q36" s="1127"/>
      <c r="R36" s="1127"/>
      <c r="S36" s="1128">
        <v>8.6</v>
      </c>
      <c r="T36" s="1046"/>
      <c r="U36" s="1127"/>
      <c r="V36" s="1127"/>
      <c r="W36" s="1128">
        <v>8.5</v>
      </c>
      <c r="X36" s="767">
        <v>7.04</v>
      </c>
      <c r="Y36" s="3242">
        <v>7.85</v>
      </c>
      <c r="Z36" s="1126">
        <v>7.89</v>
      </c>
      <c r="AA36" s="2490">
        <v>7.48</v>
      </c>
      <c r="AB36" s="2490">
        <v>7.6</v>
      </c>
      <c r="AC36" s="2490"/>
      <c r="AD36" s="2490"/>
      <c r="AE36" s="2490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</row>
    <row r="37" spans="1:133">
      <c r="A37" s="1376" t="s">
        <v>6</v>
      </c>
      <c r="B37" s="1000"/>
      <c r="C37" s="1299" t="s">
        <v>11</v>
      </c>
      <c r="D37" s="1300">
        <v>8.6999999999999993</v>
      </c>
      <c r="E37" s="1300">
        <v>7.1</v>
      </c>
      <c r="F37" s="1300">
        <v>7.51</v>
      </c>
      <c r="G37" s="2496">
        <v>6.3</v>
      </c>
      <c r="H37" s="2443">
        <v>8.8000000000000007</v>
      </c>
      <c r="I37" s="1303">
        <v>7.9</v>
      </c>
      <c r="J37" s="1351">
        <v>7.74</v>
      </c>
      <c r="K37" s="1382">
        <v>8.1999999999999993</v>
      </c>
      <c r="L37" s="1183">
        <v>8.6300000000000008</v>
      </c>
      <c r="M37" s="1126">
        <v>8.25</v>
      </c>
      <c r="N37" s="1126">
        <v>8.24</v>
      </c>
      <c r="O37" s="2490"/>
      <c r="P37" s="1046"/>
      <c r="Q37" s="1127"/>
      <c r="R37" s="1127"/>
      <c r="S37" s="1128">
        <v>7.7</v>
      </c>
      <c r="T37" s="1046"/>
      <c r="U37" s="1127"/>
      <c r="V37" s="1127"/>
      <c r="W37" s="1128">
        <v>8.2100000000000009</v>
      </c>
      <c r="X37" s="767">
        <v>6.93</v>
      </c>
      <c r="Y37" s="3242">
        <v>8.01</v>
      </c>
      <c r="Z37" s="1126">
        <v>7.98</v>
      </c>
      <c r="AA37" s="2490">
        <v>7.55</v>
      </c>
      <c r="AB37" s="2490">
        <v>7.5</v>
      </c>
      <c r="AC37" s="2490"/>
      <c r="AD37" s="2490"/>
      <c r="AE37" s="2490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>
      <c r="A38" s="1376" t="s">
        <v>6</v>
      </c>
      <c r="B38" s="1000"/>
      <c r="C38" s="1299" t="s">
        <v>14</v>
      </c>
      <c r="D38" s="1300">
        <v>9</v>
      </c>
      <c r="E38" s="1300">
        <v>7.3</v>
      </c>
      <c r="F38" s="1300">
        <v>7.27</v>
      </c>
      <c r="G38" s="2496">
        <v>6.3</v>
      </c>
      <c r="H38" s="2443">
        <v>8.6</v>
      </c>
      <c r="I38" s="1303">
        <v>7.6</v>
      </c>
      <c r="J38" s="1351">
        <v>7.84</v>
      </c>
      <c r="K38" s="1382">
        <v>8.3000000000000007</v>
      </c>
      <c r="L38" s="1183">
        <v>8.7100000000000009</v>
      </c>
      <c r="M38" s="1126">
        <v>8.59</v>
      </c>
      <c r="N38" s="1126">
        <v>8.5399999999999991</v>
      </c>
      <c r="O38" s="2490"/>
      <c r="P38" s="1046"/>
      <c r="Q38" s="1127"/>
      <c r="R38" s="1127"/>
      <c r="S38" s="1128">
        <v>8.1</v>
      </c>
      <c r="T38" s="1046"/>
      <c r="U38" s="1127"/>
      <c r="V38" s="1127"/>
      <c r="W38" s="1128">
        <v>8.41</v>
      </c>
      <c r="X38" s="767">
        <v>7.1</v>
      </c>
      <c r="Y38" s="3242">
        <v>7.81</v>
      </c>
      <c r="Z38" s="1126">
        <v>7.92</v>
      </c>
      <c r="AA38" s="2490">
        <v>7.52</v>
      </c>
      <c r="AB38" s="2490">
        <v>7.65</v>
      </c>
      <c r="AC38" s="2490"/>
      <c r="AD38" s="2490"/>
      <c r="AE38" s="2490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  <c r="DQ38" s="61"/>
      <c r="DR38" s="61"/>
      <c r="DS38" s="61"/>
      <c r="DT38" s="61"/>
      <c r="DU38" s="61"/>
      <c r="DV38" s="61"/>
      <c r="DW38" s="61"/>
      <c r="DX38" s="61"/>
      <c r="DY38" s="61"/>
      <c r="DZ38" s="61"/>
      <c r="EA38" s="61"/>
      <c r="EB38" s="61"/>
      <c r="EC38" s="61"/>
    </row>
    <row r="39" spans="1:133" ht="15.75" thickBot="1">
      <c r="A39" s="1378" t="s">
        <v>6</v>
      </c>
      <c r="B39" s="1001"/>
      <c r="C39" s="1308" t="s">
        <v>7</v>
      </c>
      <c r="D39" s="1309">
        <v>8.8000000000000007</v>
      </c>
      <c r="E39" s="1309">
        <v>7</v>
      </c>
      <c r="F39" s="1309">
        <v>7.69</v>
      </c>
      <c r="G39" s="2497">
        <v>7.2</v>
      </c>
      <c r="H39" s="2444">
        <v>6.7</v>
      </c>
      <c r="I39" s="1312">
        <v>7.3</v>
      </c>
      <c r="J39" s="1356">
        <v>7.82</v>
      </c>
      <c r="K39" s="1383">
        <v>8.1</v>
      </c>
      <c r="L39" s="1184">
        <v>8.56</v>
      </c>
      <c r="M39" s="1136">
        <v>8.2899999999999991</v>
      </c>
      <c r="N39" s="1136">
        <v>8.27</v>
      </c>
      <c r="O39" s="2488"/>
      <c r="P39" s="886"/>
      <c r="Q39" s="633"/>
      <c r="R39" s="633"/>
      <c r="S39" s="634">
        <v>7.7</v>
      </c>
      <c r="T39" s="886"/>
      <c r="U39" s="633"/>
      <c r="V39" s="633"/>
      <c r="W39" s="634">
        <v>8.27</v>
      </c>
      <c r="X39" s="767">
        <v>6.94</v>
      </c>
      <c r="Y39" s="3243">
        <v>7.79</v>
      </c>
      <c r="Z39" s="1136">
        <v>7.89</v>
      </c>
      <c r="AA39" s="2488">
        <v>7.46</v>
      </c>
      <c r="AB39" s="2488">
        <v>7.48</v>
      </c>
      <c r="AC39" s="2488"/>
      <c r="AD39" s="2488"/>
      <c r="AE39" s="2488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8" customHeight="1">
      <c r="A40" s="1037" t="s">
        <v>28</v>
      </c>
      <c r="B40" s="1377">
        <f>COUNTA(C40:C42)</f>
        <v>3</v>
      </c>
      <c r="C40" s="1291" t="s">
        <v>35</v>
      </c>
      <c r="D40" s="1292">
        <v>8.9</v>
      </c>
      <c r="E40" s="1292">
        <v>7</v>
      </c>
      <c r="F40" s="1292">
        <v>6.8</v>
      </c>
      <c r="G40" s="2495">
        <v>6.3</v>
      </c>
      <c r="H40" s="2439">
        <v>7.8</v>
      </c>
      <c r="I40" s="1295">
        <v>7.4</v>
      </c>
      <c r="J40" s="1348">
        <v>7.9</v>
      </c>
      <c r="K40" s="1381">
        <v>7.7</v>
      </c>
      <c r="L40" s="1241">
        <v>8.6</v>
      </c>
      <c r="M40" s="1118">
        <v>8.1</v>
      </c>
      <c r="N40" s="1118">
        <v>7.9</v>
      </c>
      <c r="O40" s="2489">
        <v>8.4600000000000009</v>
      </c>
      <c r="P40" s="1203">
        <v>7.86</v>
      </c>
      <c r="Q40" s="1119">
        <v>7.78</v>
      </c>
      <c r="R40" s="1119">
        <v>7.79</v>
      </c>
      <c r="S40" s="1120">
        <v>7.57</v>
      </c>
      <c r="T40" s="1203"/>
      <c r="U40" s="1119"/>
      <c r="V40" s="1119"/>
      <c r="W40" s="1120">
        <v>7.86</v>
      </c>
      <c r="X40" s="767">
        <v>8.59</v>
      </c>
      <c r="Y40" s="1118">
        <v>7.72</v>
      </c>
      <c r="Z40" s="1118">
        <v>7.74</v>
      </c>
      <c r="AA40" s="2489">
        <v>7.92</v>
      </c>
      <c r="AB40" s="2489">
        <v>7.15</v>
      </c>
      <c r="AC40" s="2489"/>
      <c r="AD40" s="2489"/>
      <c r="AE40" s="2489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</row>
    <row r="41" spans="1:133">
      <c r="A41" s="1376" t="s">
        <v>28</v>
      </c>
      <c r="B41" s="1000"/>
      <c r="C41" s="1299" t="s">
        <v>29</v>
      </c>
      <c r="D41" s="1300">
        <v>8.8000000000000007</v>
      </c>
      <c r="E41" s="1300">
        <v>6.08</v>
      </c>
      <c r="F41" s="1300">
        <v>6.9</v>
      </c>
      <c r="G41" s="2496">
        <v>6.8</v>
      </c>
      <c r="H41" s="2440">
        <v>8.3000000000000007</v>
      </c>
      <c r="I41" s="1303">
        <v>7.6</v>
      </c>
      <c r="J41" s="1351">
        <v>7.7</v>
      </c>
      <c r="K41" s="1382">
        <v>8.02</v>
      </c>
      <c r="L41" s="1183">
        <v>8.4</v>
      </c>
      <c r="M41" s="1126">
        <v>7.9</v>
      </c>
      <c r="N41" s="1126">
        <v>7.6</v>
      </c>
      <c r="O41" s="2490">
        <v>8.11</v>
      </c>
      <c r="P41" s="1046">
        <v>7.59</v>
      </c>
      <c r="Q41" s="1127">
        <v>7.37</v>
      </c>
      <c r="R41" s="1127">
        <v>7.68</v>
      </c>
      <c r="S41" s="1128">
        <v>7.68</v>
      </c>
      <c r="T41" s="1046"/>
      <c r="U41" s="1127"/>
      <c r="V41" s="1127"/>
      <c r="W41" s="1128">
        <v>7.72</v>
      </c>
      <c r="X41" s="767">
        <v>8.41</v>
      </c>
      <c r="Y41" s="1126">
        <v>7.7</v>
      </c>
      <c r="Z41" s="1126">
        <v>7.5</v>
      </c>
      <c r="AA41" s="2490">
        <v>7.8</v>
      </c>
      <c r="AB41" s="2490">
        <v>7.35</v>
      </c>
      <c r="AC41" s="2490"/>
      <c r="AD41" s="2490"/>
      <c r="AE41" s="2490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5.75" thickBot="1">
      <c r="A42" s="1378" t="s">
        <v>28</v>
      </c>
      <c r="B42" s="1001"/>
      <c r="C42" s="1308" t="s">
        <v>36</v>
      </c>
      <c r="D42" s="1309">
        <v>8.8000000000000007</v>
      </c>
      <c r="E42" s="1309">
        <v>6.8</v>
      </c>
      <c r="F42" s="1309">
        <v>6.8</v>
      </c>
      <c r="G42" s="2497">
        <v>7.6</v>
      </c>
      <c r="H42" s="2441">
        <v>8.1999999999999993</v>
      </c>
      <c r="I42" s="1312">
        <v>7.1</v>
      </c>
      <c r="J42" s="1356">
        <v>7.8</v>
      </c>
      <c r="K42" s="1383">
        <v>7.9</v>
      </c>
      <c r="L42" s="1184">
        <v>8.3000000000000007</v>
      </c>
      <c r="M42" s="1136">
        <v>7.7</v>
      </c>
      <c r="N42" s="1136">
        <v>7.5</v>
      </c>
      <c r="O42" s="2488">
        <v>8.15</v>
      </c>
      <c r="P42" s="886">
        <v>8.19</v>
      </c>
      <c r="Q42" s="633">
        <v>7.72</v>
      </c>
      <c r="R42" s="633">
        <v>7.72</v>
      </c>
      <c r="S42" s="634">
        <v>7.56</v>
      </c>
      <c r="T42" s="886"/>
      <c r="U42" s="633"/>
      <c r="V42" s="633"/>
      <c r="W42" s="634">
        <v>7.71</v>
      </c>
      <c r="X42" s="767">
        <v>8.35</v>
      </c>
      <c r="Y42" s="1136">
        <v>7.65</v>
      </c>
      <c r="Z42" s="1136">
        <v>7.55</v>
      </c>
      <c r="AA42" s="2490">
        <v>7.86</v>
      </c>
      <c r="AB42" s="2490">
        <v>7.28</v>
      </c>
      <c r="AC42" s="2490"/>
      <c r="AD42" s="2490"/>
      <c r="AE42" s="2490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</row>
    <row r="43" spans="1:133" ht="16.5" thickBot="1">
      <c r="A43" s="1038" t="s">
        <v>8</v>
      </c>
      <c r="B43" s="1377">
        <f>COUNTA(C43:C45)</f>
        <v>3</v>
      </c>
      <c r="C43" s="1334" t="s">
        <v>9</v>
      </c>
      <c r="D43" s="1295"/>
      <c r="E43" s="1295"/>
      <c r="F43" s="1295">
        <v>7.6</v>
      </c>
      <c r="G43" s="2498">
        <v>7.6</v>
      </c>
      <c r="H43" s="2439">
        <v>8.11</v>
      </c>
      <c r="I43" s="1295">
        <v>7.01</v>
      </c>
      <c r="J43" s="1348">
        <v>7.7</v>
      </c>
      <c r="K43" s="1381">
        <v>8.1</v>
      </c>
      <c r="L43" s="1241">
        <v>7.8</v>
      </c>
      <c r="M43" s="1118">
        <v>7.3</v>
      </c>
      <c r="N43" s="1118">
        <v>7.5</v>
      </c>
      <c r="O43" s="2501">
        <v>4.2</v>
      </c>
      <c r="P43" s="1203">
        <v>7.76</v>
      </c>
      <c r="Q43" s="1119">
        <v>7.71</v>
      </c>
      <c r="R43" s="1119">
        <v>7.56</v>
      </c>
      <c r="S43" s="1120">
        <v>7.56</v>
      </c>
      <c r="T43" s="1203"/>
      <c r="U43" s="1119"/>
      <c r="V43" s="1119"/>
      <c r="W43" s="1120">
        <v>7.7</v>
      </c>
      <c r="X43" s="767">
        <v>6.91</v>
      </c>
      <c r="Y43" s="1118">
        <v>7.3</v>
      </c>
      <c r="Z43" s="1207">
        <v>7.12</v>
      </c>
      <c r="AA43" s="3221">
        <v>7.22</v>
      </c>
      <c r="AB43" s="3221">
        <v>7.45</v>
      </c>
      <c r="AC43" s="3221"/>
      <c r="AD43" s="3221"/>
      <c r="AE43" s="322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6.5" thickBot="1">
      <c r="A44" s="1384" t="s">
        <v>8</v>
      </c>
      <c r="B44" s="1002"/>
      <c r="C44" s="1336" t="s">
        <v>271</v>
      </c>
      <c r="D44" s="1303"/>
      <c r="E44" s="1303"/>
      <c r="F44" s="1303">
        <v>7.61</v>
      </c>
      <c r="G44" s="1345">
        <v>6.17</v>
      </c>
      <c r="H44" s="2440">
        <v>8.35</v>
      </c>
      <c r="I44" s="1303">
        <v>7.3</v>
      </c>
      <c r="J44" s="1351">
        <v>7.9</v>
      </c>
      <c r="K44" s="1382">
        <v>8.5</v>
      </c>
      <c r="L44" s="1183">
        <v>7.6</v>
      </c>
      <c r="M44" s="1126">
        <v>7.5</v>
      </c>
      <c r="N44" s="1126">
        <v>7.3</v>
      </c>
      <c r="O44" s="2502">
        <v>4.13</v>
      </c>
      <c r="P44" s="1046">
        <v>7.72</v>
      </c>
      <c r="Q44" s="1127">
        <v>7.15</v>
      </c>
      <c r="R44" s="1127">
        <v>7.24</v>
      </c>
      <c r="S44" s="1128">
        <v>7.7</v>
      </c>
      <c r="T44" s="1046"/>
      <c r="U44" s="1127"/>
      <c r="V44" s="1127"/>
      <c r="W44" s="1128">
        <v>7.3</v>
      </c>
      <c r="X44" s="767">
        <v>7.12</v>
      </c>
      <c r="Y44" s="1126">
        <v>7.76</v>
      </c>
      <c r="Z44" s="1208">
        <v>7.28</v>
      </c>
      <c r="AA44" s="3222">
        <v>7.47</v>
      </c>
      <c r="AB44" s="3222">
        <v>7.5</v>
      </c>
      <c r="AC44" s="3222"/>
      <c r="AD44" s="3222"/>
      <c r="AE44" s="3222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</row>
    <row r="45" spans="1:133" s="4" customFormat="1" ht="16.5" thickBot="1">
      <c r="A45" s="1385" t="s">
        <v>8</v>
      </c>
      <c r="B45" s="1386"/>
      <c r="C45" s="1338" t="s">
        <v>13</v>
      </c>
      <c r="D45" s="1312"/>
      <c r="E45" s="1312"/>
      <c r="F45" s="1312">
        <v>7.88</v>
      </c>
      <c r="G45" s="1346">
        <v>6.02</v>
      </c>
      <c r="H45" s="2441">
        <v>7.96</v>
      </c>
      <c r="I45" s="1312">
        <v>7</v>
      </c>
      <c r="J45" s="1356">
        <v>7.8</v>
      </c>
      <c r="K45" s="1383">
        <v>8.6</v>
      </c>
      <c r="L45" s="1184">
        <v>8.6</v>
      </c>
      <c r="M45" s="1136">
        <v>7.2</v>
      </c>
      <c r="N45" s="1136">
        <v>7.2</v>
      </c>
      <c r="O45" s="2502">
        <v>4.7</v>
      </c>
      <c r="P45" s="886">
        <v>8.5</v>
      </c>
      <c r="Q45" s="633">
        <v>8.5399999999999991</v>
      </c>
      <c r="R45" s="633">
        <v>8.43</v>
      </c>
      <c r="S45" s="634">
        <v>8.42</v>
      </c>
      <c r="T45" s="886"/>
      <c r="U45" s="633"/>
      <c r="V45" s="633"/>
      <c r="W45" s="634">
        <v>7.54</v>
      </c>
      <c r="X45" s="770">
        <v>7.74</v>
      </c>
      <c r="Y45" s="1136">
        <v>7.29</v>
      </c>
      <c r="Z45" s="1209">
        <v>7.2</v>
      </c>
      <c r="AA45" s="2502">
        <v>7.45</v>
      </c>
      <c r="AB45" s="2502">
        <v>7.56</v>
      </c>
      <c r="AC45" s="2502"/>
      <c r="AD45" s="2502"/>
      <c r="AE45" s="2502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</row>
    <row r="46" spans="1:133" s="4" customFormat="1">
      <c r="A46" s="3526" t="s">
        <v>386</v>
      </c>
      <c r="B46" s="1011">
        <v>4</v>
      </c>
      <c r="C46" s="3253" t="s">
        <v>391</v>
      </c>
      <c r="D46" s="17"/>
      <c r="E46" s="17"/>
      <c r="F46" s="17"/>
      <c r="G46" s="3251"/>
      <c r="H46" s="17"/>
      <c r="I46" s="17"/>
      <c r="J46" s="49"/>
      <c r="K46" s="3252"/>
      <c r="L46" s="143"/>
      <c r="M46" s="143"/>
      <c r="N46" s="143"/>
      <c r="O46" s="143"/>
      <c r="P46" s="61"/>
      <c r="Q46" s="61"/>
      <c r="R46" s="61"/>
      <c r="S46" s="61"/>
      <c r="T46" s="61"/>
      <c r="U46" s="61"/>
      <c r="V46" s="61"/>
      <c r="W46" s="61"/>
      <c r="X46" s="2926"/>
      <c r="Y46" s="2859">
        <v>7.98</v>
      </c>
      <c r="Z46" s="2926">
        <v>7.81</v>
      </c>
      <c r="AA46" s="2861">
        <v>7.69</v>
      </c>
      <c r="AB46" s="2861">
        <v>7.28</v>
      </c>
      <c r="AC46" s="2861"/>
      <c r="AD46" s="2861"/>
      <c r="AE46" s="2861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</row>
    <row r="47" spans="1:133" s="4" customFormat="1">
      <c r="A47" s="3527"/>
      <c r="B47" s="1108"/>
      <c r="C47" s="3254" t="s">
        <v>392</v>
      </c>
      <c r="D47" s="17"/>
      <c r="E47" s="17"/>
      <c r="F47" s="17"/>
      <c r="G47" s="3251"/>
      <c r="H47" s="17"/>
      <c r="I47" s="17"/>
      <c r="J47" s="49"/>
      <c r="K47" s="3252"/>
      <c r="L47" s="143"/>
      <c r="M47" s="143"/>
      <c r="N47" s="143"/>
      <c r="O47" s="143"/>
      <c r="P47" s="61"/>
      <c r="Q47" s="61"/>
      <c r="R47" s="61"/>
      <c r="S47" s="61"/>
      <c r="T47" s="61"/>
      <c r="U47" s="61"/>
      <c r="V47" s="61"/>
      <c r="W47" s="61"/>
      <c r="X47" s="2927"/>
      <c r="Y47" s="2862">
        <v>7.38</v>
      </c>
      <c r="Z47" s="2927">
        <v>7.53</v>
      </c>
      <c r="AA47" s="2863">
        <v>7.34</v>
      </c>
      <c r="AB47" s="2863">
        <v>7.45</v>
      </c>
      <c r="AC47" s="2863"/>
      <c r="AD47" s="2863"/>
      <c r="AE47" s="286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</row>
    <row r="48" spans="1:133" s="965" customFormat="1">
      <c r="A48" s="3527"/>
      <c r="B48" s="1108"/>
      <c r="C48" s="3254" t="s">
        <v>393</v>
      </c>
      <c r="D48" s="17"/>
      <c r="E48" s="17"/>
      <c r="F48" s="17"/>
      <c r="G48" s="3251"/>
      <c r="H48" s="17"/>
      <c r="I48" s="17"/>
      <c r="J48" s="49"/>
      <c r="K48" s="3252"/>
      <c r="L48" s="143"/>
      <c r="M48" s="143"/>
      <c r="N48" s="143"/>
      <c r="O48" s="143"/>
      <c r="P48" s="61"/>
      <c r="Q48" s="61"/>
      <c r="R48" s="61"/>
      <c r="S48" s="61"/>
      <c r="T48" s="61"/>
      <c r="U48" s="61"/>
      <c r="V48" s="61"/>
      <c r="W48" s="61"/>
      <c r="X48" s="2927"/>
      <c r="Y48" s="2862">
        <v>7.81</v>
      </c>
      <c r="Z48" s="2927">
        <v>7.74</v>
      </c>
      <c r="AA48" s="2863">
        <v>7.48</v>
      </c>
      <c r="AB48" s="2863">
        <v>7.55</v>
      </c>
      <c r="AC48" s="2863"/>
      <c r="AD48" s="2863"/>
      <c r="AE48" s="2863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</row>
    <row r="49" spans="1:133" ht="15.75" thickBot="1">
      <c r="A49" s="3528"/>
      <c r="B49" s="1110"/>
      <c r="C49" s="3255" t="s">
        <v>394</v>
      </c>
      <c r="D49" s="17"/>
      <c r="E49" s="17"/>
      <c r="F49" s="17"/>
      <c r="G49" s="3251"/>
      <c r="H49" s="17"/>
      <c r="I49" s="17"/>
      <c r="J49" s="49"/>
      <c r="K49" s="3252"/>
      <c r="L49" s="143"/>
      <c r="M49" s="143"/>
      <c r="N49" s="143"/>
      <c r="O49" s="143"/>
      <c r="P49" s="61"/>
      <c r="Q49" s="61"/>
      <c r="R49" s="61"/>
      <c r="S49" s="61"/>
      <c r="T49" s="61"/>
      <c r="U49" s="61"/>
      <c r="V49" s="61"/>
      <c r="W49" s="61"/>
      <c r="X49" s="2928"/>
      <c r="Y49" s="2864">
        <v>7.84</v>
      </c>
      <c r="Z49" s="2928">
        <v>7.65</v>
      </c>
      <c r="AA49" s="2866">
        <v>7.5</v>
      </c>
      <c r="AB49" s="2866">
        <v>7.42</v>
      </c>
      <c r="AC49" s="2866"/>
      <c r="AD49" s="2866"/>
      <c r="AE49" s="2866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>
      <c r="A50" s="3526" t="s">
        <v>387</v>
      </c>
      <c r="B50" s="1011">
        <v>3</v>
      </c>
      <c r="C50" s="3253" t="s">
        <v>395</v>
      </c>
      <c r="D50" s="17"/>
      <c r="E50" s="17"/>
      <c r="F50" s="17"/>
      <c r="G50" s="3251"/>
      <c r="H50" s="17"/>
      <c r="I50" s="17"/>
      <c r="J50" s="49"/>
      <c r="K50" s="3252"/>
      <c r="L50" s="143"/>
      <c r="M50" s="143"/>
      <c r="N50" s="143"/>
      <c r="O50" s="143"/>
      <c r="P50" s="61"/>
      <c r="Q50" s="61"/>
      <c r="R50" s="61"/>
      <c r="S50" s="61"/>
      <c r="T50" s="61"/>
      <c r="U50" s="61"/>
      <c r="V50" s="61"/>
      <c r="W50" s="61"/>
      <c r="X50" s="2926"/>
      <c r="Y50" s="2859">
        <v>8.4499999999999993</v>
      </c>
      <c r="Z50" s="2926">
        <v>8.02</v>
      </c>
      <c r="AA50" s="2861">
        <v>7.98</v>
      </c>
      <c r="AB50" s="2861"/>
      <c r="AC50" s="2861"/>
      <c r="AD50" s="2861"/>
      <c r="AE50" s="28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</row>
    <row r="51" spans="1:133">
      <c r="A51" s="3527"/>
      <c r="B51" s="1108"/>
      <c r="C51" s="3254" t="s">
        <v>396</v>
      </c>
      <c r="D51" s="17"/>
      <c r="E51" s="17"/>
      <c r="F51" s="17"/>
      <c r="G51" s="3251"/>
      <c r="H51" s="17"/>
      <c r="I51" s="17"/>
      <c r="J51" s="49"/>
      <c r="K51" s="3252"/>
      <c r="L51" s="143"/>
      <c r="M51" s="143"/>
      <c r="N51" s="143"/>
      <c r="O51" s="143"/>
      <c r="P51" s="61"/>
      <c r="Q51" s="61"/>
      <c r="R51" s="61"/>
      <c r="S51" s="61"/>
      <c r="T51" s="61"/>
      <c r="U51" s="61"/>
      <c r="V51" s="61"/>
      <c r="W51" s="61"/>
      <c r="X51" s="2927"/>
      <c r="Y51" s="2862">
        <v>8.01</v>
      </c>
      <c r="Z51" s="2927">
        <v>7.96</v>
      </c>
      <c r="AA51" s="2863">
        <v>7.75</v>
      </c>
      <c r="AB51" s="2863"/>
      <c r="AC51" s="2863"/>
      <c r="AD51" s="2863"/>
      <c r="AE51" s="2863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5" customHeight="1" thickBot="1">
      <c r="A52" s="3528"/>
      <c r="B52" s="1110"/>
      <c r="C52" s="3255" t="s">
        <v>397</v>
      </c>
      <c r="D52" s="17"/>
      <c r="E52" s="17"/>
      <c r="F52" s="17"/>
      <c r="G52" s="3251"/>
      <c r="H52" s="17"/>
      <c r="I52" s="17"/>
      <c r="J52" s="49"/>
      <c r="K52" s="3252"/>
      <c r="L52" s="143"/>
      <c r="M52" s="143"/>
      <c r="N52" s="143"/>
      <c r="O52" s="143"/>
      <c r="P52" s="61"/>
      <c r="Q52" s="61"/>
      <c r="R52" s="61"/>
      <c r="S52" s="61"/>
      <c r="T52" s="61"/>
      <c r="U52" s="61"/>
      <c r="V52" s="61"/>
      <c r="W52" s="61"/>
      <c r="X52" s="2928"/>
      <c r="Y52" s="2864">
        <v>8.2200000000000006</v>
      </c>
      <c r="Z52" s="2928">
        <v>8.01</v>
      </c>
      <c r="AA52" s="2866">
        <v>7</v>
      </c>
      <c r="AB52" s="2866"/>
      <c r="AC52" s="2866"/>
      <c r="AD52" s="2866"/>
      <c r="AE52" s="2866"/>
      <c r="AF52" s="149"/>
      <c r="AG52" s="13"/>
      <c r="AH52" s="13"/>
      <c r="AI52" s="61"/>
      <c r="AJ52" s="61"/>
      <c r="AK52" s="61"/>
      <c r="AL52" s="61"/>
      <c r="AM52" s="149"/>
      <c r="AN52" s="150"/>
      <c r="AO52" s="150"/>
      <c r="AP52" s="13"/>
      <c r="AQ52" s="13"/>
      <c r="AR52" s="61"/>
      <c r="AS52" s="61"/>
      <c r="AT52" s="61"/>
      <c r="AU52" s="61"/>
      <c r="AV52" s="150"/>
      <c r="AW52" s="150"/>
      <c r="AX52" s="150"/>
      <c r="AY52" s="150"/>
      <c r="AZ52" s="13"/>
      <c r="BA52" s="13"/>
      <c r="BB52" s="61"/>
      <c r="BC52" s="61"/>
      <c r="BD52" s="61"/>
      <c r="BE52" s="61"/>
      <c r="BF52" s="150"/>
      <c r="BG52" s="150"/>
      <c r="BH52" s="150"/>
      <c r="BI52" s="13"/>
      <c r="BJ52" s="13"/>
      <c r="BK52" s="61"/>
      <c r="BL52" s="61"/>
      <c r="BM52" s="61"/>
      <c r="BN52" s="61"/>
      <c r="BO52" s="150"/>
      <c r="BP52" s="150"/>
      <c r="BQ52" s="150"/>
      <c r="BR52" s="13"/>
      <c r="BS52" s="13"/>
      <c r="BT52" s="61"/>
      <c r="BU52" s="61"/>
      <c r="BV52" s="61"/>
      <c r="BW52" s="61"/>
      <c r="BX52" s="150"/>
      <c r="BY52" s="150"/>
      <c r="BZ52" s="150"/>
      <c r="CA52" s="13"/>
      <c r="CB52" s="13"/>
      <c r="CC52" s="61"/>
      <c r="CD52" s="61"/>
      <c r="CE52" s="61"/>
      <c r="CF52" s="61"/>
      <c r="CG52" s="150"/>
      <c r="CH52" s="150"/>
      <c r="CI52" s="150"/>
      <c r="CJ52" s="13"/>
      <c r="CK52" s="13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</row>
    <row r="53" spans="1:133">
      <c r="A53" s="3526" t="s">
        <v>388</v>
      </c>
      <c r="B53" s="1011">
        <v>3</v>
      </c>
      <c r="C53" s="3253" t="s">
        <v>398</v>
      </c>
      <c r="D53" s="17"/>
      <c r="E53" s="17"/>
      <c r="F53" s="17"/>
      <c r="G53" s="3251"/>
      <c r="H53" s="17"/>
      <c r="I53" s="17"/>
      <c r="J53" s="49"/>
      <c r="K53" s="3252"/>
      <c r="L53" s="143"/>
      <c r="M53" s="143"/>
      <c r="N53" s="143"/>
      <c r="O53" s="143"/>
      <c r="P53" s="61"/>
      <c r="Q53" s="61"/>
      <c r="R53" s="61"/>
      <c r="S53" s="61"/>
      <c r="T53" s="61"/>
      <c r="U53" s="61"/>
      <c r="V53" s="61"/>
      <c r="W53" s="61"/>
      <c r="X53" s="2926"/>
      <c r="Y53" s="2859">
        <v>7.5</v>
      </c>
      <c r="Z53" s="2926">
        <v>7.65</v>
      </c>
      <c r="AA53" s="2861">
        <v>7.72</v>
      </c>
      <c r="AB53" s="2861">
        <v>7.19</v>
      </c>
      <c r="AC53" s="2861"/>
      <c r="AD53" s="2861"/>
      <c r="AE53" s="2861"/>
      <c r="AF53" s="151"/>
      <c r="AG53" s="14"/>
      <c r="AH53" s="14"/>
      <c r="AI53" s="61"/>
      <c r="AJ53" s="61"/>
      <c r="AK53" s="61"/>
      <c r="AL53" s="28"/>
      <c r="AM53" s="151"/>
      <c r="AN53" s="151"/>
      <c r="AO53" s="151"/>
      <c r="AP53" s="14"/>
      <c r="AQ53" s="14"/>
      <c r="AR53" s="61"/>
      <c r="AS53" s="61"/>
      <c r="AT53" s="61"/>
      <c r="AU53" s="28"/>
      <c r="AV53" s="151"/>
      <c r="AW53" s="151"/>
      <c r="AX53" s="151"/>
      <c r="AY53" s="151"/>
      <c r="AZ53" s="14"/>
      <c r="BA53" s="14"/>
      <c r="BB53" s="61"/>
      <c r="BC53" s="61"/>
      <c r="BD53" s="61"/>
      <c r="BE53" s="28"/>
      <c r="BF53" s="151"/>
      <c r="BG53" s="151"/>
      <c r="BH53" s="157"/>
      <c r="BI53" s="14"/>
      <c r="BJ53" s="14"/>
      <c r="BK53" s="61"/>
      <c r="BL53" s="61"/>
      <c r="BM53" s="61"/>
      <c r="BN53" s="28"/>
      <c r="BO53" s="151"/>
      <c r="BP53" s="151"/>
      <c r="BQ53" s="151"/>
      <c r="BR53" s="14"/>
      <c r="BS53" s="14"/>
      <c r="BT53" s="61"/>
      <c r="BU53" s="61"/>
      <c r="BV53" s="61"/>
      <c r="BW53" s="28"/>
      <c r="BX53" s="151"/>
      <c r="BY53" s="151"/>
      <c r="BZ53" s="151"/>
      <c r="CA53" s="14"/>
      <c r="CB53" s="14"/>
      <c r="CC53" s="61"/>
      <c r="CD53" s="61"/>
      <c r="CE53" s="61"/>
      <c r="CF53" s="28"/>
      <c r="CG53" s="151"/>
      <c r="CH53" s="151"/>
      <c r="CI53" s="151"/>
      <c r="CJ53" s="14"/>
      <c r="CK53" s="14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>
      <c r="A54" s="3527"/>
      <c r="B54" s="1108"/>
      <c r="C54" s="3254" t="s">
        <v>399</v>
      </c>
      <c r="D54" s="17"/>
      <c r="E54" s="17"/>
      <c r="F54" s="17"/>
      <c r="G54" s="3251"/>
      <c r="H54" s="17"/>
      <c r="I54" s="17"/>
      <c r="J54" s="49"/>
      <c r="K54" s="3252"/>
      <c r="L54" s="143"/>
      <c r="M54" s="143"/>
      <c r="N54" s="143"/>
      <c r="O54" s="143"/>
      <c r="P54" s="61"/>
      <c r="Q54" s="61"/>
      <c r="R54" s="61"/>
      <c r="S54" s="61"/>
      <c r="T54" s="61"/>
      <c r="U54" s="61"/>
      <c r="V54" s="61"/>
      <c r="W54" s="61"/>
      <c r="X54" s="2927"/>
      <c r="Y54" s="2862">
        <v>7.45</v>
      </c>
      <c r="Z54" s="2927">
        <v>7.65</v>
      </c>
      <c r="AA54" s="2863">
        <v>7.6</v>
      </c>
      <c r="AB54" s="2863">
        <v>7.32</v>
      </c>
      <c r="AC54" s="2863"/>
      <c r="AD54" s="2863"/>
      <c r="AE54" s="2863"/>
      <c r="AF54" s="153"/>
      <c r="AG54" s="14"/>
      <c r="AH54" s="14"/>
      <c r="AI54" s="61"/>
      <c r="AJ54" s="61"/>
      <c r="AK54" s="61"/>
      <c r="AL54" s="61"/>
      <c r="AM54" s="153"/>
      <c r="AN54" s="153"/>
      <c r="AO54" s="153"/>
      <c r="AP54" s="14"/>
      <c r="AQ54" s="14"/>
      <c r="AR54" s="61"/>
      <c r="AS54" s="61"/>
      <c r="AT54" s="61"/>
      <c r="AU54" s="61"/>
      <c r="AV54" s="153"/>
      <c r="AW54" s="153"/>
      <c r="AX54" s="153"/>
      <c r="AY54" s="153"/>
      <c r="AZ54" s="14"/>
      <c r="BA54" s="14"/>
      <c r="BB54" s="61"/>
      <c r="BC54" s="61"/>
      <c r="BD54" s="61"/>
      <c r="BE54" s="61"/>
      <c r="BF54" s="153"/>
      <c r="BG54" s="153"/>
      <c r="BH54" s="153"/>
      <c r="BI54" s="14"/>
      <c r="BJ54" s="14"/>
      <c r="BK54" s="61"/>
      <c r="BL54" s="61"/>
      <c r="BM54" s="61"/>
      <c r="BN54" s="61"/>
      <c r="BO54" s="153"/>
      <c r="BP54" s="153"/>
      <c r="BQ54" s="153"/>
      <c r="BR54" s="14"/>
      <c r="BS54" s="14"/>
      <c r="BT54" s="61"/>
      <c r="BU54" s="61"/>
      <c r="BV54" s="61"/>
      <c r="BW54" s="61"/>
      <c r="BX54" s="153"/>
      <c r="BY54" s="153"/>
      <c r="BZ54" s="153"/>
      <c r="CA54" s="14"/>
      <c r="CB54" s="14"/>
      <c r="CC54" s="61"/>
      <c r="CD54" s="61"/>
      <c r="CE54" s="61"/>
      <c r="CF54" s="61"/>
      <c r="CG54" s="153"/>
      <c r="CH54" s="153"/>
      <c r="CI54" s="153"/>
      <c r="CJ54" s="14"/>
      <c r="CK54" s="14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</row>
    <row r="55" spans="1:133" ht="15.75" thickBot="1">
      <c r="A55" s="3528"/>
      <c r="B55" s="1110"/>
      <c r="C55" s="3255" t="s">
        <v>400</v>
      </c>
      <c r="D55" s="17"/>
      <c r="E55" s="17"/>
      <c r="F55" s="17"/>
      <c r="G55" s="3251"/>
      <c r="H55" s="17"/>
      <c r="I55" s="17"/>
      <c r="J55" s="49"/>
      <c r="K55" s="3252"/>
      <c r="L55" s="143"/>
      <c r="M55" s="143"/>
      <c r="N55" s="143"/>
      <c r="O55" s="143"/>
      <c r="P55" s="61"/>
      <c r="Q55" s="61"/>
      <c r="R55" s="61"/>
      <c r="S55" s="61"/>
      <c r="T55" s="61"/>
      <c r="U55" s="61"/>
      <c r="V55" s="61"/>
      <c r="W55" s="61"/>
      <c r="X55" s="2928"/>
      <c r="Y55" s="2864">
        <v>7.26</v>
      </c>
      <c r="Z55" s="2928">
        <v>7.8</v>
      </c>
      <c r="AA55" s="2866">
        <v>7.61</v>
      </c>
      <c r="AB55" s="2866">
        <v>7.41</v>
      </c>
      <c r="AC55" s="2866"/>
      <c r="AD55" s="2866"/>
      <c r="AE55" s="2866"/>
      <c r="AF55" s="153"/>
      <c r="AG55" s="14"/>
      <c r="AH55" s="14"/>
      <c r="AI55" s="61"/>
      <c r="AJ55" s="61"/>
      <c r="AK55" s="61"/>
      <c r="AL55" s="61"/>
      <c r="AM55" s="153"/>
      <c r="AN55" s="153"/>
      <c r="AO55" s="153"/>
      <c r="AP55" s="14"/>
      <c r="AQ55" s="14"/>
      <c r="AR55" s="61"/>
      <c r="AS55" s="61"/>
      <c r="AT55" s="61"/>
      <c r="AU55" s="61"/>
      <c r="AV55" s="153"/>
      <c r="AW55" s="153"/>
      <c r="AX55" s="153"/>
      <c r="AY55" s="153"/>
      <c r="AZ55" s="14"/>
      <c r="BA55" s="14"/>
      <c r="BB55" s="61"/>
      <c r="BC55" s="61"/>
      <c r="BD55" s="61"/>
      <c r="BE55" s="61"/>
      <c r="BF55" s="153"/>
      <c r="BG55" s="153"/>
      <c r="BH55" s="153"/>
      <c r="BI55" s="14"/>
      <c r="BJ55" s="14"/>
      <c r="BK55" s="61"/>
      <c r="BL55" s="61"/>
      <c r="BM55" s="61"/>
      <c r="BN55" s="61"/>
      <c r="BO55" s="153"/>
      <c r="BP55" s="153"/>
      <c r="BQ55" s="153"/>
      <c r="BR55" s="14"/>
      <c r="BS55" s="14"/>
      <c r="BT55" s="61"/>
      <c r="BU55" s="61"/>
      <c r="BV55" s="61"/>
      <c r="BW55" s="61"/>
      <c r="BX55" s="153"/>
      <c r="BY55" s="153"/>
      <c r="BZ55" s="153"/>
      <c r="CA55" s="14"/>
      <c r="CB55" s="14"/>
      <c r="CC55" s="61"/>
      <c r="CD55" s="61"/>
      <c r="CE55" s="61"/>
      <c r="CF55" s="61"/>
      <c r="CG55" s="153"/>
      <c r="CH55" s="153"/>
      <c r="CI55" s="153"/>
      <c r="CJ55" s="14"/>
      <c r="CK55" s="14"/>
      <c r="CL55" s="61"/>
      <c r="CM55" s="61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1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1"/>
      <c r="DJ55" s="61"/>
      <c r="DK55" s="61"/>
      <c r="DL55" s="61"/>
      <c r="DM55" s="61"/>
      <c r="DN55" s="61"/>
      <c r="DO55" s="61"/>
      <c r="DP55" s="61"/>
      <c r="DQ55" s="61"/>
      <c r="DR55" s="61"/>
      <c r="DS55" s="61"/>
      <c r="DT55" s="61"/>
      <c r="DU55" s="61"/>
      <c r="DV55" s="61"/>
      <c r="DW55" s="61"/>
      <c r="DX55" s="61"/>
      <c r="DY55" s="61"/>
      <c r="DZ55" s="61"/>
      <c r="EA55" s="61"/>
      <c r="EB55" s="61"/>
      <c r="EC55" s="61"/>
    </row>
    <row r="56" spans="1:133">
      <c r="A56" s="3526" t="s">
        <v>389</v>
      </c>
      <c r="B56" s="1011">
        <v>3</v>
      </c>
      <c r="C56" s="3253" t="s">
        <v>17</v>
      </c>
      <c r="D56" s="17"/>
      <c r="E56" s="17"/>
      <c r="F56" s="17"/>
      <c r="G56" s="3251"/>
      <c r="H56" s="17"/>
      <c r="I56" s="17"/>
      <c r="J56" s="49"/>
      <c r="K56" s="3252"/>
      <c r="L56" s="143"/>
      <c r="M56" s="143"/>
      <c r="N56" s="143"/>
      <c r="O56" s="143"/>
      <c r="P56" s="61"/>
      <c r="Q56" s="61"/>
      <c r="R56" s="61"/>
      <c r="S56" s="61"/>
      <c r="T56" s="61"/>
      <c r="U56" s="61"/>
      <c r="V56" s="61"/>
      <c r="W56" s="61"/>
      <c r="X56" s="2926"/>
      <c r="Y56" s="2859">
        <v>7.39</v>
      </c>
      <c r="Z56" s="2926">
        <v>7.47</v>
      </c>
      <c r="AA56" s="2861">
        <v>7.54</v>
      </c>
      <c r="AB56" s="2861">
        <v>6.61</v>
      </c>
      <c r="AC56" s="2861"/>
      <c r="AD56" s="2861"/>
      <c r="AE56" s="2861"/>
      <c r="AF56" s="153"/>
      <c r="AG56" s="14"/>
      <c r="AH56" s="14"/>
      <c r="AI56" s="61"/>
      <c r="AJ56" s="61"/>
      <c r="AK56" s="61"/>
      <c r="AL56" s="61"/>
      <c r="AM56" s="153"/>
      <c r="AN56" s="153"/>
      <c r="AO56" s="153"/>
      <c r="AP56" s="14"/>
      <c r="AQ56" s="14"/>
      <c r="AR56" s="61"/>
      <c r="AS56" s="61"/>
      <c r="AT56" s="61"/>
      <c r="AU56" s="61"/>
      <c r="AV56" s="153"/>
      <c r="AW56" s="153"/>
      <c r="AX56" s="153"/>
      <c r="AY56" s="153"/>
      <c r="AZ56" s="14"/>
      <c r="BA56" s="14"/>
      <c r="BB56" s="61"/>
      <c r="BC56" s="61"/>
      <c r="BD56" s="61"/>
      <c r="BE56" s="61"/>
      <c r="BF56" s="153"/>
      <c r="BG56" s="153"/>
      <c r="BH56" s="153"/>
      <c r="BI56" s="14"/>
      <c r="BJ56" s="14"/>
      <c r="BK56" s="61"/>
      <c r="BL56" s="61"/>
      <c r="BM56" s="61"/>
      <c r="BN56" s="61"/>
      <c r="BO56" s="153"/>
      <c r="BP56" s="153"/>
      <c r="BQ56" s="153"/>
      <c r="BR56" s="14"/>
      <c r="BS56" s="14"/>
      <c r="BT56" s="61"/>
      <c r="BU56" s="61"/>
      <c r="BV56" s="61"/>
      <c r="BW56" s="61"/>
      <c r="BX56" s="153"/>
      <c r="BY56" s="153"/>
      <c r="BZ56" s="153"/>
      <c r="CA56" s="14"/>
      <c r="CB56" s="14"/>
      <c r="CC56" s="61"/>
      <c r="CD56" s="61"/>
      <c r="CE56" s="61"/>
      <c r="CF56" s="61"/>
      <c r="CG56" s="153"/>
      <c r="CH56" s="153"/>
      <c r="CI56" s="153"/>
      <c r="CJ56" s="14"/>
      <c r="CK56" s="14"/>
      <c r="CL56" s="61"/>
      <c r="CM56" s="61"/>
      <c r="CN56" s="61"/>
      <c r="CO56" s="61"/>
      <c r="CP56" s="61"/>
      <c r="CQ56" s="61"/>
      <c r="CR56" s="61"/>
      <c r="CS56" s="61"/>
      <c r="CT56" s="61"/>
      <c r="CU56" s="61"/>
      <c r="CV56" s="61"/>
      <c r="CW56" s="61"/>
      <c r="CX56" s="61"/>
      <c r="CY56" s="61"/>
      <c r="CZ56" s="61"/>
      <c r="DA56" s="61"/>
      <c r="DB56" s="61"/>
      <c r="DC56" s="61"/>
      <c r="DD56" s="61"/>
      <c r="DE56" s="61"/>
      <c r="DF56" s="61"/>
      <c r="DG56" s="61"/>
      <c r="DH56" s="61"/>
      <c r="DI56" s="61"/>
      <c r="DJ56" s="61"/>
      <c r="DK56" s="61"/>
      <c r="DL56" s="61"/>
      <c r="DM56" s="61"/>
      <c r="DN56" s="61"/>
      <c r="DO56" s="61"/>
      <c r="DP56" s="61"/>
      <c r="DQ56" s="61"/>
      <c r="DR56" s="61"/>
      <c r="DS56" s="61"/>
      <c r="DT56" s="61"/>
      <c r="DU56" s="61"/>
      <c r="DV56" s="61"/>
      <c r="DW56" s="61"/>
      <c r="DX56" s="61"/>
      <c r="DY56" s="61"/>
      <c r="DZ56" s="61"/>
      <c r="EA56" s="61"/>
      <c r="EB56" s="61"/>
      <c r="EC56" s="61"/>
    </row>
    <row r="57" spans="1:133">
      <c r="A57" s="3527"/>
      <c r="B57" s="1108"/>
      <c r="C57" s="3254" t="s">
        <v>401</v>
      </c>
      <c r="D57" s="17"/>
      <c r="E57" s="17"/>
      <c r="F57" s="17"/>
      <c r="G57" s="3251"/>
      <c r="H57" s="17"/>
      <c r="I57" s="17"/>
      <c r="J57" s="49"/>
      <c r="K57" s="3252"/>
      <c r="L57" s="143"/>
      <c r="M57" s="143"/>
      <c r="N57" s="143"/>
      <c r="O57" s="143"/>
      <c r="P57" s="61"/>
      <c r="Q57" s="61"/>
      <c r="R57" s="61"/>
      <c r="S57" s="61"/>
      <c r="T57" s="61"/>
      <c r="U57" s="61"/>
      <c r="V57" s="61"/>
      <c r="W57" s="61"/>
      <c r="X57" s="2927"/>
      <c r="Y57" s="2862">
        <v>7.71</v>
      </c>
      <c r="Z57" s="2927">
        <v>7.48</v>
      </c>
      <c r="AA57" s="2863">
        <v>7.65</v>
      </c>
      <c r="AB57" s="2863">
        <v>6.53</v>
      </c>
      <c r="AC57" s="2863"/>
      <c r="AD57" s="2863"/>
      <c r="AE57" s="2863"/>
      <c r="AF57" s="153"/>
      <c r="AG57" s="14"/>
      <c r="AH57" s="14"/>
      <c r="AI57" s="61"/>
      <c r="AJ57" s="61"/>
      <c r="AK57" s="61"/>
      <c r="AL57" s="61"/>
      <c r="AM57" s="153"/>
      <c r="AN57" s="153"/>
      <c r="AO57" s="153"/>
      <c r="AP57" s="14"/>
      <c r="AQ57" s="14"/>
      <c r="AR57" s="61"/>
      <c r="AS57" s="61"/>
      <c r="AT57" s="61"/>
      <c r="AU57" s="61"/>
      <c r="AV57" s="153"/>
      <c r="AW57" s="153"/>
      <c r="AX57" s="153"/>
      <c r="AY57" s="153"/>
      <c r="AZ57" s="14"/>
      <c r="BA57" s="14"/>
      <c r="BB57" s="61"/>
      <c r="BC57" s="61"/>
      <c r="BD57" s="61"/>
      <c r="BE57" s="61"/>
      <c r="BF57" s="153"/>
      <c r="BG57" s="153"/>
      <c r="BH57" s="153"/>
      <c r="BI57" s="14"/>
      <c r="BJ57" s="14"/>
      <c r="BK57" s="61"/>
      <c r="BL57" s="61"/>
      <c r="BM57" s="61"/>
      <c r="BN57" s="61"/>
      <c r="BO57" s="153"/>
      <c r="BP57" s="153"/>
      <c r="BQ57" s="153"/>
      <c r="BR57" s="14"/>
      <c r="BS57" s="14"/>
      <c r="BT57" s="61"/>
      <c r="BU57" s="61"/>
      <c r="BV57" s="61"/>
      <c r="BW57" s="61"/>
      <c r="BX57" s="153"/>
      <c r="BY57" s="153"/>
      <c r="BZ57" s="153"/>
      <c r="CA57" s="14"/>
      <c r="CB57" s="14"/>
      <c r="CC57" s="61"/>
      <c r="CD57" s="61"/>
      <c r="CE57" s="61"/>
      <c r="CF57" s="61"/>
      <c r="CG57" s="153"/>
      <c r="CH57" s="153"/>
      <c r="CI57" s="153"/>
      <c r="CJ57" s="14"/>
      <c r="CK57" s="14"/>
      <c r="CL57" s="61"/>
      <c r="CM57" s="61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1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1"/>
      <c r="DJ57" s="61"/>
      <c r="DK57" s="61"/>
      <c r="DL57" s="61"/>
      <c r="DM57" s="61"/>
      <c r="DN57" s="61"/>
      <c r="DO57" s="61"/>
      <c r="DP57" s="61"/>
      <c r="DQ57" s="61"/>
      <c r="DR57" s="61"/>
      <c r="DS57" s="61"/>
      <c r="DT57" s="61"/>
      <c r="DU57" s="61"/>
      <c r="DV57" s="61"/>
      <c r="DW57" s="61"/>
      <c r="DX57" s="61"/>
      <c r="DY57" s="61"/>
      <c r="DZ57" s="61"/>
      <c r="EA57" s="61"/>
      <c r="EB57" s="61"/>
      <c r="EC57" s="61"/>
    </row>
    <row r="58" spans="1:133" ht="15.75" thickBot="1">
      <c r="A58" s="3528"/>
      <c r="B58" s="1110"/>
      <c r="C58" s="3255" t="s">
        <v>402</v>
      </c>
      <c r="D58" s="17"/>
      <c r="E58" s="17"/>
      <c r="F58" s="17"/>
      <c r="G58" s="3251"/>
      <c r="H58" s="17"/>
      <c r="I58" s="17"/>
      <c r="J58" s="49"/>
      <c r="K58" s="3252"/>
      <c r="L58" s="143"/>
      <c r="M58" s="143"/>
      <c r="N58" s="143"/>
      <c r="O58" s="143"/>
      <c r="P58" s="61"/>
      <c r="Q58" s="61"/>
      <c r="R58" s="61"/>
      <c r="S58" s="61"/>
      <c r="T58" s="61"/>
      <c r="U58" s="61"/>
      <c r="V58" s="61"/>
      <c r="W58" s="61"/>
      <c r="X58" s="2928"/>
      <c r="Y58" s="2864">
        <v>7.81</v>
      </c>
      <c r="Z58" s="2928">
        <v>7.39</v>
      </c>
      <c r="AA58" s="2866">
        <v>7.65</v>
      </c>
      <c r="AB58" s="2866">
        <v>6.62</v>
      </c>
      <c r="AC58" s="2866"/>
      <c r="AD58" s="2866"/>
      <c r="AE58" s="2866"/>
      <c r="AF58" s="154"/>
      <c r="AG58" s="14"/>
      <c r="AH58" s="14"/>
      <c r="AI58" s="61"/>
      <c r="AJ58" s="61"/>
      <c r="AK58" s="61"/>
      <c r="AL58" s="61"/>
      <c r="AM58" s="154"/>
      <c r="AN58" s="154"/>
      <c r="AO58" s="154"/>
      <c r="AP58" s="14"/>
      <c r="AQ58" s="14"/>
      <c r="AR58" s="61"/>
      <c r="AS58" s="61"/>
      <c r="AT58" s="61"/>
      <c r="AU58" s="61"/>
      <c r="AV58" s="154"/>
      <c r="AW58" s="154"/>
      <c r="AX58" s="154"/>
      <c r="AY58" s="154"/>
      <c r="AZ58" s="14"/>
      <c r="BA58" s="14"/>
      <c r="BB58" s="61"/>
      <c r="BC58" s="61"/>
      <c r="BD58" s="61"/>
      <c r="BE58" s="61"/>
      <c r="BF58" s="154"/>
      <c r="BG58" s="154"/>
      <c r="BH58" s="154"/>
      <c r="BI58" s="14"/>
      <c r="BJ58" s="14"/>
      <c r="BK58" s="61"/>
      <c r="BL58" s="61"/>
      <c r="BM58" s="61"/>
      <c r="BN58" s="61"/>
      <c r="BO58" s="154"/>
      <c r="BP58" s="154"/>
      <c r="BQ58" s="154"/>
      <c r="BR58" s="14"/>
      <c r="BS58" s="14"/>
      <c r="BT58" s="61"/>
      <c r="BU58" s="61"/>
      <c r="BV58" s="61"/>
      <c r="BW58" s="61"/>
      <c r="BX58" s="154"/>
      <c r="BY58" s="154"/>
      <c r="BZ58" s="154"/>
      <c r="CA58" s="14"/>
      <c r="CB58" s="14"/>
      <c r="CC58" s="61"/>
      <c r="CD58" s="61"/>
      <c r="CE58" s="61"/>
      <c r="CF58" s="61"/>
      <c r="CG58" s="154"/>
      <c r="CH58" s="154"/>
      <c r="CI58" s="154"/>
      <c r="CJ58" s="14"/>
      <c r="CK58" s="14"/>
      <c r="CL58" s="61"/>
      <c r="CM58" s="61"/>
      <c r="CN58" s="61"/>
      <c r="CO58" s="61"/>
      <c r="CP58" s="61"/>
      <c r="CQ58" s="61"/>
      <c r="CR58" s="61"/>
      <c r="CS58" s="61"/>
      <c r="CT58" s="61"/>
      <c r="CU58" s="61"/>
      <c r="CV58" s="61"/>
      <c r="CW58" s="61"/>
      <c r="CX58" s="61"/>
      <c r="CY58" s="61"/>
      <c r="CZ58" s="61"/>
      <c r="DA58" s="61"/>
      <c r="DB58" s="61"/>
      <c r="DC58" s="61"/>
      <c r="DD58" s="61"/>
      <c r="DE58" s="61"/>
      <c r="DF58" s="61"/>
      <c r="DG58" s="61"/>
      <c r="DH58" s="61"/>
      <c r="DI58" s="61"/>
      <c r="DJ58" s="61"/>
      <c r="DK58" s="61"/>
      <c r="DL58" s="61"/>
      <c r="DM58" s="61"/>
      <c r="DN58" s="61"/>
      <c r="DO58" s="61"/>
      <c r="DP58" s="61"/>
      <c r="DQ58" s="61"/>
      <c r="DR58" s="61"/>
      <c r="DS58" s="61"/>
      <c r="DT58" s="61"/>
      <c r="DU58" s="61"/>
      <c r="DV58" s="61"/>
      <c r="DW58" s="61"/>
      <c r="DX58" s="61"/>
      <c r="DY58" s="61"/>
      <c r="DZ58" s="61"/>
      <c r="EA58" s="61"/>
      <c r="EB58" s="61"/>
      <c r="EC58" s="61"/>
    </row>
    <row r="59" spans="1:133">
      <c r="A59" s="3526" t="s">
        <v>390</v>
      </c>
      <c r="B59" s="1108">
        <v>3</v>
      </c>
      <c r="C59" s="3254" t="s">
        <v>393</v>
      </c>
      <c r="D59" s="17"/>
      <c r="E59" s="17"/>
      <c r="F59" s="17"/>
      <c r="G59" s="3251"/>
      <c r="H59" s="17"/>
      <c r="I59" s="17"/>
      <c r="J59" s="49"/>
      <c r="K59" s="3252"/>
      <c r="L59" s="143"/>
      <c r="M59" s="143"/>
      <c r="N59" s="143"/>
      <c r="O59" s="143"/>
      <c r="P59" s="61"/>
      <c r="Q59" s="61"/>
      <c r="R59" s="61"/>
      <c r="S59" s="61"/>
      <c r="T59" s="61"/>
      <c r="U59" s="61"/>
      <c r="V59" s="61"/>
      <c r="W59" s="61"/>
      <c r="X59" s="2927"/>
      <c r="Y59" s="2862">
        <v>8.14</v>
      </c>
      <c r="Z59" s="2927">
        <v>7.47</v>
      </c>
      <c r="AA59" s="2926">
        <v>7.7</v>
      </c>
      <c r="AB59" s="2926"/>
      <c r="AC59" s="2926"/>
      <c r="AD59" s="2926"/>
      <c r="AE59" s="2926"/>
      <c r="AF59" s="162"/>
      <c r="AG59" s="14"/>
      <c r="AH59" s="14"/>
      <c r="AI59" s="61"/>
      <c r="AJ59" s="61"/>
      <c r="AK59" s="61"/>
      <c r="AL59" s="61"/>
      <c r="AM59" s="162"/>
      <c r="AN59" s="162"/>
      <c r="AO59" s="162"/>
      <c r="AP59" s="14"/>
      <c r="AQ59" s="14"/>
      <c r="AR59" s="61"/>
      <c r="AS59" s="61"/>
      <c r="AT59" s="61"/>
      <c r="AU59" s="61"/>
      <c r="AV59" s="162"/>
      <c r="AW59" s="162"/>
      <c r="AX59" s="162"/>
      <c r="AY59" s="162"/>
      <c r="AZ59" s="14"/>
      <c r="BA59" s="14"/>
      <c r="BB59" s="61"/>
      <c r="BC59" s="61"/>
      <c r="BD59" s="61"/>
      <c r="BE59" s="61"/>
      <c r="BF59" s="162"/>
      <c r="BG59" s="162"/>
      <c r="BH59" s="162"/>
      <c r="BI59" s="14"/>
      <c r="BJ59" s="14"/>
      <c r="BK59" s="61"/>
      <c r="BL59" s="61"/>
      <c r="BM59" s="61"/>
      <c r="BN59" s="61"/>
      <c r="BO59" s="162"/>
      <c r="BP59" s="162"/>
      <c r="BQ59" s="162"/>
      <c r="BR59" s="14"/>
      <c r="BS59" s="14"/>
      <c r="BT59" s="61"/>
      <c r="BU59" s="61"/>
      <c r="BV59" s="61"/>
      <c r="BW59" s="61"/>
      <c r="BX59" s="162"/>
      <c r="BY59" s="162"/>
      <c r="BZ59" s="162"/>
      <c r="CA59" s="14"/>
      <c r="CB59" s="14"/>
      <c r="CC59" s="61"/>
      <c r="CD59" s="61"/>
      <c r="CE59" s="61"/>
      <c r="CF59" s="61"/>
      <c r="CG59" s="162"/>
      <c r="CH59" s="162"/>
      <c r="CI59" s="162"/>
      <c r="CJ59" s="14"/>
      <c r="CK59" s="14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</row>
    <row r="60" spans="1:133">
      <c r="A60" s="3527"/>
      <c r="B60" s="1108"/>
      <c r="C60" s="3254" t="s">
        <v>403</v>
      </c>
      <c r="D60" s="17"/>
      <c r="E60" s="17"/>
      <c r="F60" s="17"/>
      <c r="G60" s="3251"/>
      <c r="H60" s="17"/>
      <c r="I60" s="17"/>
      <c r="J60" s="49"/>
      <c r="K60" s="3252"/>
      <c r="L60" s="143"/>
      <c r="M60" s="143"/>
      <c r="N60" s="143"/>
      <c r="O60" s="143"/>
      <c r="P60" s="61"/>
      <c r="Q60" s="61"/>
      <c r="R60" s="61"/>
      <c r="S60" s="61"/>
      <c r="T60" s="61"/>
      <c r="U60" s="61"/>
      <c r="V60" s="61"/>
      <c r="W60" s="61"/>
      <c r="X60" s="2927"/>
      <c r="Y60" s="2862">
        <v>8.0500000000000007</v>
      </c>
      <c r="Z60" s="2927">
        <v>7.43</v>
      </c>
      <c r="AA60" s="2927">
        <v>7.73</v>
      </c>
      <c r="AB60" s="2927"/>
      <c r="AC60" s="2927"/>
      <c r="AD60" s="2927"/>
      <c r="AE60" s="2927"/>
      <c r="AF60" s="61"/>
      <c r="AG60" s="14"/>
      <c r="AH60" s="61"/>
      <c r="AI60" s="61"/>
      <c r="AJ60" s="61"/>
      <c r="AK60" s="61"/>
      <c r="AL60" s="61"/>
      <c r="AM60" s="61"/>
      <c r="AN60" s="61"/>
      <c r="AO60" s="61"/>
      <c r="AP60" s="14"/>
      <c r="AQ60" s="61"/>
      <c r="AR60" s="61"/>
      <c r="AS60" s="61"/>
      <c r="AT60" s="61"/>
      <c r="AU60" s="61"/>
      <c r="AV60" s="61"/>
      <c r="AW60" s="61"/>
      <c r="AX60" s="61"/>
      <c r="AY60" s="14"/>
      <c r="AZ60" s="61"/>
      <c r="BA60" s="61"/>
      <c r="BB60" s="61"/>
      <c r="BC60" s="61"/>
      <c r="BD60" s="61"/>
      <c r="BE60" s="61"/>
      <c r="BF60" s="61"/>
      <c r="BG60" s="61"/>
      <c r="BH60" s="61"/>
      <c r="BI60" s="14"/>
      <c r="BJ60" s="61"/>
      <c r="BK60" s="61"/>
      <c r="BL60" s="61"/>
      <c r="BM60" s="61"/>
      <c r="BN60" s="61"/>
      <c r="BO60" s="61"/>
      <c r="BP60" s="61"/>
      <c r="BQ60" s="61"/>
      <c r="BR60" s="14"/>
      <c r="BS60" s="61"/>
      <c r="BT60" s="61"/>
      <c r="BU60" s="61"/>
      <c r="BV60" s="61"/>
      <c r="BW60" s="61"/>
      <c r="BX60" s="61"/>
      <c r="BY60" s="61"/>
      <c r="BZ60" s="61"/>
      <c r="CA60" s="14"/>
      <c r="CB60" s="61"/>
      <c r="CC60" s="61"/>
      <c r="CD60" s="61"/>
      <c r="CE60" s="61"/>
      <c r="CF60" s="61"/>
      <c r="CG60" s="61"/>
      <c r="CH60" s="61"/>
      <c r="CI60" s="61"/>
      <c r="CJ60" s="14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</row>
    <row r="61" spans="1:133" ht="15.75" thickBot="1">
      <c r="A61" s="3528"/>
      <c r="B61" s="1110"/>
      <c r="C61" s="3255" t="s">
        <v>404</v>
      </c>
      <c r="D61" s="17"/>
      <c r="E61" s="17"/>
      <c r="F61" s="17"/>
      <c r="G61" s="3251"/>
      <c r="H61" s="17"/>
      <c r="I61" s="17"/>
      <c r="J61" s="49"/>
      <c r="K61" s="3252"/>
      <c r="L61" s="143"/>
      <c r="M61" s="143"/>
      <c r="N61" s="143"/>
      <c r="O61" s="143"/>
      <c r="P61" s="61"/>
      <c r="Q61" s="61"/>
      <c r="R61" s="61"/>
      <c r="S61" s="61"/>
      <c r="T61" s="61"/>
      <c r="U61" s="61"/>
      <c r="V61" s="61"/>
      <c r="W61" s="61"/>
      <c r="X61" s="2928"/>
      <c r="Y61" s="2864">
        <v>7.97</v>
      </c>
      <c r="Z61" s="2928">
        <v>7.61</v>
      </c>
      <c r="AA61" s="2928">
        <v>7.72</v>
      </c>
      <c r="AB61" s="2928"/>
      <c r="AC61" s="2928"/>
      <c r="AD61" s="2928"/>
      <c r="AE61" s="2928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</row>
    <row r="62" spans="1:133">
      <c r="A62" s="114">
        <v>7.01</v>
      </c>
      <c r="B62" s="114">
        <f>SUM(B12:B61)</f>
        <v>49</v>
      </c>
      <c r="C62" s="775" t="s">
        <v>285</v>
      </c>
      <c r="D62" s="1025">
        <f>COUNTIFS(D12:D45,"&gt;=6",D12:D45,"&lt;=8.5")</f>
        <v>12</v>
      </c>
      <c r="E62" s="1025">
        <f t="shared" ref="E62:S62" si="0">COUNTIFS(E12:E45,"&gt;=6",E12:E45,"&lt;=8.5")</f>
        <v>31</v>
      </c>
      <c r="F62" s="1025">
        <f t="shared" si="0"/>
        <v>34</v>
      </c>
      <c r="G62" s="1025">
        <f t="shared" si="0"/>
        <v>33</v>
      </c>
      <c r="H62" s="1025">
        <f t="shared" si="0"/>
        <v>24</v>
      </c>
      <c r="I62" s="1025">
        <f t="shared" si="0"/>
        <v>31</v>
      </c>
      <c r="J62" s="1025">
        <f t="shared" si="0"/>
        <v>34</v>
      </c>
      <c r="K62" s="1025">
        <f t="shared" si="0"/>
        <v>30</v>
      </c>
      <c r="L62" s="1025">
        <f t="shared" si="0"/>
        <v>23</v>
      </c>
      <c r="M62" s="1025">
        <f t="shared" si="0"/>
        <v>28</v>
      </c>
      <c r="N62" s="1025">
        <f t="shared" si="0"/>
        <v>31</v>
      </c>
      <c r="O62" s="1025">
        <f t="shared" si="0"/>
        <v>24</v>
      </c>
      <c r="P62" s="1025">
        <f t="shared" si="0"/>
        <v>24</v>
      </c>
      <c r="Q62" s="1025">
        <f t="shared" si="0"/>
        <v>28</v>
      </c>
      <c r="R62" s="1025">
        <f t="shared" si="0"/>
        <v>29</v>
      </c>
      <c r="S62" s="1025">
        <f t="shared" si="0"/>
        <v>32</v>
      </c>
      <c r="T62" s="1025">
        <f t="shared" ref="T62:W62" si="1">COUNTIFS(T12:T45,"&gt;=6",T12:T45,"&lt;=8.5")</f>
        <v>13</v>
      </c>
      <c r="U62" s="1025">
        <f t="shared" si="1"/>
        <v>13</v>
      </c>
      <c r="V62" s="1025">
        <f t="shared" si="1"/>
        <v>13</v>
      </c>
      <c r="W62" s="1025">
        <f t="shared" si="1"/>
        <v>34</v>
      </c>
      <c r="X62" s="1025">
        <f>COUNTIFS(X12:X61,"&gt;=6",X12:X61,"&lt;=8.5")</f>
        <v>32</v>
      </c>
      <c r="Y62" s="1025">
        <f t="shared" ref="Y62" si="2">COUNTIFS(Y12:Y61,"&gt;=6",Y12:Y61,"&lt;=8.5")</f>
        <v>49</v>
      </c>
      <c r="Z62" s="1025">
        <f>COUNTIFS(Z12:Z61,"&gt;=6.5",Z12:Z61,"&lt;=9.0")</f>
        <v>49</v>
      </c>
      <c r="AA62" s="1025">
        <f>COUNTIFS(AA12:AA61,"&gt;=6.5",AA12:AA61,"&lt;=9.0")</f>
        <v>49</v>
      </c>
      <c r="AB62" s="1025">
        <f t="shared" ref="AB62:AE62" si="3">COUNTIFS(AB12:AB61,"&gt;=6.5",AB12:AB61,"&lt;=9.0")</f>
        <v>43</v>
      </c>
      <c r="AC62" s="1025">
        <f t="shared" si="3"/>
        <v>0</v>
      </c>
      <c r="AD62" s="1025">
        <f t="shared" si="3"/>
        <v>0</v>
      </c>
      <c r="AE62" s="1025">
        <f t="shared" si="3"/>
        <v>0</v>
      </c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/>
      <c r="DA62" s="61"/>
      <c r="DB62" s="61"/>
      <c r="DC62" s="61"/>
      <c r="DD62" s="61"/>
      <c r="DE62" s="61"/>
      <c r="DF62" s="61"/>
      <c r="DG62" s="61"/>
      <c r="DH62" s="61"/>
      <c r="DI62" s="61"/>
      <c r="DJ62" s="61"/>
      <c r="DK62" s="61"/>
      <c r="DL62" s="61"/>
      <c r="DM62" s="61"/>
      <c r="DN62" s="61"/>
      <c r="DO62" s="61"/>
      <c r="DP62" s="61"/>
      <c r="DQ62" s="61"/>
      <c r="DR62" s="61"/>
      <c r="DS62" s="61"/>
      <c r="DT62" s="61"/>
      <c r="DU62" s="61"/>
      <c r="DV62" s="61"/>
      <c r="DW62" s="61"/>
      <c r="DX62" s="61"/>
      <c r="DY62" s="61"/>
      <c r="DZ62" s="61"/>
      <c r="EA62" s="61"/>
      <c r="EB62" s="61"/>
      <c r="EC62" s="61"/>
    </row>
    <row r="63" spans="1:133">
      <c r="A63" s="114">
        <v>7.97</v>
      </c>
      <c r="B63" s="114"/>
      <c r="C63" s="775" t="s">
        <v>287</v>
      </c>
      <c r="D63" s="1027">
        <f>COUNT(D12:D45)</f>
        <v>31</v>
      </c>
      <c r="E63" s="1027">
        <f t="shared" ref="E63:Q63" si="4">COUNT(E12:E45)</f>
        <v>31</v>
      </c>
      <c r="F63" s="1027">
        <f t="shared" si="4"/>
        <v>34</v>
      </c>
      <c r="G63" s="1027">
        <f t="shared" si="4"/>
        <v>34</v>
      </c>
      <c r="H63" s="1027">
        <f t="shared" si="4"/>
        <v>34</v>
      </c>
      <c r="I63" s="1027">
        <f t="shared" si="4"/>
        <v>34</v>
      </c>
      <c r="J63" s="1027">
        <f t="shared" si="4"/>
        <v>34</v>
      </c>
      <c r="K63" s="1027">
        <f t="shared" si="4"/>
        <v>34</v>
      </c>
      <c r="L63" s="1027">
        <f t="shared" si="4"/>
        <v>31</v>
      </c>
      <c r="M63" s="1027">
        <f t="shared" si="4"/>
        <v>33</v>
      </c>
      <c r="N63" s="1027">
        <f t="shared" si="4"/>
        <v>34</v>
      </c>
      <c r="O63" s="1027">
        <f t="shared" si="4"/>
        <v>29</v>
      </c>
      <c r="P63" s="1027">
        <f t="shared" si="4"/>
        <v>29</v>
      </c>
      <c r="Q63" s="1027">
        <f t="shared" si="4"/>
        <v>29</v>
      </c>
      <c r="R63" s="1027">
        <f>COUNT(R12:R45)</f>
        <v>29</v>
      </c>
      <c r="S63" s="1027">
        <f>COUNT(S12:S45)</f>
        <v>34</v>
      </c>
      <c r="T63" s="1027">
        <f>COUNT(T12:T45)</f>
        <v>13</v>
      </c>
      <c r="U63" s="1027">
        <f>COUNT(U12:U45)</f>
        <v>13</v>
      </c>
      <c r="V63" s="1027">
        <f t="shared" ref="V63:W63" si="5">COUNT(V12:V45)</f>
        <v>13</v>
      </c>
      <c r="W63" s="1027">
        <f t="shared" si="5"/>
        <v>34</v>
      </c>
      <c r="X63" s="1027">
        <f>COUNT(X12:X61)</f>
        <v>33</v>
      </c>
      <c r="Y63" s="1027">
        <f t="shared" ref="Y63:AA63" si="6">COUNT(Y12:Y61)</f>
        <v>49</v>
      </c>
      <c r="Z63" s="1027">
        <f t="shared" si="6"/>
        <v>49</v>
      </c>
      <c r="AA63" s="1027">
        <f t="shared" si="6"/>
        <v>49</v>
      </c>
      <c r="AB63" s="1027">
        <f t="shared" ref="AB63:AE63" si="7">COUNT(AB12:AB61)</f>
        <v>43</v>
      </c>
      <c r="AC63" s="1027">
        <f t="shared" si="7"/>
        <v>0</v>
      </c>
      <c r="AD63" s="1027">
        <f t="shared" si="7"/>
        <v>0</v>
      </c>
      <c r="AE63" s="1027">
        <f t="shared" si="7"/>
        <v>0</v>
      </c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1"/>
      <c r="DJ63" s="61"/>
      <c r="DK63" s="61"/>
      <c r="DL63" s="61"/>
      <c r="DM63" s="61"/>
      <c r="DN63" s="61"/>
      <c r="DO63" s="61"/>
      <c r="DP63" s="61"/>
      <c r="DQ63" s="61"/>
      <c r="DR63" s="61"/>
      <c r="DS63" s="61"/>
      <c r="DT63" s="61"/>
      <c r="DU63" s="61"/>
      <c r="DV63" s="61"/>
      <c r="DW63" s="61"/>
      <c r="DX63" s="61"/>
      <c r="DY63" s="61"/>
      <c r="DZ63" s="61"/>
      <c r="EA63" s="61"/>
      <c r="EB63" s="61"/>
      <c r="EC63" s="61"/>
    </row>
    <row r="64" spans="1:133">
      <c r="A64" s="114"/>
      <c r="B64" s="114"/>
      <c r="C64" s="775" t="s">
        <v>286</v>
      </c>
      <c r="D64" s="1026">
        <f>D62/D63</f>
        <v>0.38709677419354838</v>
      </c>
      <c r="E64" s="1026">
        <f t="shared" ref="E64:Q64" si="8">E62/E63</f>
        <v>1</v>
      </c>
      <c r="F64" s="1026">
        <f t="shared" si="8"/>
        <v>1</v>
      </c>
      <c r="G64" s="1026">
        <f t="shared" si="8"/>
        <v>0.97058823529411764</v>
      </c>
      <c r="H64" s="1026">
        <f t="shared" si="8"/>
        <v>0.70588235294117652</v>
      </c>
      <c r="I64" s="1026">
        <f t="shared" si="8"/>
        <v>0.91176470588235292</v>
      </c>
      <c r="J64" s="1026">
        <f t="shared" si="8"/>
        <v>1</v>
      </c>
      <c r="K64" s="1026">
        <f t="shared" si="8"/>
        <v>0.88235294117647056</v>
      </c>
      <c r="L64" s="1026">
        <f t="shared" si="8"/>
        <v>0.74193548387096775</v>
      </c>
      <c r="M64" s="1026">
        <f t="shared" si="8"/>
        <v>0.84848484848484851</v>
      </c>
      <c r="N64" s="1026">
        <f t="shared" si="8"/>
        <v>0.91176470588235292</v>
      </c>
      <c r="O64" s="1026">
        <f t="shared" si="8"/>
        <v>0.82758620689655171</v>
      </c>
      <c r="P64" s="1026">
        <f t="shared" si="8"/>
        <v>0.82758620689655171</v>
      </c>
      <c r="Q64" s="1026">
        <f t="shared" si="8"/>
        <v>0.96551724137931039</v>
      </c>
      <c r="R64" s="1026">
        <f>R62/R63</f>
        <v>1</v>
      </c>
      <c r="S64" s="1026">
        <f>S62/S63</f>
        <v>0.94117647058823528</v>
      </c>
      <c r="T64" s="1026">
        <f>T62/T63</f>
        <v>1</v>
      </c>
      <c r="U64" s="1026">
        <f>U62/U63</f>
        <v>1</v>
      </c>
      <c r="V64" s="1026">
        <f t="shared" ref="V64:AA64" si="9">V62/V63</f>
        <v>1</v>
      </c>
      <c r="W64" s="1026">
        <f t="shared" si="9"/>
        <v>1</v>
      </c>
      <c r="X64" s="1026">
        <f t="shared" si="9"/>
        <v>0.96969696969696972</v>
      </c>
      <c r="Y64" s="1026">
        <f t="shared" si="9"/>
        <v>1</v>
      </c>
      <c r="Z64" s="1026">
        <f t="shared" si="9"/>
        <v>1</v>
      </c>
      <c r="AA64" s="1026">
        <f t="shared" si="9"/>
        <v>1</v>
      </c>
      <c r="AB64" s="1026">
        <f t="shared" ref="AB64:AE64" si="10">AB62/AB63</f>
        <v>1</v>
      </c>
      <c r="AC64" s="1026" t="e">
        <f t="shared" si="10"/>
        <v>#DIV/0!</v>
      </c>
      <c r="AD64" s="1026" t="e">
        <f t="shared" si="10"/>
        <v>#DIV/0!</v>
      </c>
      <c r="AE64" s="1026" t="e">
        <f t="shared" si="10"/>
        <v>#DIV/0!</v>
      </c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/>
      <c r="CZ64" s="61"/>
      <c r="DA64" s="61"/>
      <c r="DB64" s="61"/>
      <c r="DC64" s="61"/>
      <c r="DD64" s="61"/>
      <c r="DE64" s="61"/>
      <c r="DF64" s="61"/>
      <c r="DG64" s="61"/>
      <c r="DH64" s="61"/>
      <c r="DI64" s="61"/>
      <c r="DJ64" s="61"/>
      <c r="DK64" s="61"/>
      <c r="DL64" s="61"/>
      <c r="DM64" s="61"/>
      <c r="DN64" s="61"/>
      <c r="DO64" s="61"/>
      <c r="DP64" s="61"/>
      <c r="DQ64" s="61"/>
      <c r="DR64" s="61"/>
      <c r="DS64" s="61"/>
      <c r="DT64" s="61"/>
      <c r="DU64" s="61"/>
      <c r="DV64" s="61"/>
      <c r="DW64" s="61"/>
      <c r="DX64" s="61"/>
      <c r="DY64" s="61"/>
      <c r="DZ64" s="61"/>
      <c r="EA64" s="61"/>
      <c r="EB64" s="61"/>
      <c r="EC64" s="61"/>
    </row>
    <row r="65" spans="1:133">
      <c r="A65" s="210"/>
      <c r="B65" s="210"/>
      <c r="C65" s="204"/>
      <c r="D65" s="205"/>
      <c r="E65" s="205"/>
      <c r="F65" s="205"/>
      <c r="G65" s="205"/>
      <c r="H65" s="205"/>
      <c r="I65" s="205"/>
      <c r="J65" s="213"/>
      <c r="K65" s="238"/>
      <c r="L65" s="107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767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1"/>
      <c r="DJ65" s="61"/>
      <c r="DK65" s="61"/>
      <c r="DL65" s="61"/>
      <c r="DM65" s="61"/>
      <c r="DN65" s="61"/>
      <c r="DO65" s="61"/>
      <c r="DP65" s="61"/>
      <c r="DQ65" s="61"/>
      <c r="DR65" s="61"/>
      <c r="DS65" s="61"/>
      <c r="DT65" s="61"/>
      <c r="DU65" s="61"/>
      <c r="DV65" s="61"/>
      <c r="DW65" s="61"/>
      <c r="DX65" s="61"/>
      <c r="DY65" s="61"/>
      <c r="DZ65" s="61"/>
      <c r="EA65" s="61"/>
      <c r="EB65" s="61"/>
      <c r="EC65" s="61"/>
    </row>
    <row r="66" spans="1:133">
      <c r="A66" s="2152">
        <f>AVERAGE(A62:A65)</f>
        <v>7.49</v>
      </c>
      <c r="B66" s="210"/>
      <c r="C66" s="204"/>
      <c r="D66" s="205"/>
      <c r="E66" s="205"/>
      <c r="F66" s="205"/>
      <c r="G66" s="205"/>
      <c r="H66" s="205"/>
      <c r="I66" s="205"/>
      <c r="J66" s="213"/>
      <c r="K66" s="238"/>
      <c r="L66" s="107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767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  <c r="CY66" s="61"/>
      <c r="CZ66" s="61"/>
      <c r="DA66" s="61"/>
      <c r="DB66" s="61"/>
      <c r="DC66" s="61"/>
      <c r="DD66" s="61"/>
      <c r="DE66" s="61"/>
      <c r="DF66" s="61"/>
      <c r="DG66" s="61"/>
      <c r="DH66" s="61"/>
      <c r="DI66" s="61"/>
      <c r="DJ66" s="61"/>
      <c r="DK66" s="61"/>
      <c r="DL66" s="61"/>
      <c r="DM66" s="61"/>
      <c r="DN66" s="61"/>
      <c r="DO66" s="61"/>
      <c r="DP66" s="61"/>
      <c r="DQ66" s="61"/>
      <c r="DR66" s="61"/>
      <c r="DS66" s="61"/>
      <c r="DT66" s="61"/>
      <c r="DU66" s="61"/>
      <c r="DV66" s="61"/>
      <c r="DW66" s="61"/>
      <c r="DX66" s="61"/>
      <c r="DY66" s="61"/>
      <c r="DZ66" s="61"/>
      <c r="EA66" s="61"/>
      <c r="EB66" s="61"/>
      <c r="EC66" s="61"/>
    </row>
    <row r="67" spans="1:133" ht="16.5" thickBot="1">
      <c r="A67" s="1387" t="s">
        <v>126</v>
      </c>
      <c r="B67" s="210"/>
      <c r="C67" s="204"/>
      <c r="D67" s="205"/>
      <c r="E67" s="205"/>
      <c r="F67" s="3594"/>
      <c r="G67" s="3594"/>
      <c r="H67" s="3594"/>
      <c r="I67" s="3594"/>
      <c r="J67" s="107"/>
      <c r="K67" s="238"/>
      <c r="L67" s="107"/>
      <c r="M67" s="120"/>
      <c r="N67" s="3594"/>
      <c r="O67" s="3594"/>
      <c r="P67" s="3594"/>
      <c r="Q67" s="3594"/>
      <c r="R67" s="120"/>
      <c r="S67" s="120"/>
      <c r="T67" s="120"/>
      <c r="U67" s="120"/>
      <c r="V67" s="120"/>
      <c r="W67" s="120"/>
      <c r="X67" s="767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1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1"/>
      <c r="DU67" s="61"/>
      <c r="DV67" s="61"/>
      <c r="DW67" s="61"/>
      <c r="DX67" s="61"/>
      <c r="DY67" s="61"/>
      <c r="DZ67" s="61"/>
      <c r="EA67" s="61"/>
      <c r="EB67" s="61"/>
      <c r="EC67" s="61"/>
    </row>
    <row r="68" spans="1:133">
      <c r="A68" s="1037" t="s">
        <v>42</v>
      </c>
      <c r="B68" s="1377">
        <f>COUNTA(C68:C74)</f>
        <v>7</v>
      </c>
      <c r="C68" s="1334" t="s">
        <v>53</v>
      </c>
      <c r="D68" s="1292">
        <v>7.89</v>
      </c>
      <c r="E68" s="1295">
        <v>7.69</v>
      </c>
      <c r="F68" s="1295">
        <v>8.4</v>
      </c>
      <c r="G68" s="1335">
        <v>8.25</v>
      </c>
      <c r="H68" s="1331">
        <v>7.37</v>
      </c>
      <c r="I68" s="1295">
        <v>8.5299999999999994</v>
      </c>
      <c r="J68" s="1348">
        <v>7.73</v>
      </c>
      <c r="K68" s="1381">
        <v>7.85</v>
      </c>
      <c r="L68" s="1117">
        <v>5.28</v>
      </c>
      <c r="M68" s="1118">
        <v>6.68</v>
      </c>
      <c r="N68" s="1118">
        <v>6.86</v>
      </c>
      <c r="O68" s="1207"/>
      <c r="P68" s="2306">
        <v>7.34</v>
      </c>
      <c r="Q68" s="2894">
        <v>6.8</v>
      </c>
      <c r="R68" s="2894">
        <v>7.6</v>
      </c>
      <c r="S68" s="2895">
        <v>6.96</v>
      </c>
      <c r="T68" s="2895">
        <v>8.1999999999999993</v>
      </c>
      <c r="U68" s="1120">
        <v>6.61</v>
      </c>
      <c r="V68" s="3038">
        <v>7.14</v>
      </c>
      <c r="W68" s="3059">
        <v>6.54</v>
      </c>
      <c r="X68" s="3135">
        <v>6.69</v>
      </c>
      <c r="Y68" s="3055">
        <v>6.92</v>
      </c>
      <c r="Z68" s="3055">
        <v>7.94</v>
      </c>
      <c r="AA68" s="3055">
        <v>7.88</v>
      </c>
      <c r="AB68" s="3055">
        <v>7.14</v>
      </c>
      <c r="AC68" s="3055"/>
      <c r="AD68" s="3055"/>
      <c r="AE68" s="3055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  <c r="CY68" s="61"/>
      <c r="CZ68" s="61"/>
      <c r="DA68" s="61"/>
      <c r="DB68" s="61"/>
      <c r="DC68" s="61"/>
      <c r="DD68" s="61"/>
      <c r="DE68" s="61"/>
      <c r="DF68" s="61"/>
      <c r="DG68" s="61"/>
      <c r="DH68" s="61"/>
      <c r="DI68" s="61"/>
      <c r="DJ68" s="61"/>
      <c r="DK68" s="61"/>
      <c r="DL68" s="61"/>
      <c r="DM68" s="61"/>
      <c r="DN68" s="61"/>
      <c r="DO68" s="61"/>
      <c r="DP68" s="61"/>
      <c r="DQ68" s="61"/>
      <c r="DR68" s="61"/>
      <c r="DS68" s="61"/>
      <c r="DT68" s="61"/>
      <c r="DU68" s="61"/>
      <c r="DV68" s="61"/>
      <c r="DW68" s="61"/>
      <c r="DX68" s="61"/>
      <c r="DY68" s="61"/>
      <c r="DZ68" s="61"/>
      <c r="EA68" s="61"/>
      <c r="EB68" s="61"/>
      <c r="EC68" s="61"/>
    </row>
    <row r="69" spans="1:133">
      <c r="A69" s="1376" t="s">
        <v>42</v>
      </c>
      <c r="B69" s="1000"/>
      <c r="C69" s="1336" t="s">
        <v>279</v>
      </c>
      <c r="D69" s="1351"/>
      <c r="E69" s="1303">
        <v>7.55</v>
      </c>
      <c r="F69" s="1303">
        <v>7.65</v>
      </c>
      <c r="G69" s="1337">
        <v>6.93</v>
      </c>
      <c r="H69" s="1332">
        <v>7.19</v>
      </c>
      <c r="I69" s="1303">
        <v>8.57</v>
      </c>
      <c r="J69" s="1351">
        <v>8.27</v>
      </c>
      <c r="K69" s="1382">
        <v>8.49</v>
      </c>
      <c r="L69" s="1125"/>
      <c r="M69" s="1126">
        <v>6.61</v>
      </c>
      <c r="N69" s="1126">
        <v>7.2</v>
      </c>
      <c r="O69" s="1208"/>
      <c r="P69" s="2317">
        <v>7.13</v>
      </c>
      <c r="Q69" s="2896">
        <v>8</v>
      </c>
      <c r="R69" s="2896">
        <v>6.9</v>
      </c>
      <c r="S69" s="2897">
        <v>6.07</v>
      </c>
      <c r="T69" s="2897">
        <v>7.86</v>
      </c>
      <c r="U69" s="1388" t="s">
        <v>109</v>
      </c>
      <c r="V69" s="1388">
        <v>6.63</v>
      </c>
      <c r="W69" s="2730">
        <v>6.85</v>
      </c>
      <c r="X69" s="3117">
        <v>6.86</v>
      </c>
      <c r="Y69" s="3023">
        <v>6.78</v>
      </c>
      <c r="Z69" s="3023">
        <v>7.54</v>
      </c>
      <c r="AA69" s="3023">
        <v>7.73</v>
      </c>
      <c r="AB69" s="3023">
        <v>7.24</v>
      </c>
      <c r="AC69" s="3023"/>
      <c r="AD69" s="3023"/>
      <c r="AE69" s="3023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  <c r="CY69" s="61"/>
      <c r="CZ69" s="61"/>
      <c r="DA69" s="61"/>
      <c r="DB69" s="61"/>
      <c r="DC69" s="61"/>
      <c r="DD69" s="61"/>
      <c r="DE69" s="61"/>
      <c r="DF69" s="61"/>
      <c r="DG69" s="61"/>
      <c r="DH69" s="61"/>
      <c r="DI69" s="61"/>
      <c r="DJ69" s="61"/>
      <c r="DK69" s="61"/>
      <c r="DL69" s="61"/>
      <c r="DM69" s="61"/>
      <c r="DN69" s="61"/>
      <c r="DO69" s="61"/>
      <c r="DP69" s="61"/>
      <c r="DQ69" s="61"/>
      <c r="DR69" s="61"/>
      <c r="DS69" s="61"/>
      <c r="DT69" s="61"/>
      <c r="DU69" s="61"/>
      <c r="DV69" s="61"/>
      <c r="DW69" s="61"/>
      <c r="DX69" s="61"/>
      <c r="DY69" s="61"/>
      <c r="DZ69" s="61"/>
      <c r="EA69" s="61"/>
      <c r="EB69" s="61"/>
      <c r="EC69" s="61"/>
    </row>
    <row r="70" spans="1:133">
      <c r="A70" s="1376" t="s">
        <v>42</v>
      </c>
      <c r="B70" s="1000"/>
      <c r="C70" s="1336" t="s">
        <v>64</v>
      </c>
      <c r="D70" s="1300">
        <v>6.94</v>
      </c>
      <c r="E70" s="1303">
        <v>6.68</v>
      </c>
      <c r="F70" s="1303">
        <v>7.92</v>
      </c>
      <c r="G70" s="1337">
        <v>7.06</v>
      </c>
      <c r="H70" s="1332">
        <v>7.89</v>
      </c>
      <c r="I70" s="1303">
        <v>7.56</v>
      </c>
      <c r="J70" s="1351">
        <v>6.45</v>
      </c>
      <c r="K70" s="1382">
        <v>7.54</v>
      </c>
      <c r="L70" s="1125">
        <v>5.21</v>
      </c>
      <c r="M70" s="1126">
        <v>6.24</v>
      </c>
      <c r="N70" s="1126">
        <v>6.36</v>
      </c>
      <c r="O70" s="2067"/>
      <c r="P70" s="2317">
        <v>6.98</v>
      </c>
      <c r="Q70" s="2896">
        <v>7.2</v>
      </c>
      <c r="R70" s="2896">
        <v>7.2</v>
      </c>
      <c r="S70" s="2898">
        <v>5.2</v>
      </c>
      <c r="T70" s="2898">
        <v>8.0500000000000007</v>
      </c>
      <c r="U70" s="1389">
        <v>6.66</v>
      </c>
      <c r="V70" s="3039">
        <v>6.39</v>
      </c>
      <c r="W70" s="3068">
        <v>6.32</v>
      </c>
      <c r="X70" s="3023">
        <v>6.31</v>
      </c>
      <c r="Y70" s="3023">
        <v>6.71</v>
      </c>
      <c r="Z70" s="3023">
        <v>6.63</v>
      </c>
      <c r="AA70" s="3023">
        <v>7.55</v>
      </c>
      <c r="AB70" s="3023">
        <v>7.63</v>
      </c>
      <c r="AC70" s="3023"/>
      <c r="AD70" s="3023"/>
      <c r="AE70" s="3023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</row>
    <row r="71" spans="1:133">
      <c r="A71" s="1376" t="s">
        <v>42</v>
      </c>
      <c r="B71" s="1000"/>
      <c r="C71" s="1336" t="s">
        <v>63</v>
      </c>
      <c r="D71" s="1300">
        <v>7.14</v>
      </c>
      <c r="E71" s="1303">
        <v>7.73</v>
      </c>
      <c r="F71" s="1303">
        <v>7.64</v>
      </c>
      <c r="G71" s="1337">
        <v>7.6</v>
      </c>
      <c r="H71" s="1332">
        <v>7.04</v>
      </c>
      <c r="I71" s="1303">
        <v>7.33</v>
      </c>
      <c r="J71" s="1351">
        <v>7.21</v>
      </c>
      <c r="K71" s="1382">
        <v>8.39</v>
      </c>
      <c r="L71" s="1125">
        <v>4.43</v>
      </c>
      <c r="M71" s="1126">
        <v>6.6</v>
      </c>
      <c r="N71" s="1126">
        <v>6.73</v>
      </c>
      <c r="O71" s="1208"/>
      <c r="P71" s="2201">
        <v>7.14</v>
      </c>
      <c r="Q71" s="2899">
        <v>7.4</v>
      </c>
      <c r="R71" s="2899">
        <v>7.1</v>
      </c>
      <c r="S71" s="2897">
        <v>6.73</v>
      </c>
      <c r="T71" s="2897">
        <v>8.02</v>
      </c>
      <c r="U71" s="1390">
        <v>6.94</v>
      </c>
      <c r="V71" s="1388">
        <v>6.65</v>
      </c>
      <c r="W71" s="3069">
        <v>6.65</v>
      </c>
      <c r="X71" s="3117">
        <v>6.67</v>
      </c>
      <c r="Y71" s="3023">
        <v>6.8</v>
      </c>
      <c r="Z71" s="3023">
        <v>6.41</v>
      </c>
      <c r="AA71" s="3023">
        <v>7.47</v>
      </c>
      <c r="AB71" s="3023">
        <v>7.06</v>
      </c>
      <c r="AC71" s="3023"/>
      <c r="AD71" s="3023"/>
      <c r="AE71" s="3023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</row>
    <row r="72" spans="1:133">
      <c r="A72" s="1376" t="s">
        <v>42</v>
      </c>
      <c r="B72" s="1000"/>
      <c r="C72" s="1336" t="s">
        <v>62</v>
      </c>
      <c r="D72" s="1300">
        <v>7.36</v>
      </c>
      <c r="E72" s="1303">
        <v>7.28</v>
      </c>
      <c r="F72" s="1303">
        <v>7.65</v>
      </c>
      <c r="G72" s="1337">
        <v>7.7</v>
      </c>
      <c r="H72" s="1332">
        <v>7.11</v>
      </c>
      <c r="I72" s="1303">
        <v>7.93</v>
      </c>
      <c r="J72" s="1351">
        <v>7.35</v>
      </c>
      <c r="K72" s="1382">
        <v>5.22</v>
      </c>
      <c r="L72" s="1125">
        <v>5.09</v>
      </c>
      <c r="M72" s="1126">
        <v>6.28</v>
      </c>
      <c r="N72" s="1126">
        <v>6.69</v>
      </c>
      <c r="O72" s="1208"/>
      <c r="P72" s="2201">
        <v>7.15</v>
      </c>
      <c r="Q72" s="2899">
        <v>7</v>
      </c>
      <c r="R72" s="2899">
        <v>7.6</v>
      </c>
      <c r="S72" s="2897">
        <v>6.78</v>
      </c>
      <c r="T72" s="2897">
        <v>8.1999999999999993</v>
      </c>
      <c r="U72" s="1390">
        <v>6.77</v>
      </c>
      <c r="V72" s="1388">
        <v>6.67</v>
      </c>
      <c r="W72" s="3069">
        <v>6.75</v>
      </c>
      <c r="X72" s="3117">
        <v>6.74</v>
      </c>
      <c r="Y72" s="3023">
        <v>7.02</v>
      </c>
      <c r="Z72" s="3023">
        <v>7.43</v>
      </c>
      <c r="AA72" s="3023">
        <v>7.83</v>
      </c>
      <c r="AB72" s="3023">
        <v>7.21</v>
      </c>
      <c r="AC72" s="3023"/>
      <c r="AD72" s="3023"/>
      <c r="AE72" s="3023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  <c r="CY72" s="61"/>
      <c r="CZ72" s="61"/>
      <c r="DA72" s="61"/>
      <c r="DB72" s="61"/>
      <c r="DC72" s="61"/>
      <c r="DD72" s="61"/>
      <c r="DE72" s="61"/>
      <c r="DF72" s="61"/>
      <c r="DG72" s="61"/>
      <c r="DH72" s="61"/>
      <c r="DI72" s="61"/>
      <c r="DJ72" s="61"/>
      <c r="DK72" s="61"/>
      <c r="DL72" s="61"/>
      <c r="DM72" s="61"/>
      <c r="DN72" s="61"/>
      <c r="DO72" s="61"/>
      <c r="DP72" s="61"/>
      <c r="DQ72" s="61"/>
      <c r="DR72" s="61"/>
      <c r="DS72" s="61"/>
      <c r="DT72" s="61"/>
      <c r="DU72" s="61"/>
      <c r="DV72" s="61"/>
      <c r="DW72" s="61"/>
      <c r="DX72" s="61"/>
      <c r="DY72" s="61"/>
      <c r="DZ72" s="61"/>
      <c r="EA72" s="61"/>
      <c r="EB72" s="61"/>
      <c r="EC72" s="61"/>
    </row>
    <row r="73" spans="1:133">
      <c r="A73" s="1376" t="s">
        <v>42</v>
      </c>
      <c r="B73" s="1000"/>
      <c r="C73" s="1336" t="s">
        <v>43</v>
      </c>
      <c r="D73" s="1300">
        <v>7.41</v>
      </c>
      <c r="E73" s="1303">
        <v>7.13</v>
      </c>
      <c r="F73" s="1303">
        <v>7.68</v>
      </c>
      <c r="G73" s="1337">
        <v>6.94</v>
      </c>
      <c r="H73" s="1332">
        <v>7.83</v>
      </c>
      <c r="I73" s="1303">
        <v>7.97</v>
      </c>
      <c r="J73" s="1351">
        <v>8.1349999999999998</v>
      </c>
      <c r="K73" s="1382">
        <v>20.94</v>
      </c>
      <c r="L73" s="1125">
        <v>5.65</v>
      </c>
      <c r="M73" s="1126">
        <v>6.1</v>
      </c>
      <c r="N73" s="1126">
        <v>6.89</v>
      </c>
      <c r="O73" s="1208"/>
      <c r="P73" s="2201">
        <v>7.03</v>
      </c>
      <c r="Q73" s="2899">
        <v>7.9</v>
      </c>
      <c r="R73" s="2899">
        <v>6.9</v>
      </c>
      <c r="S73" s="2897">
        <v>5.32</v>
      </c>
      <c r="T73" s="2897">
        <v>8</v>
      </c>
      <c r="U73" s="1390">
        <v>6.68</v>
      </c>
      <c r="V73" s="1388">
        <v>6.98</v>
      </c>
      <c r="W73" s="3069">
        <v>6.7</v>
      </c>
      <c r="X73" s="3117">
        <v>6.59</v>
      </c>
      <c r="Y73" s="3023">
        <v>6.61</v>
      </c>
      <c r="Z73" s="3023">
        <v>7.36</v>
      </c>
      <c r="AA73" s="3023">
        <v>7.94</v>
      </c>
      <c r="AB73" s="3023">
        <v>7.35</v>
      </c>
      <c r="AC73" s="3023"/>
      <c r="AD73" s="3023"/>
      <c r="AE73" s="3023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  <c r="CY73" s="61"/>
      <c r="CZ73" s="61"/>
      <c r="DA73" s="61"/>
      <c r="DB73" s="61"/>
      <c r="DC73" s="61"/>
      <c r="DD73" s="61"/>
      <c r="DE73" s="61"/>
      <c r="DF73" s="61"/>
      <c r="DG73" s="61"/>
      <c r="DH73" s="61"/>
      <c r="DI73" s="61"/>
      <c r="DJ73" s="61"/>
      <c r="DK73" s="61"/>
      <c r="DL73" s="61"/>
      <c r="DM73" s="61"/>
      <c r="DN73" s="61"/>
      <c r="DO73" s="61"/>
      <c r="DP73" s="61"/>
      <c r="DQ73" s="61"/>
      <c r="DR73" s="61"/>
      <c r="DS73" s="61"/>
      <c r="DT73" s="61"/>
      <c r="DU73" s="61"/>
      <c r="DV73" s="61"/>
      <c r="DW73" s="61"/>
      <c r="DX73" s="61"/>
      <c r="DY73" s="61"/>
      <c r="DZ73" s="61"/>
      <c r="EA73" s="61"/>
      <c r="EB73" s="61"/>
      <c r="EC73" s="61"/>
    </row>
    <row r="74" spans="1:133" ht="15.75" thickBot="1">
      <c r="A74" s="1378" t="s">
        <v>42</v>
      </c>
      <c r="B74" s="1001"/>
      <c r="C74" s="1338" t="s">
        <v>65</v>
      </c>
      <c r="D74" s="1309">
        <v>7.25</v>
      </c>
      <c r="E74" s="1312">
        <v>7.64</v>
      </c>
      <c r="F74" s="1312">
        <v>7.51</v>
      </c>
      <c r="G74" s="1339">
        <v>6.71</v>
      </c>
      <c r="H74" s="1333">
        <v>7.5</v>
      </c>
      <c r="I74" s="1312">
        <v>7.48</v>
      </c>
      <c r="J74" s="1356">
        <v>7.53</v>
      </c>
      <c r="K74" s="1383">
        <v>8.6199999999999992</v>
      </c>
      <c r="L74" s="1135">
        <v>5.8</v>
      </c>
      <c r="M74" s="1136">
        <v>5.67</v>
      </c>
      <c r="N74" s="1136">
        <v>6.85</v>
      </c>
      <c r="O74" s="1209"/>
      <c r="P74" s="2307">
        <v>7.24</v>
      </c>
      <c r="Q74" s="2900">
        <v>7.6</v>
      </c>
      <c r="R74" s="2900">
        <v>7.2</v>
      </c>
      <c r="S74" s="2901">
        <v>6.55</v>
      </c>
      <c r="T74" s="2901">
        <v>7.97</v>
      </c>
      <c r="U74" s="1391">
        <v>7.05</v>
      </c>
      <c r="V74" s="3040">
        <v>6.54</v>
      </c>
      <c r="W74" s="3070">
        <v>6.77</v>
      </c>
      <c r="X74" s="3146">
        <v>6.77</v>
      </c>
      <c r="Y74" s="3056">
        <v>7</v>
      </c>
      <c r="Z74" s="3056">
        <v>6.97</v>
      </c>
      <c r="AA74" s="3056">
        <v>7.61</v>
      </c>
      <c r="AB74" s="3056">
        <v>7.18</v>
      </c>
      <c r="AC74" s="3056"/>
      <c r="AD74" s="3056"/>
      <c r="AE74" s="3056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  <c r="CY74" s="61"/>
      <c r="CZ74" s="61"/>
      <c r="DA74" s="61"/>
      <c r="DB74" s="61"/>
      <c r="DC74" s="61"/>
      <c r="DD74" s="61"/>
      <c r="DE74" s="61"/>
      <c r="DF74" s="61"/>
      <c r="DG74" s="61"/>
      <c r="DH74" s="61"/>
      <c r="DI74" s="61"/>
      <c r="DJ74" s="61"/>
      <c r="DK74" s="61"/>
      <c r="DL74" s="61"/>
      <c r="DM74" s="61"/>
      <c r="DN74" s="61"/>
      <c r="DO74" s="61"/>
      <c r="DP74" s="61"/>
      <c r="DQ74" s="61"/>
      <c r="DR74" s="61"/>
      <c r="DS74" s="61"/>
      <c r="DT74" s="61"/>
      <c r="DU74" s="61"/>
      <c r="DV74" s="61"/>
      <c r="DW74" s="61"/>
      <c r="DX74" s="61"/>
      <c r="DY74" s="61"/>
      <c r="DZ74" s="61"/>
      <c r="EA74" s="61"/>
      <c r="EB74" s="61"/>
      <c r="EC74" s="61"/>
    </row>
    <row r="75" spans="1:133">
      <c r="A75" s="1037" t="s">
        <v>49</v>
      </c>
      <c r="B75" s="1377">
        <f>COUNTA(C75:C83)</f>
        <v>9</v>
      </c>
      <c r="C75" s="1334" t="s">
        <v>59</v>
      </c>
      <c r="D75" s="1292">
        <v>6.67</v>
      </c>
      <c r="E75" s="1295">
        <v>8</v>
      </c>
      <c r="F75" s="1295">
        <v>7.47</v>
      </c>
      <c r="G75" s="1335">
        <v>7.7</v>
      </c>
      <c r="H75" s="1331">
        <v>7.19</v>
      </c>
      <c r="I75" s="1295">
        <v>6.6050000000000004</v>
      </c>
      <c r="J75" s="1348">
        <v>8.48</v>
      </c>
      <c r="K75" s="1381">
        <v>7.59</v>
      </c>
      <c r="L75" s="1117"/>
      <c r="M75" s="1118"/>
      <c r="N75" s="1118">
        <v>9.6</v>
      </c>
      <c r="O75" s="1207"/>
      <c r="P75" s="2908">
        <v>6.69</v>
      </c>
      <c r="Q75" s="2909">
        <v>6.61</v>
      </c>
      <c r="R75" s="2909">
        <v>7.4</v>
      </c>
      <c r="S75" s="2910">
        <v>7.35</v>
      </c>
      <c r="T75" s="2910">
        <v>7.82</v>
      </c>
      <c r="U75" s="1392">
        <v>7.31</v>
      </c>
      <c r="V75" s="1392">
        <v>7.08</v>
      </c>
      <c r="W75" s="1392">
        <v>6.77</v>
      </c>
      <c r="X75" s="3147">
        <v>6.87</v>
      </c>
      <c r="Y75" s="3025">
        <v>6.62</v>
      </c>
      <c r="Z75" s="3334">
        <v>7.32</v>
      </c>
      <c r="AA75" s="3025">
        <v>9.27</v>
      </c>
      <c r="AB75" s="3025">
        <v>8.26</v>
      </c>
      <c r="AC75" s="3025"/>
      <c r="AD75" s="3025"/>
      <c r="AE75" s="3025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1"/>
      <c r="DQ75" s="61"/>
      <c r="DR75" s="61"/>
      <c r="DS75" s="61"/>
      <c r="DT75" s="61"/>
      <c r="DU75" s="61"/>
      <c r="DV75" s="61"/>
      <c r="DW75" s="61"/>
      <c r="DX75" s="61"/>
      <c r="DY75" s="61"/>
      <c r="DZ75" s="61"/>
      <c r="EA75" s="61"/>
      <c r="EB75" s="61"/>
      <c r="EC75" s="61"/>
    </row>
    <row r="76" spans="1:133">
      <c r="A76" s="1376" t="s">
        <v>49</v>
      </c>
      <c r="B76" s="1000"/>
      <c r="C76" s="1336" t="s">
        <v>61</v>
      </c>
      <c r="D76" s="1300">
        <v>7.85</v>
      </c>
      <c r="E76" s="1303">
        <v>7.44</v>
      </c>
      <c r="F76" s="1303">
        <v>7.71</v>
      </c>
      <c r="G76" s="1337">
        <v>8.01</v>
      </c>
      <c r="H76" s="1332">
        <v>7.65</v>
      </c>
      <c r="I76" s="1303">
        <v>6.6</v>
      </c>
      <c r="J76" s="1351">
        <v>9.64</v>
      </c>
      <c r="K76" s="1382">
        <v>8.1999999999999993</v>
      </c>
      <c r="L76" s="1125"/>
      <c r="M76" s="1126"/>
      <c r="N76" s="1126">
        <v>9.0299999999999994</v>
      </c>
      <c r="O76" s="1208"/>
      <c r="P76" s="2197">
        <v>6.85</v>
      </c>
      <c r="Q76" s="2902">
        <v>6.62</v>
      </c>
      <c r="R76" s="2902">
        <v>7.3</v>
      </c>
      <c r="S76" s="2903">
        <v>7.5</v>
      </c>
      <c r="T76" s="2903">
        <v>7.86</v>
      </c>
      <c r="U76" s="1393">
        <v>7.4</v>
      </c>
      <c r="V76" s="1393">
        <v>7.04</v>
      </c>
      <c r="W76" s="1393">
        <v>6.48</v>
      </c>
      <c r="X76" s="2450">
        <v>7.15</v>
      </c>
      <c r="Y76" s="2927">
        <v>6.34</v>
      </c>
      <c r="Z76" s="3268">
        <v>7.2</v>
      </c>
      <c r="AA76" s="2927">
        <v>9.0399999999999991</v>
      </c>
      <c r="AB76" s="2927">
        <v>8.33</v>
      </c>
      <c r="AC76" s="2927"/>
      <c r="AD76" s="2927"/>
      <c r="AE76" s="2927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  <c r="DV76" s="61"/>
      <c r="DW76" s="61"/>
      <c r="DX76" s="61"/>
      <c r="DY76" s="61"/>
      <c r="DZ76" s="61"/>
      <c r="EA76" s="61"/>
      <c r="EB76" s="61"/>
      <c r="EC76" s="61"/>
    </row>
    <row r="77" spans="1:133" s="4" customFormat="1">
      <c r="A77" s="1376" t="s">
        <v>49</v>
      </c>
      <c r="B77" s="1000"/>
      <c r="C77" s="1336" t="s">
        <v>52</v>
      </c>
      <c r="D77" s="1300">
        <v>9.31</v>
      </c>
      <c r="E77" s="1303">
        <v>6.95</v>
      </c>
      <c r="F77" s="1303">
        <v>7.88</v>
      </c>
      <c r="G77" s="1337">
        <v>7</v>
      </c>
      <c r="H77" s="1332">
        <v>5.85</v>
      </c>
      <c r="I77" s="1303">
        <v>6.72</v>
      </c>
      <c r="J77" s="1351">
        <v>5.9</v>
      </c>
      <c r="K77" s="1382">
        <v>7.63</v>
      </c>
      <c r="L77" s="1125"/>
      <c r="M77" s="1126"/>
      <c r="N77" s="1126">
        <v>9.1300000000000008</v>
      </c>
      <c r="O77" s="1208"/>
      <c r="P77" s="2198">
        <v>7.21</v>
      </c>
      <c r="Q77" s="2904">
        <v>6.66</v>
      </c>
      <c r="R77" s="2904">
        <v>7.6</v>
      </c>
      <c r="S77" s="2911">
        <v>7.52</v>
      </c>
      <c r="T77" s="2911">
        <v>7.84</v>
      </c>
      <c r="U77" s="1245">
        <v>7.54</v>
      </c>
      <c r="V77" s="1245">
        <v>7.03</v>
      </c>
      <c r="W77" s="1245">
        <v>6.38</v>
      </c>
      <c r="X77" s="2450">
        <v>7.59</v>
      </c>
      <c r="Y77" s="2927">
        <v>7.19</v>
      </c>
      <c r="Z77" s="3268">
        <v>7.2</v>
      </c>
      <c r="AA77" s="2927">
        <v>6.09</v>
      </c>
      <c r="AB77" s="2927">
        <v>6.8</v>
      </c>
      <c r="AC77" s="2927"/>
      <c r="AD77" s="2927"/>
      <c r="AE77" s="2927"/>
      <c r="BB77" s="83"/>
      <c r="BC77" s="83"/>
      <c r="BD77" s="83"/>
      <c r="BE77" s="83"/>
      <c r="BF77" s="83"/>
      <c r="BG77" s="83"/>
      <c r="BH77" s="83"/>
      <c r="BI77" s="83"/>
      <c r="BJ77" s="83"/>
      <c r="BK77" s="83"/>
      <c r="BL77" s="83"/>
      <c r="BM77" s="83"/>
      <c r="BN77" s="83"/>
      <c r="BO77" s="83"/>
      <c r="BP77" s="83"/>
      <c r="BQ77" s="83"/>
      <c r="BR77" s="83"/>
      <c r="BS77" s="83"/>
      <c r="BT77" s="83"/>
      <c r="BU77" s="83"/>
      <c r="BV77" s="83"/>
      <c r="CE77" s="83"/>
      <c r="CF77" s="83"/>
      <c r="CG77" s="83"/>
      <c r="CH77" s="83"/>
      <c r="CI77" s="83"/>
      <c r="CJ77" s="83"/>
      <c r="CK77" s="83"/>
      <c r="CL77" s="83"/>
      <c r="CM77" s="83"/>
      <c r="CN77" s="83"/>
      <c r="CO77" s="83"/>
      <c r="CP77" s="83"/>
      <c r="CQ77" s="83"/>
      <c r="CR77" s="83"/>
      <c r="CS77" s="83"/>
      <c r="CT77" s="83"/>
      <c r="CU77" s="83"/>
      <c r="CV77" s="83"/>
      <c r="CW77" s="83"/>
      <c r="CX77" s="83"/>
      <c r="CY77" s="83"/>
      <c r="CZ77" s="83"/>
      <c r="DA77" s="83"/>
    </row>
    <row r="78" spans="1:133" s="4" customFormat="1">
      <c r="A78" s="1376" t="s">
        <v>49</v>
      </c>
      <c r="B78" s="1000"/>
      <c r="C78" s="1336" t="s">
        <v>193</v>
      </c>
      <c r="D78" s="1300">
        <v>8.17</v>
      </c>
      <c r="E78" s="1303">
        <v>7.5</v>
      </c>
      <c r="F78" s="1303">
        <v>7.63</v>
      </c>
      <c r="G78" s="1337">
        <v>8.1</v>
      </c>
      <c r="H78" s="1332">
        <v>7.71</v>
      </c>
      <c r="I78" s="1303">
        <v>6.79</v>
      </c>
      <c r="J78" s="1351">
        <v>6.59</v>
      </c>
      <c r="K78" s="1382">
        <v>7.76</v>
      </c>
      <c r="L78" s="1125"/>
      <c r="M78" s="1126"/>
      <c r="N78" s="1126">
        <v>10</v>
      </c>
      <c r="O78" s="1208"/>
      <c r="P78" s="2198">
        <v>6.98</v>
      </c>
      <c r="Q78" s="2904">
        <v>7.14</v>
      </c>
      <c r="R78" s="2904">
        <v>7</v>
      </c>
      <c r="S78" s="2905">
        <v>7.41</v>
      </c>
      <c r="T78" s="2905">
        <v>7.78</v>
      </c>
      <c r="U78" s="1128">
        <v>7.84</v>
      </c>
      <c r="V78" s="1128">
        <v>7.42</v>
      </c>
      <c r="W78" s="1128">
        <v>6.2</v>
      </c>
      <c r="X78" s="2450">
        <v>7.33</v>
      </c>
      <c r="Y78" s="2927">
        <v>6.99</v>
      </c>
      <c r="Z78" s="3268">
        <v>7.53</v>
      </c>
      <c r="AA78" s="2927">
        <v>8.1300000000000008</v>
      </c>
      <c r="AB78" s="2927">
        <v>8.07</v>
      </c>
      <c r="AC78" s="2927"/>
      <c r="AD78" s="2927"/>
      <c r="AE78" s="2927"/>
      <c r="BB78" s="83"/>
      <c r="BC78" s="83"/>
      <c r="BD78" s="83"/>
      <c r="BE78" s="83"/>
      <c r="BF78" s="83"/>
      <c r="BG78" s="83"/>
      <c r="BH78" s="83"/>
      <c r="BI78" s="83"/>
      <c r="BJ78" s="83"/>
      <c r="BK78" s="83"/>
      <c r="BL78" s="83"/>
      <c r="BM78" s="83"/>
      <c r="BN78" s="83"/>
      <c r="BO78" s="83"/>
      <c r="BP78" s="83"/>
      <c r="BQ78" s="83"/>
      <c r="BR78" s="83"/>
      <c r="BS78" s="83"/>
      <c r="BT78" s="83"/>
      <c r="BU78" s="83"/>
      <c r="BV78" s="83"/>
      <c r="CE78" s="83"/>
      <c r="CF78" s="83"/>
      <c r="CG78" s="83"/>
      <c r="CH78" s="83"/>
      <c r="CI78" s="83"/>
      <c r="CJ78" s="83"/>
      <c r="CK78" s="83"/>
      <c r="CL78" s="83"/>
      <c r="CM78" s="83"/>
      <c r="CN78" s="83"/>
      <c r="CO78" s="83"/>
      <c r="CP78" s="83"/>
      <c r="CQ78" s="83"/>
      <c r="CR78" s="83"/>
      <c r="CS78" s="83"/>
      <c r="CT78" s="83"/>
      <c r="CU78" s="83"/>
      <c r="CV78" s="83"/>
      <c r="CW78" s="83"/>
      <c r="CX78" s="83"/>
      <c r="CY78" s="83"/>
      <c r="CZ78" s="83"/>
      <c r="DA78" s="83"/>
    </row>
    <row r="79" spans="1:133" s="4" customFormat="1">
      <c r="A79" s="1376" t="s">
        <v>49</v>
      </c>
      <c r="B79" s="1000"/>
      <c r="C79" s="1336" t="s">
        <v>50</v>
      </c>
      <c r="D79" s="1300">
        <v>9.17</v>
      </c>
      <c r="E79" s="1303">
        <v>7.4</v>
      </c>
      <c r="F79" s="1303">
        <v>7.94</v>
      </c>
      <c r="G79" s="1337">
        <v>8.06</v>
      </c>
      <c r="H79" s="1332">
        <v>4.5599999999999996</v>
      </c>
      <c r="I79" s="1303">
        <v>6.83</v>
      </c>
      <c r="J79" s="1351">
        <v>7.66</v>
      </c>
      <c r="K79" s="1382">
        <v>7.79</v>
      </c>
      <c r="L79" s="1125"/>
      <c r="M79" s="1126"/>
      <c r="N79" s="1126">
        <v>10.3</v>
      </c>
      <c r="O79" s="1208"/>
      <c r="P79" s="2198">
        <v>7.23</v>
      </c>
      <c r="Q79" s="2904">
        <v>6.95</v>
      </c>
      <c r="R79" s="2904">
        <v>7</v>
      </c>
      <c r="S79" s="2905">
        <v>7.67</v>
      </c>
      <c r="T79" s="2905">
        <v>7.78</v>
      </c>
      <c r="U79" s="1128">
        <v>7.48</v>
      </c>
      <c r="V79" s="1128">
        <v>7.2</v>
      </c>
      <c r="W79" s="1128">
        <v>6.52</v>
      </c>
      <c r="X79" s="2450">
        <v>7.38</v>
      </c>
      <c r="Y79" s="2927">
        <v>7.2</v>
      </c>
      <c r="Z79" s="3268">
        <v>7.61</v>
      </c>
      <c r="AA79" s="2927">
        <v>8.16</v>
      </c>
      <c r="AB79" s="2927">
        <v>7.48</v>
      </c>
      <c r="AC79" s="2927"/>
      <c r="AD79" s="2927"/>
      <c r="AE79" s="2927"/>
      <c r="BB79" s="83"/>
      <c r="BC79" s="83"/>
      <c r="BD79" s="83"/>
      <c r="BE79" s="83"/>
      <c r="BF79" s="83"/>
      <c r="BG79" s="83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  <c r="CE79" s="83"/>
      <c r="CF79" s="83"/>
      <c r="CG79" s="83"/>
      <c r="CH79" s="83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3"/>
      <c r="CW79" s="83"/>
      <c r="CX79" s="83"/>
      <c r="CY79" s="83"/>
      <c r="CZ79" s="83"/>
      <c r="DA79" s="83"/>
    </row>
    <row r="80" spans="1:133">
      <c r="A80" s="1376" t="s">
        <v>49</v>
      </c>
      <c r="B80" s="1000"/>
      <c r="C80" s="1336" t="s">
        <v>57</v>
      </c>
      <c r="D80" s="1300">
        <v>7.39</v>
      </c>
      <c r="E80" s="1303">
        <v>7.6</v>
      </c>
      <c r="F80" s="1303">
        <v>7.81</v>
      </c>
      <c r="G80" s="1337">
        <v>7.9</v>
      </c>
      <c r="H80" s="1332">
        <v>6.89</v>
      </c>
      <c r="I80" s="1303">
        <v>6.65</v>
      </c>
      <c r="J80" s="1351">
        <v>8.41</v>
      </c>
      <c r="K80" s="1382">
        <v>9.56</v>
      </c>
      <c r="L80" s="1125"/>
      <c r="M80" s="1126"/>
      <c r="N80" s="1126">
        <v>9.4700000000000006</v>
      </c>
      <c r="O80" s="1208"/>
      <c r="P80" s="2198">
        <v>6.83</v>
      </c>
      <c r="Q80" s="2904">
        <v>6.66</v>
      </c>
      <c r="R80" s="2904">
        <v>7.2</v>
      </c>
      <c r="S80" s="2905">
        <v>7</v>
      </c>
      <c r="T80" s="2905">
        <v>7.65</v>
      </c>
      <c r="U80" s="1128">
        <v>7.37</v>
      </c>
      <c r="V80" s="1128">
        <v>7.07</v>
      </c>
      <c r="W80" s="1128">
        <v>6.32</v>
      </c>
      <c r="X80" s="2450">
        <v>7.09</v>
      </c>
      <c r="Y80" s="2927">
        <v>6.57</v>
      </c>
      <c r="Z80" s="3268">
        <v>7.2</v>
      </c>
      <c r="AA80" s="2927">
        <v>9</v>
      </c>
      <c r="AB80" s="2927">
        <v>7.91</v>
      </c>
      <c r="AC80" s="2927"/>
      <c r="AD80" s="2927"/>
      <c r="AE80" s="2927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  <c r="DV80" s="61"/>
      <c r="DW80" s="61"/>
      <c r="DX80" s="61"/>
      <c r="DY80" s="61"/>
      <c r="DZ80" s="61"/>
      <c r="EA80" s="61"/>
      <c r="EB80" s="61"/>
      <c r="EC80" s="61"/>
    </row>
    <row r="81" spans="1:133" s="4" customFormat="1">
      <c r="A81" s="1376" t="s">
        <v>49</v>
      </c>
      <c r="B81" s="1000"/>
      <c r="C81" s="1336" t="s">
        <v>58</v>
      </c>
      <c r="D81" s="1300">
        <v>8.5500000000000007</v>
      </c>
      <c r="E81" s="1303">
        <v>7.54</v>
      </c>
      <c r="F81" s="1303">
        <v>7.76</v>
      </c>
      <c r="G81" s="1337">
        <v>8</v>
      </c>
      <c r="H81" s="1332">
        <v>7.56</v>
      </c>
      <c r="I81" s="1303">
        <v>7.32</v>
      </c>
      <c r="J81" s="1351">
        <v>8.11</v>
      </c>
      <c r="K81" s="1382">
        <v>7.33</v>
      </c>
      <c r="L81" s="1125"/>
      <c r="M81" s="1126"/>
      <c r="N81" s="1126">
        <v>10.5</v>
      </c>
      <c r="O81" s="1208"/>
      <c r="P81" s="2198">
        <v>7.37</v>
      </c>
      <c r="Q81" s="2904">
        <v>6.49</v>
      </c>
      <c r="R81" s="2904">
        <v>7.1</v>
      </c>
      <c r="S81" s="2905">
        <v>7.49</v>
      </c>
      <c r="T81" s="2905">
        <v>7.7</v>
      </c>
      <c r="U81" s="1128">
        <v>7.74</v>
      </c>
      <c r="V81" s="1128">
        <v>7.15</v>
      </c>
      <c r="W81" s="1128">
        <v>6.28</v>
      </c>
      <c r="X81" s="2450">
        <v>6.84</v>
      </c>
      <c r="Y81" s="2927">
        <v>6.72</v>
      </c>
      <c r="Z81" s="3268">
        <v>7.68</v>
      </c>
      <c r="AA81" s="2927">
        <v>7.63</v>
      </c>
      <c r="AB81" s="2927">
        <v>6.83</v>
      </c>
      <c r="AC81" s="2927"/>
      <c r="AD81" s="2927"/>
      <c r="AE81" s="2927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</row>
    <row r="82" spans="1:133" ht="15" customHeight="1">
      <c r="A82" s="1376" t="s">
        <v>49</v>
      </c>
      <c r="B82" s="1000"/>
      <c r="C82" s="1336" t="s">
        <v>194</v>
      </c>
      <c r="D82" s="1300">
        <v>8.68</v>
      </c>
      <c r="E82" s="1303">
        <v>7.13</v>
      </c>
      <c r="F82" s="1303">
        <v>7.81</v>
      </c>
      <c r="G82" s="1337">
        <v>8</v>
      </c>
      <c r="H82" s="1332">
        <v>5.86</v>
      </c>
      <c r="I82" s="1303">
        <v>6.8</v>
      </c>
      <c r="J82" s="1351">
        <v>7.3</v>
      </c>
      <c r="K82" s="1382">
        <v>7.93</v>
      </c>
      <c r="L82" s="1125"/>
      <c r="M82" s="1126"/>
      <c r="N82" s="1126">
        <v>10.33</v>
      </c>
      <c r="O82" s="1208"/>
      <c r="P82" s="2198">
        <v>7.1</v>
      </c>
      <c r="Q82" s="2904">
        <v>6.93</v>
      </c>
      <c r="R82" s="2904">
        <v>6.8</v>
      </c>
      <c r="S82" s="2905">
        <v>7.34</v>
      </c>
      <c r="T82" s="2905">
        <v>7.48</v>
      </c>
      <c r="U82" s="1128">
        <v>7.72</v>
      </c>
      <c r="V82" s="1128">
        <v>7.15</v>
      </c>
      <c r="W82" s="1128">
        <v>6.28</v>
      </c>
      <c r="X82" s="2450">
        <v>6.83</v>
      </c>
      <c r="Y82" s="2927">
        <v>6.97</v>
      </c>
      <c r="Z82" s="3268">
        <v>7.75</v>
      </c>
      <c r="AA82" s="2927">
        <v>6.84</v>
      </c>
      <c r="AB82" s="2927">
        <v>7.21</v>
      </c>
      <c r="AC82" s="2927"/>
      <c r="AD82" s="2927"/>
      <c r="AE82" s="2927"/>
      <c r="AF82" s="156"/>
      <c r="AG82" s="156"/>
      <c r="AH82" s="156"/>
      <c r="AI82" s="13"/>
      <c r="AJ82" s="13"/>
      <c r="AK82" s="61"/>
      <c r="AL82" s="61"/>
      <c r="AM82" s="61"/>
      <c r="AN82" s="61"/>
      <c r="AO82" s="61"/>
      <c r="AP82" s="156"/>
      <c r="AQ82" s="156"/>
      <c r="AR82" s="13"/>
      <c r="AS82" s="13"/>
      <c r="AT82" s="61"/>
      <c r="AU82" s="61"/>
      <c r="AV82" s="61"/>
      <c r="AW82" s="61"/>
      <c r="AX82" s="61"/>
      <c r="AY82" s="61"/>
      <c r="AZ82" s="150"/>
      <c r="BA82" s="150"/>
      <c r="BB82" s="150"/>
      <c r="BC82" s="13"/>
      <c r="BD82" s="13"/>
      <c r="BE82" s="61"/>
      <c r="BF82" s="61"/>
      <c r="BG82" s="61"/>
      <c r="BH82" s="61"/>
      <c r="BI82" s="150"/>
      <c r="BJ82" s="150"/>
      <c r="BK82" s="150"/>
      <c r="BL82" s="13"/>
      <c r="BM82" s="13"/>
      <c r="BN82" s="61"/>
      <c r="BO82" s="61"/>
      <c r="BP82" s="61"/>
      <c r="BQ82" s="61"/>
      <c r="BR82" s="150"/>
      <c r="BS82" s="150"/>
      <c r="BT82" s="150"/>
      <c r="BU82" s="13"/>
      <c r="BV82" s="13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</row>
    <row r="83" spans="1:133" ht="15" customHeight="1" thickBot="1">
      <c r="A83" s="1378" t="s">
        <v>49</v>
      </c>
      <c r="B83" s="1001"/>
      <c r="C83" s="1338" t="s">
        <v>60</v>
      </c>
      <c r="D83" s="1309">
        <v>7.06</v>
      </c>
      <c r="E83" s="1312">
        <v>7.5</v>
      </c>
      <c r="F83" s="1312">
        <v>7.83</v>
      </c>
      <c r="G83" s="1339">
        <v>8</v>
      </c>
      <c r="H83" s="1333">
        <v>7.63</v>
      </c>
      <c r="I83" s="1312">
        <v>6.65</v>
      </c>
      <c r="J83" s="1356">
        <v>8.98</v>
      </c>
      <c r="K83" s="1383">
        <v>8.7899999999999991</v>
      </c>
      <c r="L83" s="1135"/>
      <c r="M83" s="1136"/>
      <c r="N83" s="1136">
        <v>9.73</v>
      </c>
      <c r="O83" s="1209"/>
      <c r="P83" s="2199">
        <v>6.88</v>
      </c>
      <c r="Q83" s="2906">
        <v>6.74</v>
      </c>
      <c r="R83" s="2906">
        <v>6.5</v>
      </c>
      <c r="S83" s="2907">
        <v>7.41</v>
      </c>
      <c r="T83" s="2907">
        <v>7.63</v>
      </c>
      <c r="U83" s="634">
        <v>7.47</v>
      </c>
      <c r="V83" s="634">
        <v>7.06</v>
      </c>
      <c r="W83" s="634">
        <v>6.26</v>
      </c>
      <c r="X83" s="3112">
        <v>6.85</v>
      </c>
      <c r="Y83" s="2928">
        <v>6.3</v>
      </c>
      <c r="Z83" s="3335">
        <v>7.23</v>
      </c>
      <c r="AA83" s="2928">
        <v>9.01</v>
      </c>
      <c r="AB83" s="2928">
        <v>8.42</v>
      </c>
      <c r="AC83" s="2928"/>
      <c r="AD83" s="2928"/>
      <c r="AE83" s="2928"/>
      <c r="AF83" s="156"/>
      <c r="AG83" s="156"/>
      <c r="AH83" s="156"/>
      <c r="AI83" s="13"/>
      <c r="AJ83" s="13"/>
      <c r="AK83" s="61"/>
      <c r="AL83" s="61"/>
      <c r="AM83" s="61"/>
      <c r="AN83" s="61"/>
      <c r="AO83" s="61"/>
      <c r="AP83" s="156"/>
      <c r="AQ83" s="156"/>
      <c r="AR83" s="13"/>
      <c r="AS83" s="13"/>
      <c r="AT83" s="61"/>
      <c r="AU83" s="61"/>
      <c r="AV83" s="61"/>
      <c r="AW83" s="61"/>
      <c r="AX83" s="61"/>
      <c r="AY83" s="61"/>
      <c r="AZ83" s="150"/>
      <c r="BA83" s="150"/>
      <c r="BB83" s="150"/>
      <c r="BC83" s="13"/>
      <c r="BD83" s="13"/>
      <c r="BE83" s="61"/>
      <c r="BF83" s="61"/>
      <c r="BG83" s="61"/>
      <c r="BH83" s="61"/>
      <c r="BI83" s="150"/>
      <c r="BJ83" s="150"/>
      <c r="BK83" s="150"/>
      <c r="BL83" s="13"/>
      <c r="BM83" s="13"/>
      <c r="BN83" s="61"/>
      <c r="BO83" s="61"/>
      <c r="BP83" s="61"/>
      <c r="BQ83" s="61"/>
      <c r="BR83" s="150"/>
      <c r="BS83" s="150"/>
      <c r="BT83" s="150"/>
      <c r="BU83" s="13"/>
      <c r="BV83" s="13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</row>
    <row r="84" spans="1:133" ht="15" customHeight="1">
      <c r="A84" s="1037" t="s">
        <v>40</v>
      </c>
      <c r="B84" s="1377">
        <f>COUNTA(C84:C93)</f>
        <v>10</v>
      </c>
      <c r="C84" s="1334" t="s">
        <v>41</v>
      </c>
      <c r="D84" s="1292">
        <v>7.64</v>
      </c>
      <c r="E84" s="1295">
        <v>7.5</v>
      </c>
      <c r="F84" s="1295">
        <v>8.25</v>
      </c>
      <c r="G84" s="1335">
        <v>8.1</v>
      </c>
      <c r="H84" s="1331">
        <v>7.93</v>
      </c>
      <c r="I84" s="1295">
        <v>8.2899999999999991</v>
      </c>
      <c r="J84" s="1348">
        <v>8.3699999999999992</v>
      </c>
      <c r="K84" s="1381">
        <v>8.8000000000000007</v>
      </c>
      <c r="L84" s="1117"/>
      <c r="M84" s="1118"/>
      <c r="N84" s="1118">
        <v>6.48</v>
      </c>
      <c r="O84" s="1207"/>
      <c r="P84" s="2414">
        <v>7.41</v>
      </c>
      <c r="Q84" s="2894">
        <v>7.43</v>
      </c>
      <c r="R84" s="2894">
        <v>8.74</v>
      </c>
      <c r="S84" s="2895">
        <v>6.94</v>
      </c>
      <c r="T84" s="2895">
        <v>7.25</v>
      </c>
      <c r="U84" s="1120">
        <v>6.52</v>
      </c>
      <c r="V84" s="1120">
        <v>6.86</v>
      </c>
      <c r="W84" s="2859">
        <v>6.15</v>
      </c>
      <c r="X84" s="3111">
        <v>7.28</v>
      </c>
      <c r="Y84" s="2926">
        <v>7.34</v>
      </c>
      <c r="Z84" s="2926">
        <v>8.65</v>
      </c>
      <c r="AA84" s="2926">
        <v>8.0500000000000007</v>
      </c>
      <c r="AB84" s="2926">
        <v>7.43</v>
      </c>
      <c r="AC84" s="2926"/>
      <c r="AD84" s="2926"/>
      <c r="AE84" s="2926"/>
      <c r="AF84" s="156"/>
      <c r="AG84" s="156"/>
      <c r="AH84" s="156"/>
      <c r="AI84" s="13"/>
      <c r="AJ84" s="13"/>
      <c r="AK84" s="61"/>
      <c r="AL84" s="61"/>
      <c r="AM84" s="61"/>
      <c r="AN84" s="61"/>
      <c r="AO84" s="61"/>
      <c r="AP84" s="156"/>
      <c r="AQ84" s="156"/>
      <c r="AR84" s="13"/>
      <c r="AS84" s="13"/>
      <c r="AT84" s="61"/>
      <c r="AU84" s="61"/>
      <c r="AV84" s="61"/>
      <c r="AW84" s="61"/>
      <c r="AX84" s="61"/>
      <c r="AY84" s="61"/>
      <c r="AZ84" s="150"/>
      <c r="BA84" s="150"/>
      <c r="BB84" s="150"/>
      <c r="BC84" s="13"/>
      <c r="BD84" s="13"/>
      <c r="BE84" s="61"/>
      <c r="BF84" s="61"/>
      <c r="BG84" s="61"/>
      <c r="BH84" s="61"/>
      <c r="BI84" s="150"/>
      <c r="BJ84" s="150"/>
      <c r="BK84" s="150"/>
      <c r="BL84" s="13"/>
      <c r="BM84" s="13"/>
      <c r="BN84" s="61"/>
      <c r="BO84" s="61"/>
      <c r="BP84" s="61"/>
      <c r="BQ84" s="61"/>
      <c r="BR84" s="150"/>
      <c r="BS84" s="150"/>
      <c r="BT84" s="150"/>
      <c r="BU84" s="13"/>
      <c r="BV84" s="13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  <c r="DV84" s="61"/>
      <c r="DW84" s="61"/>
      <c r="DX84" s="61"/>
      <c r="DY84" s="61"/>
      <c r="DZ84" s="61"/>
      <c r="EA84" s="61"/>
      <c r="EB84" s="61"/>
      <c r="EC84" s="61"/>
    </row>
    <row r="85" spans="1:133">
      <c r="A85" s="1376" t="s">
        <v>40</v>
      </c>
      <c r="B85" s="1000"/>
      <c r="C85" s="1336" t="s">
        <v>48</v>
      </c>
      <c r="D85" s="1300">
        <v>7.39</v>
      </c>
      <c r="E85" s="1303">
        <v>7.3</v>
      </c>
      <c r="F85" s="1303">
        <v>7.83</v>
      </c>
      <c r="G85" s="1337">
        <v>8.1</v>
      </c>
      <c r="H85" s="1332">
        <v>4.67</v>
      </c>
      <c r="I85" s="1303">
        <v>7.54</v>
      </c>
      <c r="J85" s="1351">
        <v>6.97</v>
      </c>
      <c r="K85" s="1382">
        <v>7.98</v>
      </c>
      <c r="L85" s="1125"/>
      <c r="M85" s="1126"/>
      <c r="N85" s="1126">
        <v>6.18</v>
      </c>
      <c r="O85" s="1208"/>
      <c r="P85" s="2415">
        <v>7.08</v>
      </c>
      <c r="Q85" s="2904">
        <v>7.26</v>
      </c>
      <c r="R85" s="2904">
        <v>8.07</v>
      </c>
      <c r="S85" s="2905">
        <v>6.77</v>
      </c>
      <c r="T85" s="2905">
        <v>7.35</v>
      </c>
      <c r="U85" s="1128">
        <v>6.54</v>
      </c>
      <c r="V85" s="1128">
        <v>6.83</v>
      </c>
      <c r="W85" s="2862">
        <v>6.18</v>
      </c>
      <c r="X85" s="2450">
        <v>7.21</v>
      </c>
      <c r="Y85" s="2927">
        <v>7.26</v>
      </c>
      <c r="Z85" s="2927">
        <v>8.19</v>
      </c>
      <c r="AA85" s="2927">
        <v>7.19</v>
      </c>
      <c r="AB85" s="2927">
        <v>7.31</v>
      </c>
      <c r="AC85" s="2927"/>
      <c r="AD85" s="2927"/>
      <c r="AE85" s="2927"/>
      <c r="AF85" s="151"/>
      <c r="AG85" s="151"/>
      <c r="AH85" s="151"/>
      <c r="AI85" s="14"/>
      <c r="AJ85" s="14"/>
      <c r="AK85" s="61"/>
      <c r="AL85" s="61"/>
      <c r="AM85" s="61"/>
      <c r="AN85" s="61"/>
      <c r="AO85" s="28"/>
      <c r="AP85" s="151"/>
      <c r="AQ85" s="151"/>
      <c r="AR85" s="14"/>
      <c r="AS85" s="14"/>
      <c r="AT85" s="61"/>
      <c r="AU85" s="61"/>
      <c r="AV85" s="61"/>
      <c r="AW85" s="61"/>
      <c r="AX85" s="61"/>
      <c r="AY85" s="28"/>
      <c r="AZ85" s="151"/>
      <c r="BA85" s="151"/>
      <c r="BB85" s="151"/>
      <c r="BC85" s="14"/>
      <c r="BD85" s="14"/>
      <c r="BE85" s="61"/>
      <c r="BF85" s="61"/>
      <c r="BG85" s="61"/>
      <c r="BH85" s="28"/>
      <c r="BI85" s="151"/>
      <c r="BJ85" s="151"/>
      <c r="BK85" s="151"/>
      <c r="BL85" s="14"/>
      <c r="BM85" s="14"/>
      <c r="BN85" s="61"/>
      <c r="BO85" s="61"/>
      <c r="BP85" s="61"/>
      <c r="BQ85" s="28"/>
      <c r="BR85" s="151"/>
      <c r="BS85" s="151"/>
      <c r="BT85" s="151"/>
      <c r="BU85" s="14"/>
      <c r="BV85" s="14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  <c r="DV85" s="61"/>
      <c r="DW85" s="61"/>
      <c r="DX85" s="61"/>
      <c r="DY85" s="61"/>
      <c r="DZ85" s="61"/>
      <c r="EA85" s="61"/>
      <c r="EB85" s="61"/>
      <c r="EC85" s="61"/>
    </row>
    <row r="86" spans="1:133">
      <c r="A86" s="1376" t="s">
        <v>40</v>
      </c>
      <c r="B86" s="1000"/>
      <c r="C86" s="1299" t="s">
        <v>46</v>
      </c>
      <c r="D86" s="1300">
        <v>7.49</v>
      </c>
      <c r="E86" s="1303">
        <v>7.4</v>
      </c>
      <c r="F86" s="1303">
        <v>7.76</v>
      </c>
      <c r="G86" s="1337">
        <v>8.1</v>
      </c>
      <c r="H86" s="1332">
        <v>5.76</v>
      </c>
      <c r="I86" s="1303">
        <v>8.14</v>
      </c>
      <c r="J86" s="1351">
        <v>7.96</v>
      </c>
      <c r="K86" s="1382">
        <v>9.25</v>
      </c>
      <c r="L86" s="1125"/>
      <c r="M86" s="1126"/>
      <c r="N86" s="1126">
        <v>7</v>
      </c>
      <c r="O86" s="1208"/>
      <c r="P86" s="2415">
        <v>7.32</v>
      </c>
      <c r="Q86" s="2904">
        <v>7.55</v>
      </c>
      <c r="R86" s="2904">
        <v>9.1199999999999992</v>
      </c>
      <c r="S86" s="2905">
        <v>7.06</v>
      </c>
      <c r="T86" s="2905">
        <v>7.1</v>
      </c>
      <c r="U86" s="1128">
        <v>6.5</v>
      </c>
      <c r="V86" s="1128">
        <v>6.9</v>
      </c>
      <c r="W86" s="2862">
        <v>6.2</v>
      </c>
      <c r="X86" s="2450">
        <v>7.15</v>
      </c>
      <c r="Y86" s="2927">
        <v>7.22</v>
      </c>
      <c r="Z86" s="2927">
        <v>8.56</v>
      </c>
      <c r="AA86" s="2927">
        <v>7.95</v>
      </c>
      <c r="AB86" s="2927">
        <v>7.62</v>
      </c>
      <c r="AC86" s="2927"/>
      <c r="AD86" s="2927"/>
      <c r="AE86" s="2927"/>
      <c r="AF86" s="151"/>
      <c r="AG86" s="151"/>
      <c r="AH86" s="151"/>
      <c r="AI86" s="14"/>
      <c r="AJ86" s="14"/>
      <c r="AK86" s="61"/>
      <c r="AL86" s="61"/>
      <c r="AM86" s="61"/>
      <c r="AN86" s="61"/>
      <c r="AO86" s="28"/>
      <c r="AP86" s="151"/>
      <c r="AQ86" s="151"/>
      <c r="AR86" s="14"/>
      <c r="AS86" s="14"/>
      <c r="AT86" s="61"/>
      <c r="AU86" s="61"/>
      <c r="AV86" s="61"/>
      <c r="AW86" s="61"/>
      <c r="AX86" s="61"/>
      <c r="AY86" s="28"/>
      <c r="AZ86" s="151"/>
      <c r="BA86" s="151"/>
      <c r="BB86" s="151"/>
      <c r="BC86" s="14"/>
      <c r="BD86" s="14"/>
      <c r="BE86" s="61"/>
      <c r="BF86" s="61"/>
      <c r="BG86" s="61"/>
      <c r="BH86" s="28"/>
      <c r="BI86" s="151"/>
      <c r="BJ86" s="151"/>
      <c r="BK86" s="151"/>
      <c r="BL86" s="14"/>
      <c r="BM86" s="14"/>
      <c r="BN86" s="61"/>
      <c r="BO86" s="61"/>
      <c r="BP86" s="61"/>
      <c r="BQ86" s="28"/>
      <c r="BR86" s="151"/>
      <c r="BS86" s="151"/>
      <c r="BT86" s="151"/>
      <c r="BU86" s="14"/>
      <c r="BV86" s="14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  <c r="DV86" s="61"/>
      <c r="DW86" s="61"/>
      <c r="DX86" s="61"/>
      <c r="DY86" s="61"/>
      <c r="DZ86" s="61"/>
      <c r="EA86" s="61"/>
      <c r="EB86" s="61"/>
      <c r="EC86" s="61"/>
    </row>
    <row r="87" spans="1:133">
      <c r="A87" s="1376" t="s">
        <v>40</v>
      </c>
      <c r="B87" s="1000"/>
      <c r="C87" s="1336" t="s">
        <v>45</v>
      </c>
      <c r="D87" s="1300">
        <v>7.56</v>
      </c>
      <c r="E87" s="1303">
        <v>7.4</v>
      </c>
      <c r="F87" s="1303">
        <v>7.81</v>
      </c>
      <c r="G87" s="1337">
        <v>8.1999999999999993</v>
      </c>
      <c r="H87" s="1332">
        <v>7.65</v>
      </c>
      <c r="I87" s="1303">
        <v>8.26</v>
      </c>
      <c r="J87" s="1351">
        <v>7.47</v>
      </c>
      <c r="K87" s="1382">
        <v>8.7899999999999991</v>
      </c>
      <c r="L87" s="1125"/>
      <c r="M87" s="1126"/>
      <c r="N87" s="1126">
        <v>6.7</v>
      </c>
      <c r="O87" s="1208"/>
      <c r="P87" s="2415">
        <v>7.11</v>
      </c>
      <c r="Q87" s="2904">
        <v>7.36</v>
      </c>
      <c r="R87" s="2904">
        <v>9.98</v>
      </c>
      <c r="S87" s="2905">
        <v>6.53</v>
      </c>
      <c r="T87" s="2905">
        <v>7.44</v>
      </c>
      <c r="U87" s="1128">
        <v>6.97</v>
      </c>
      <c r="V87" s="1128">
        <v>7.18</v>
      </c>
      <c r="W87" s="2862">
        <v>6.24</v>
      </c>
      <c r="X87" s="2450">
        <v>7.48</v>
      </c>
      <c r="Y87" s="2927">
        <v>7.53</v>
      </c>
      <c r="Z87" s="2927">
        <v>8.25</v>
      </c>
      <c r="AA87" s="2927">
        <v>7.67</v>
      </c>
      <c r="AB87" s="2927">
        <v>7.31</v>
      </c>
      <c r="AC87" s="2927"/>
      <c r="AD87" s="2927"/>
      <c r="AE87" s="2927"/>
      <c r="AF87" s="153"/>
      <c r="AG87" s="153"/>
      <c r="AH87" s="153"/>
      <c r="AI87" s="14"/>
      <c r="AJ87" s="14"/>
      <c r="AK87" s="61"/>
      <c r="AL87" s="61"/>
      <c r="AM87" s="61"/>
      <c r="AN87" s="61"/>
      <c r="AO87" s="61"/>
      <c r="AP87" s="153"/>
      <c r="AQ87" s="153"/>
      <c r="AR87" s="14"/>
      <c r="AS87" s="14"/>
      <c r="AT87" s="61"/>
      <c r="AU87" s="61"/>
      <c r="AV87" s="61"/>
      <c r="AW87" s="61"/>
      <c r="AX87" s="61"/>
      <c r="AY87" s="61"/>
      <c r="AZ87" s="153"/>
      <c r="BA87" s="153"/>
      <c r="BB87" s="153"/>
      <c r="BC87" s="14"/>
      <c r="BD87" s="14"/>
      <c r="BE87" s="61"/>
      <c r="BF87" s="61"/>
      <c r="BG87" s="61"/>
      <c r="BH87" s="61"/>
      <c r="BI87" s="153"/>
      <c r="BJ87" s="153"/>
      <c r="BK87" s="153"/>
      <c r="BL87" s="14"/>
      <c r="BM87" s="14"/>
      <c r="BN87" s="61"/>
      <c r="BO87" s="61"/>
      <c r="BP87" s="61"/>
      <c r="BQ87" s="61"/>
      <c r="BR87" s="153"/>
      <c r="BS87" s="153"/>
      <c r="BT87" s="153"/>
      <c r="BU87" s="14"/>
      <c r="BV87" s="14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  <c r="DV87" s="61"/>
      <c r="DW87" s="61"/>
      <c r="DX87" s="61"/>
      <c r="DY87" s="61"/>
      <c r="DZ87" s="61"/>
      <c r="EA87" s="61"/>
      <c r="EB87" s="61"/>
      <c r="EC87" s="61"/>
    </row>
    <row r="88" spans="1:133">
      <c r="A88" s="1376" t="s">
        <v>40</v>
      </c>
      <c r="B88" s="1000"/>
      <c r="C88" s="1299" t="s">
        <v>55</v>
      </c>
      <c r="D88" s="1300">
        <v>7.51</v>
      </c>
      <c r="E88" s="1303">
        <v>7.44</v>
      </c>
      <c r="F88" s="1303">
        <v>7.82</v>
      </c>
      <c r="G88" s="1337">
        <v>8.19</v>
      </c>
      <c r="H88" s="1332">
        <v>7.39</v>
      </c>
      <c r="I88" s="1303">
        <v>7.52</v>
      </c>
      <c r="J88" s="1351">
        <v>7.61</v>
      </c>
      <c r="K88" s="1382">
        <v>8.7799999999999994</v>
      </c>
      <c r="L88" s="1125"/>
      <c r="M88" s="1126"/>
      <c r="N88" s="1126">
        <v>7.07</v>
      </c>
      <c r="O88" s="1208"/>
      <c r="P88" s="2415">
        <v>7.02</v>
      </c>
      <c r="Q88" s="2904">
        <v>7.3</v>
      </c>
      <c r="R88" s="2904">
        <v>8.91</v>
      </c>
      <c r="S88" s="2905">
        <v>6.81</v>
      </c>
      <c r="T88" s="2905">
        <v>7.2</v>
      </c>
      <c r="U88" s="1128">
        <v>6.63</v>
      </c>
      <c r="V88" s="1128">
        <v>6.94</v>
      </c>
      <c r="W88" s="2862">
        <v>6.09</v>
      </c>
      <c r="X88" s="2450">
        <v>7.25</v>
      </c>
      <c r="Y88" s="2927">
        <v>7.31</v>
      </c>
      <c r="Z88" s="2927">
        <v>8.7200000000000006</v>
      </c>
      <c r="AA88" s="2927">
        <v>8.8800000000000008</v>
      </c>
      <c r="AB88" s="2927">
        <v>7.56</v>
      </c>
      <c r="AC88" s="2927"/>
      <c r="AD88" s="2927"/>
      <c r="AE88" s="2927"/>
      <c r="AF88" s="153"/>
      <c r="AG88" s="153"/>
      <c r="AH88" s="153"/>
      <c r="AI88" s="14"/>
      <c r="AJ88" s="14"/>
      <c r="AK88" s="61"/>
      <c r="AL88" s="61"/>
      <c r="AM88" s="61"/>
      <c r="AN88" s="61"/>
      <c r="AO88" s="61"/>
      <c r="AP88" s="153"/>
      <c r="AQ88" s="153"/>
      <c r="AR88" s="14"/>
      <c r="AS88" s="14"/>
      <c r="AT88" s="61"/>
      <c r="AU88" s="61"/>
      <c r="AV88" s="61"/>
      <c r="AW88" s="61"/>
      <c r="AX88" s="61"/>
      <c r="AY88" s="61"/>
      <c r="AZ88" s="153"/>
      <c r="BA88" s="153"/>
      <c r="BB88" s="153"/>
      <c r="BC88" s="14"/>
      <c r="BD88" s="14"/>
      <c r="BE88" s="61"/>
      <c r="BF88" s="61"/>
      <c r="BG88" s="61"/>
      <c r="BH88" s="61"/>
      <c r="BI88" s="153"/>
      <c r="BJ88" s="153"/>
      <c r="BK88" s="153"/>
      <c r="BL88" s="14"/>
      <c r="BM88" s="14"/>
      <c r="BN88" s="61"/>
      <c r="BO88" s="61"/>
      <c r="BP88" s="61"/>
      <c r="BQ88" s="61"/>
      <c r="BR88" s="153"/>
      <c r="BS88" s="153"/>
      <c r="BT88" s="153"/>
      <c r="BU88" s="14"/>
      <c r="BV88" s="14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  <c r="DV88" s="61"/>
      <c r="DW88" s="61"/>
      <c r="DX88" s="61"/>
      <c r="DY88" s="61"/>
      <c r="DZ88" s="61"/>
      <c r="EA88" s="61"/>
      <c r="EB88" s="61"/>
      <c r="EC88" s="61"/>
    </row>
    <row r="89" spans="1:133">
      <c r="A89" s="1376" t="s">
        <v>40</v>
      </c>
      <c r="B89" s="1000"/>
      <c r="C89" s="1299" t="s">
        <v>54</v>
      </c>
      <c r="D89" s="1300">
        <v>7.46</v>
      </c>
      <c r="E89" s="1303">
        <v>7</v>
      </c>
      <c r="F89" s="1303">
        <v>7.98</v>
      </c>
      <c r="G89" s="1337">
        <v>7.8</v>
      </c>
      <c r="H89" s="1332">
        <v>4.9400000000000004</v>
      </c>
      <c r="I89" s="1303">
        <v>7.56</v>
      </c>
      <c r="J89" s="1351">
        <v>4.91</v>
      </c>
      <c r="K89" s="1382">
        <v>8.01</v>
      </c>
      <c r="L89" s="1125"/>
      <c r="M89" s="1126"/>
      <c r="N89" s="1126">
        <v>6.36</v>
      </c>
      <c r="O89" s="1208"/>
      <c r="P89" s="2415">
        <v>7.04</v>
      </c>
      <c r="Q89" s="2904">
        <v>7.06</v>
      </c>
      <c r="R89" s="2904">
        <v>8.1199999999999992</v>
      </c>
      <c r="S89" s="2905">
        <v>6.4</v>
      </c>
      <c r="T89" s="2905">
        <v>7.18</v>
      </c>
      <c r="U89" s="1128">
        <v>6.46</v>
      </c>
      <c r="V89" s="1128">
        <v>6.84</v>
      </c>
      <c r="W89" s="2862">
        <v>6.21</v>
      </c>
      <c r="X89" s="2450">
        <v>7.22</v>
      </c>
      <c r="Y89" s="2927">
        <v>7.35</v>
      </c>
      <c r="Z89" s="2927">
        <v>8.52</v>
      </c>
      <c r="AA89" s="2927">
        <v>6.85</v>
      </c>
      <c r="AB89" s="2927">
        <v>7.25</v>
      </c>
      <c r="AC89" s="2927"/>
      <c r="AD89" s="2927"/>
      <c r="AE89" s="2927"/>
      <c r="AF89" s="153"/>
      <c r="AG89" s="153"/>
      <c r="AH89" s="153"/>
      <c r="AI89" s="14"/>
      <c r="AJ89" s="14"/>
      <c r="AK89" s="61"/>
      <c r="AL89" s="61"/>
      <c r="AM89" s="61"/>
      <c r="AN89" s="61"/>
      <c r="AO89" s="61"/>
      <c r="AP89" s="153"/>
      <c r="AQ89" s="153"/>
      <c r="AR89" s="14"/>
      <c r="AS89" s="14"/>
      <c r="AT89" s="61"/>
      <c r="AU89" s="61"/>
      <c r="AV89" s="61"/>
      <c r="AW89" s="61"/>
      <c r="AX89" s="61"/>
      <c r="AY89" s="61"/>
      <c r="AZ89" s="153"/>
      <c r="BA89" s="153"/>
      <c r="BB89" s="153"/>
      <c r="BC89" s="14"/>
      <c r="BD89" s="14"/>
      <c r="BE89" s="61"/>
      <c r="BF89" s="61"/>
      <c r="BG89" s="61"/>
      <c r="BH89" s="61"/>
      <c r="BI89" s="153"/>
      <c r="BJ89" s="153"/>
      <c r="BK89" s="153"/>
      <c r="BL89" s="14"/>
      <c r="BM89" s="14"/>
      <c r="BN89" s="61"/>
      <c r="BO89" s="61"/>
      <c r="BP89" s="61"/>
      <c r="BQ89" s="61"/>
      <c r="BR89" s="153"/>
      <c r="BS89" s="153"/>
      <c r="BT89" s="153"/>
      <c r="BU89" s="14"/>
      <c r="BV89" s="14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  <c r="DV89" s="61"/>
      <c r="DW89" s="61"/>
      <c r="DX89" s="61"/>
      <c r="DY89" s="61"/>
      <c r="DZ89" s="61"/>
      <c r="EA89" s="61"/>
      <c r="EB89" s="61"/>
      <c r="EC89" s="61"/>
    </row>
    <row r="90" spans="1:133">
      <c r="A90" s="1376" t="s">
        <v>40</v>
      </c>
      <c r="B90" s="1000"/>
      <c r="C90" s="1299" t="s">
        <v>56</v>
      </c>
      <c r="D90" s="1300">
        <v>7.54</v>
      </c>
      <c r="E90" s="1303">
        <v>7.2</v>
      </c>
      <c r="F90" s="1303">
        <v>7.64</v>
      </c>
      <c r="G90" s="1337">
        <v>7.4</v>
      </c>
      <c r="H90" s="1332">
        <v>7.2</v>
      </c>
      <c r="I90" s="1303">
        <v>8.02</v>
      </c>
      <c r="J90" s="1351">
        <v>8.23</v>
      </c>
      <c r="K90" s="1382">
        <v>7</v>
      </c>
      <c r="L90" s="1125"/>
      <c r="M90" s="1126"/>
      <c r="N90" s="1126">
        <v>6.69</v>
      </c>
      <c r="O90" s="1208"/>
      <c r="P90" s="2415">
        <v>7.11</v>
      </c>
      <c r="Q90" s="2904">
        <v>7.14</v>
      </c>
      <c r="R90" s="2904">
        <v>8.6</v>
      </c>
      <c r="S90" s="2905">
        <v>6.32</v>
      </c>
      <c r="T90" s="2905">
        <v>7.43</v>
      </c>
      <c r="U90" s="1128">
        <v>7.02</v>
      </c>
      <c r="V90" s="1128">
        <v>6.98</v>
      </c>
      <c r="W90" s="2862">
        <v>6.2</v>
      </c>
      <c r="X90" s="2450">
        <v>7.46</v>
      </c>
      <c r="Y90" s="2927">
        <v>7.38</v>
      </c>
      <c r="Z90" s="2927">
        <v>8.74</v>
      </c>
      <c r="AA90" s="2927">
        <v>7.31</v>
      </c>
      <c r="AB90" s="2927">
        <v>7.36</v>
      </c>
      <c r="AC90" s="2927"/>
      <c r="AD90" s="2927"/>
      <c r="AE90" s="2927"/>
      <c r="AF90" s="153"/>
      <c r="AG90" s="153"/>
      <c r="AH90" s="153"/>
      <c r="AI90" s="14"/>
      <c r="AJ90" s="14"/>
      <c r="AK90" s="61"/>
      <c r="AL90" s="61"/>
      <c r="AM90" s="61"/>
      <c r="AN90" s="61"/>
      <c r="AO90" s="61"/>
      <c r="AP90" s="153"/>
      <c r="AQ90" s="153"/>
      <c r="AR90" s="14"/>
      <c r="AS90" s="14"/>
      <c r="AT90" s="61"/>
      <c r="AU90" s="61"/>
      <c r="AV90" s="61"/>
      <c r="AW90" s="61"/>
      <c r="AX90" s="61"/>
      <c r="AY90" s="61"/>
      <c r="AZ90" s="153"/>
      <c r="BA90" s="153"/>
      <c r="BB90" s="153"/>
      <c r="BC90" s="14"/>
      <c r="BD90" s="14"/>
      <c r="BE90" s="61"/>
      <c r="BF90" s="61"/>
      <c r="BG90" s="61"/>
      <c r="BH90" s="61"/>
      <c r="BI90" s="153"/>
      <c r="BJ90" s="153"/>
      <c r="BK90" s="153"/>
      <c r="BL90" s="14"/>
      <c r="BM90" s="14"/>
      <c r="BN90" s="61"/>
      <c r="BO90" s="61"/>
      <c r="BP90" s="61"/>
      <c r="BQ90" s="61"/>
      <c r="BR90" s="153"/>
      <c r="BS90" s="153"/>
      <c r="BT90" s="153"/>
      <c r="BU90" s="14"/>
      <c r="BV90" s="14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  <c r="DV90" s="61"/>
      <c r="DW90" s="61"/>
      <c r="DX90" s="61"/>
      <c r="DY90" s="61"/>
      <c r="DZ90" s="61"/>
      <c r="EA90" s="61"/>
      <c r="EB90" s="61"/>
      <c r="EC90" s="61"/>
    </row>
    <row r="91" spans="1:133">
      <c r="A91" s="1376" t="s">
        <v>40</v>
      </c>
      <c r="B91" s="1000"/>
      <c r="C91" s="1299" t="s">
        <v>44</v>
      </c>
      <c r="D91" s="1300">
        <v>6.95</v>
      </c>
      <c r="E91" s="1303">
        <v>7.4</v>
      </c>
      <c r="F91" s="1303">
        <v>7.63</v>
      </c>
      <c r="G91" s="1337">
        <v>7.7</v>
      </c>
      <c r="H91" s="1332">
        <v>7.94</v>
      </c>
      <c r="I91" s="1303">
        <v>6.6</v>
      </c>
      <c r="J91" s="1351">
        <v>6.31</v>
      </c>
      <c r="K91" s="1382">
        <v>3.65</v>
      </c>
      <c r="L91" s="1125"/>
      <c r="M91" s="1126"/>
      <c r="N91" s="1126">
        <v>5.47</v>
      </c>
      <c r="O91" s="1208"/>
      <c r="P91" s="2415">
        <v>7.11</v>
      </c>
      <c r="Q91" s="2904">
        <v>7.4</v>
      </c>
      <c r="R91" s="2904">
        <v>8.35</v>
      </c>
      <c r="S91" s="2905">
        <v>6.64</v>
      </c>
      <c r="T91" s="2905">
        <v>7.18</v>
      </c>
      <c r="U91" s="1128">
        <v>6.63</v>
      </c>
      <c r="V91" s="1128">
        <v>6.38</v>
      </c>
      <c r="W91" s="2862">
        <v>6</v>
      </c>
      <c r="X91" s="2450">
        <v>7.38</v>
      </c>
      <c r="Y91" s="2927">
        <v>7.21</v>
      </c>
      <c r="Z91" s="2927">
        <v>7.56</v>
      </c>
      <c r="AA91" s="2927">
        <v>6.91</v>
      </c>
      <c r="AB91" s="2927">
        <v>6.46</v>
      </c>
      <c r="AC91" s="2927"/>
      <c r="AD91" s="2927"/>
      <c r="AE91" s="2927"/>
      <c r="AF91" s="153"/>
      <c r="AG91" s="153"/>
      <c r="AH91" s="153"/>
      <c r="AI91" s="14"/>
      <c r="AJ91" s="14"/>
      <c r="AK91" s="61"/>
      <c r="AL91" s="61"/>
      <c r="AM91" s="61"/>
      <c r="AN91" s="61"/>
      <c r="AO91" s="61"/>
      <c r="AP91" s="153"/>
      <c r="AQ91" s="153"/>
      <c r="AR91" s="14"/>
      <c r="AS91" s="14"/>
      <c r="AT91" s="61"/>
      <c r="AU91" s="61"/>
      <c r="AV91" s="61"/>
      <c r="AW91" s="61"/>
      <c r="AX91" s="61"/>
      <c r="AY91" s="61"/>
      <c r="AZ91" s="153"/>
      <c r="BA91" s="153"/>
      <c r="BB91" s="153"/>
      <c r="BC91" s="14"/>
      <c r="BD91" s="14"/>
      <c r="BE91" s="61"/>
      <c r="BF91" s="61"/>
      <c r="BG91" s="61"/>
      <c r="BH91" s="61"/>
      <c r="BI91" s="153"/>
      <c r="BJ91" s="153"/>
      <c r="BK91" s="153"/>
      <c r="BL91" s="14"/>
      <c r="BM91" s="14"/>
      <c r="BN91" s="61"/>
      <c r="BO91" s="61"/>
      <c r="BP91" s="61"/>
      <c r="BQ91" s="61"/>
      <c r="BR91" s="153"/>
      <c r="BS91" s="153"/>
      <c r="BT91" s="153"/>
      <c r="BU91" s="14"/>
      <c r="BV91" s="14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  <c r="DV91" s="61"/>
      <c r="DW91" s="61"/>
      <c r="DX91" s="61"/>
      <c r="DY91" s="61"/>
      <c r="DZ91" s="61"/>
      <c r="EA91" s="61"/>
      <c r="EB91" s="61"/>
      <c r="EC91" s="61"/>
    </row>
    <row r="92" spans="1:133">
      <c r="A92" s="1376" t="s">
        <v>40</v>
      </c>
      <c r="B92" s="1000"/>
      <c r="C92" s="1299" t="s">
        <v>51</v>
      </c>
      <c r="D92" s="1300">
        <v>7.32</v>
      </c>
      <c r="E92" s="1303">
        <v>7.3</v>
      </c>
      <c r="F92" s="1303">
        <v>7.68</v>
      </c>
      <c r="G92" s="1337">
        <v>8.1</v>
      </c>
      <c r="H92" s="1332">
        <v>5.38</v>
      </c>
      <c r="I92" s="1303">
        <v>7.86</v>
      </c>
      <c r="J92" s="1351">
        <v>7.88</v>
      </c>
      <c r="K92" s="1382">
        <v>7.9</v>
      </c>
      <c r="L92" s="1125"/>
      <c r="M92" s="1126"/>
      <c r="N92" s="1126">
        <v>6.74</v>
      </c>
      <c r="O92" s="1208"/>
      <c r="P92" s="2415">
        <v>6.84</v>
      </c>
      <c r="Q92" s="2904">
        <v>7.31</v>
      </c>
      <c r="R92" s="2904">
        <v>8.9</v>
      </c>
      <c r="S92" s="2905">
        <v>7.34</v>
      </c>
      <c r="T92" s="2905">
        <v>7.01</v>
      </c>
      <c r="U92" s="1128">
        <v>6.4</v>
      </c>
      <c r="V92" s="1128">
        <v>6.85</v>
      </c>
      <c r="W92" s="2862">
        <v>6.06</v>
      </c>
      <c r="X92" s="2450">
        <v>7.04</v>
      </c>
      <c r="Y92" s="2927">
        <v>7.11</v>
      </c>
      <c r="Z92" s="2927">
        <v>8.77</v>
      </c>
      <c r="AA92" s="2927">
        <v>7.97</v>
      </c>
      <c r="AB92" s="2927">
        <v>7.45</v>
      </c>
      <c r="AC92" s="2927"/>
      <c r="AD92" s="2927"/>
      <c r="AE92" s="2927"/>
      <c r="AF92" s="158"/>
      <c r="AG92" s="158"/>
      <c r="AH92" s="158"/>
      <c r="AI92" s="14"/>
      <c r="AJ92" s="14"/>
      <c r="AK92" s="61"/>
      <c r="AL92" s="61"/>
      <c r="AM92" s="61"/>
      <c r="AN92" s="61"/>
      <c r="AO92" s="61"/>
      <c r="AP92" s="158"/>
      <c r="AQ92" s="158"/>
      <c r="AR92" s="14"/>
      <c r="AS92" s="14"/>
      <c r="AT92" s="61"/>
      <c r="AU92" s="61"/>
      <c r="AV92" s="61"/>
      <c r="AW92" s="61"/>
      <c r="AX92" s="61"/>
      <c r="AY92" s="61"/>
      <c r="AZ92" s="158"/>
      <c r="BA92" s="158"/>
      <c r="BB92" s="154"/>
      <c r="BC92" s="14"/>
      <c r="BD92" s="14"/>
      <c r="BE92" s="61"/>
      <c r="BF92" s="61"/>
      <c r="BG92" s="61"/>
      <c r="BH92" s="61"/>
      <c r="BI92" s="158"/>
      <c r="BJ92" s="158"/>
      <c r="BK92" s="158"/>
      <c r="BL92" s="14"/>
      <c r="BM92" s="14"/>
      <c r="BN92" s="61"/>
      <c r="BO92" s="61"/>
      <c r="BP92" s="61"/>
      <c r="BQ92" s="61"/>
      <c r="BR92" s="158"/>
      <c r="BS92" s="158"/>
      <c r="BT92" s="158"/>
      <c r="BU92" s="14"/>
      <c r="BV92" s="14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  <c r="DV92" s="61"/>
      <c r="DW92" s="61"/>
      <c r="DX92" s="61"/>
      <c r="DY92" s="61"/>
      <c r="DZ92" s="61"/>
      <c r="EA92" s="61"/>
      <c r="EB92" s="61"/>
      <c r="EC92" s="61"/>
    </row>
    <row r="93" spans="1:133" ht="15.75" thickBot="1">
      <c r="A93" s="1378" t="s">
        <v>40</v>
      </c>
      <c r="B93" s="1001"/>
      <c r="C93" s="1308" t="s">
        <v>47</v>
      </c>
      <c r="D93" s="1309">
        <v>7.06</v>
      </c>
      <c r="E93" s="1312">
        <v>7.1</v>
      </c>
      <c r="F93" s="1312">
        <v>7.38</v>
      </c>
      <c r="G93" s="1339">
        <v>7.8</v>
      </c>
      <c r="H93" s="1333">
        <v>4.58</v>
      </c>
      <c r="I93" s="1312">
        <v>7.23</v>
      </c>
      <c r="J93" s="1356">
        <v>6.6</v>
      </c>
      <c r="K93" s="1383">
        <v>7.92</v>
      </c>
      <c r="L93" s="1135"/>
      <c r="M93" s="1136"/>
      <c r="N93" s="1136">
        <v>6.29</v>
      </c>
      <c r="O93" s="1209"/>
      <c r="P93" s="2313">
        <v>6.9</v>
      </c>
      <c r="Q93" s="2906">
        <v>6.94</v>
      </c>
      <c r="R93" s="2906">
        <v>8.35</v>
      </c>
      <c r="S93" s="2907">
        <v>6.4</v>
      </c>
      <c r="T93" s="2907">
        <v>7.15</v>
      </c>
      <c r="U93" s="634">
        <v>6.57</v>
      </c>
      <c r="V93" s="634">
        <v>6.53</v>
      </c>
      <c r="W93" s="2864">
        <v>6.08</v>
      </c>
      <c r="X93" s="3148">
        <v>7.39</v>
      </c>
      <c r="Y93" s="3149">
        <v>7.26</v>
      </c>
      <c r="Z93" s="3325">
        <v>8.18</v>
      </c>
      <c r="AA93" s="3149">
        <v>6.11</v>
      </c>
      <c r="AB93" s="3149">
        <v>7.02</v>
      </c>
      <c r="AC93" s="3149"/>
      <c r="AD93" s="3149"/>
      <c r="AE93" s="3149"/>
      <c r="AF93" s="162"/>
      <c r="AG93" s="162"/>
      <c r="AH93" s="162"/>
      <c r="AI93" s="14"/>
      <c r="AJ93" s="14"/>
      <c r="AK93" s="61"/>
      <c r="AL93" s="61"/>
      <c r="AM93" s="61"/>
      <c r="AN93" s="61"/>
      <c r="AO93" s="61"/>
      <c r="AP93" s="162"/>
      <c r="AQ93" s="162"/>
      <c r="AR93" s="14"/>
      <c r="AS93" s="14"/>
      <c r="AT93" s="61"/>
      <c r="AU93" s="61"/>
      <c r="AV93" s="61"/>
      <c r="AW93" s="61"/>
      <c r="AX93" s="61"/>
      <c r="AY93" s="61"/>
      <c r="AZ93" s="162"/>
      <c r="BA93" s="162"/>
      <c r="BB93" s="162"/>
      <c r="BC93" s="14"/>
      <c r="BD93" s="14"/>
      <c r="BE93" s="61"/>
      <c r="BF93" s="61"/>
      <c r="BG93" s="61"/>
      <c r="BH93" s="61"/>
      <c r="BI93" s="162"/>
      <c r="BJ93" s="162"/>
      <c r="BK93" s="162"/>
      <c r="BL93" s="14"/>
      <c r="BM93" s="14"/>
      <c r="BN93" s="61"/>
      <c r="BO93" s="61"/>
      <c r="BP93" s="61"/>
      <c r="BQ93" s="61"/>
      <c r="BR93" s="162"/>
      <c r="BS93" s="162"/>
      <c r="BT93" s="162"/>
      <c r="BU93" s="14"/>
      <c r="BV93" s="14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  <c r="DV93" s="61"/>
      <c r="DW93" s="61"/>
      <c r="DX93" s="61"/>
      <c r="DY93" s="61"/>
      <c r="DZ93" s="61"/>
      <c r="EA93" s="61"/>
      <c r="EB93" s="61"/>
      <c r="EC93" s="61"/>
    </row>
    <row r="94" spans="1:133">
      <c r="A94" s="114"/>
      <c r="B94" s="114">
        <f>SUM(B68:B93)</f>
        <v>26</v>
      </c>
      <c r="C94" s="775" t="s">
        <v>285</v>
      </c>
      <c r="D94" s="1025">
        <f t="shared" ref="D94:Q94" si="11">COUNTIFS(D68:D93,"&gt;=6",D68:D93,"&lt;=8.5")</f>
        <v>21</v>
      </c>
      <c r="E94" s="1025">
        <f t="shared" si="11"/>
        <v>26</v>
      </c>
      <c r="F94" s="1025">
        <f t="shared" si="11"/>
        <v>26</v>
      </c>
      <c r="G94" s="1025">
        <f t="shared" si="11"/>
        <v>26</v>
      </c>
      <c r="H94" s="1025">
        <f t="shared" si="11"/>
        <v>18</v>
      </c>
      <c r="I94" s="1025">
        <f t="shared" si="11"/>
        <v>24</v>
      </c>
      <c r="J94" s="1025">
        <f t="shared" si="11"/>
        <v>22</v>
      </c>
      <c r="K94" s="1025">
        <f t="shared" si="11"/>
        <v>16</v>
      </c>
      <c r="L94" s="1025">
        <f t="shared" si="11"/>
        <v>0</v>
      </c>
      <c r="M94" s="1025">
        <f t="shared" si="11"/>
        <v>6</v>
      </c>
      <c r="N94" s="1025">
        <f t="shared" si="11"/>
        <v>16</v>
      </c>
      <c r="O94" s="1025">
        <f t="shared" si="11"/>
        <v>0</v>
      </c>
      <c r="P94" s="1025">
        <f t="shared" si="11"/>
        <v>26</v>
      </c>
      <c r="Q94" s="1025">
        <f t="shared" si="11"/>
        <v>26</v>
      </c>
      <c r="R94" s="1025">
        <f>COUNTIFS(R68:R93,"&gt;=6",R68:R93,"&lt;=8.5")</f>
        <v>20</v>
      </c>
      <c r="S94" s="1025">
        <f>COUNTIFS(S68:S93,"&gt;=6",S68:S93,"&lt;=8.5")</f>
        <v>24</v>
      </c>
      <c r="T94" s="1025">
        <f>COUNTIFS(T68:T93,"&gt;=6",T68:T93,"&lt;=8.5")</f>
        <v>26</v>
      </c>
      <c r="U94" s="1025">
        <f>COUNTIFS(U68:U93,"&gt;=6",U68:U93,"&lt;=8.5")</f>
        <v>25</v>
      </c>
      <c r="V94" s="1025">
        <f t="shared" ref="V94:Y94" si="12">COUNTIFS(V68:V93,"&gt;=6",V68:V93,"&lt;=8.5")</f>
        <v>26</v>
      </c>
      <c r="W94" s="1025">
        <f t="shared" si="12"/>
        <v>26</v>
      </c>
      <c r="X94" s="1025">
        <f t="shared" si="12"/>
        <v>26</v>
      </c>
      <c r="Y94" s="1025">
        <f t="shared" si="12"/>
        <v>26</v>
      </c>
      <c r="Z94" s="1025">
        <f>COUNTIFS(Z68:Z93,"&gt;=6.5",Z68:Z93,"&lt;=9.0")</f>
        <v>25</v>
      </c>
      <c r="AA94" s="1025">
        <f>COUNTIFS(AA68:AA93,"&gt;=6.5",AA68:AA93,"&lt;=9.0")</f>
        <v>21</v>
      </c>
      <c r="AB94" s="1025">
        <f t="shared" ref="AB94:AE94" si="13">COUNTIFS(AB68:AB93,"&gt;=6.5",AB68:AB93,"&lt;=9.0")</f>
        <v>25</v>
      </c>
      <c r="AC94" s="1025">
        <f t="shared" si="13"/>
        <v>0</v>
      </c>
      <c r="AD94" s="1025">
        <f t="shared" si="13"/>
        <v>0</v>
      </c>
      <c r="AE94" s="1025">
        <f t="shared" si="13"/>
        <v>0</v>
      </c>
      <c r="AF94" s="162"/>
      <c r="AG94" s="162"/>
      <c r="AH94" s="162"/>
      <c r="AI94" s="14"/>
      <c r="AJ94" s="14"/>
      <c r="AK94" s="61"/>
      <c r="AL94" s="61"/>
      <c r="AM94" s="61"/>
      <c r="AN94" s="61"/>
      <c r="AO94" s="61"/>
      <c r="AP94" s="162"/>
      <c r="AQ94" s="162"/>
      <c r="AR94" s="14"/>
      <c r="AS94" s="14"/>
      <c r="AT94" s="61"/>
      <c r="AU94" s="61"/>
      <c r="AV94" s="61"/>
      <c r="AW94" s="61"/>
      <c r="AX94" s="61"/>
      <c r="AY94" s="61"/>
      <c r="AZ94" s="162"/>
      <c r="BA94" s="162"/>
      <c r="BB94" s="162"/>
      <c r="BC94" s="14"/>
      <c r="BD94" s="14"/>
      <c r="BE94" s="61"/>
      <c r="BF94" s="61"/>
      <c r="BG94" s="61"/>
      <c r="BH94" s="61"/>
      <c r="BI94" s="162"/>
      <c r="BJ94" s="162"/>
      <c r="BK94" s="162"/>
      <c r="BL94" s="14"/>
      <c r="BM94" s="14"/>
      <c r="BN94" s="61"/>
      <c r="BO94" s="61"/>
      <c r="BP94" s="61"/>
      <c r="BQ94" s="61"/>
      <c r="BR94" s="162"/>
      <c r="BS94" s="162"/>
      <c r="BT94" s="162"/>
      <c r="BU94" s="14"/>
      <c r="BV94" s="14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  <c r="DV94" s="61"/>
      <c r="DW94" s="61"/>
      <c r="DX94" s="61"/>
      <c r="DY94" s="61"/>
      <c r="DZ94" s="61"/>
      <c r="EA94" s="61"/>
      <c r="EB94" s="61"/>
      <c r="EC94" s="61"/>
    </row>
    <row r="95" spans="1:133">
      <c r="A95" s="114"/>
      <c r="B95" s="114"/>
      <c r="C95" s="775" t="s">
        <v>287</v>
      </c>
      <c r="D95" s="1027">
        <f>COUNT(D68:D93)</f>
        <v>25</v>
      </c>
      <c r="E95" s="1027">
        <f t="shared" ref="E95:Q95" si="14">COUNT(E68:E93)</f>
        <v>26</v>
      </c>
      <c r="F95" s="1027">
        <f t="shared" si="14"/>
        <v>26</v>
      </c>
      <c r="G95" s="1027">
        <f t="shared" si="14"/>
        <v>26</v>
      </c>
      <c r="H95" s="1027">
        <f t="shared" si="14"/>
        <v>26</v>
      </c>
      <c r="I95" s="1027">
        <f t="shared" si="14"/>
        <v>26</v>
      </c>
      <c r="J95" s="1027">
        <f t="shared" si="14"/>
        <v>26</v>
      </c>
      <c r="K95" s="1027">
        <f t="shared" si="14"/>
        <v>26</v>
      </c>
      <c r="L95" s="1027">
        <f t="shared" si="14"/>
        <v>6</v>
      </c>
      <c r="M95" s="1027">
        <f t="shared" si="14"/>
        <v>7</v>
      </c>
      <c r="N95" s="1027">
        <f t="shared" si="14"/>
        <v>26</v>
      </c>
      <c r="O95" s="1027">
        <f t="shared" si="14"/>
        <v>0</v>
      </c>
      <c r="P95" s="1027">
        <f t="shared" si="14"/>
        <v>26</v>
      </c>
      <c r="Q95" s="1027">
        <f t="shared" si="14"/>
        <v>26</v>
      </c>
      <c r="R95" s="1027">
        <f>COUNT(R68:R93)</f>
        <v>26</v>
      </c>
      <c r="S95" s="1027">
        <f>COUNT(S68:S93)</f>
        <v>26</v>
      </c>
      <c r="T95" s="1027">
        <f>COUNT(T68:T93)</f>
        <v>26</v>
      </c>
      <c r="U95" s="1027">
        <f>COUNT(U68:U93)</f>
        <v>25</v>
      </c>
      <c r="V95" s="1027">
        <f t="shared" ref="V95:AA95" si="15">COUNT(V68:V93)</f>
        <v>26</v>
      </c>
      <c r="W95" s="1027">
        <f t="shared" si="15"/>
        <v>26</v>
      </c>
      <c r="X95" s="1027">
        <f t="shared" si="15"/>
        <v>26</v>
      </c>
      <c r="Y95" s="1027">
        <f t="shared" si="15"/>
        <v>26</v>
      </c>
      <c r="Z95" s="1027">
        <f t="shared" si="15"/>
        <v>26</v>
      </c>
      <c r="AA95" s="1027">
        <f t="shared" si="15"/>
        <v>26</v>
      </c>
      <c r="AB95" s="1027">
        <f t="shared" ref="AB95:AE95" si="16">COUNT(AB68:AB93)</f>
        <v>26</v>
      </c>
      <c r="AC95" s="1027">
        <f t="shared" si="16"/>
        <v>0</v>
      </c>
      <c r="AD95" s="1027">
        <f t="shared" si="16"/>
        <v>0</v>
      </c>
      <c r="AE95" s="1027">
        <f t="shared" si="16"/>
        <v>0</v>
      </c>
      <c r="AF95" s="61"/>
      <c r="AG95" s="61"/>
      <c r="AH95" s="61"/>
      <c r="AI95" s="14"/>
      <c r="AJ95" s="61"/>
      <c r="AK95" s="61"/>
      <c r="AL95" s="61"/>
      <c r="AM95" s="61"/>
      <c r="AN95" s="61"/>
      <c r="AO95" s="61"/>
      <c r="AP95" s="61"/>
      <c r="AQ95" s="61"/>
      <c r="AR95" s="61"/>
      <c r="AS95" s="14"/>
      <c r="AT95" s="61"/>
      <c r="AU95" s="61"/>
      <c r="AV95" s="61"/>
      <c r="AW95" s="61"/>
      <c r="AX95" s="61"/>
      <c r="AY95" s="61"/>
      <c r="AZ95" s="61"/>
      <c r="BA95" s="61"/>
      <c r="BB95" s="61"/>
      <c r="BC95" s="14"/>
      <c r="BD95" s="61"/>
      <c r="BE95" s="61"/>
      <c r="BF95" s="61"/>
      <c r="BG95" s="61"/>
      <c r="BH95" s="61"/>
      <c r="BI95" s="61"/>
      <c r="BJ95" s="61"/>
      <c r="BK95" s="61"/>
      <c r="BL95" s="14"/>
      <c r="BM95" s="61"/>
      <c r="BN95" s="61"/>
      <c r="BO95" s="61"/>
      <c r="BP95" s="61"/>
      <c r="BQ95" s="61"/>
      <c r="BR95" s="61"/>
      <c r="BS95" s="61"/>
      <c r="BT95" s="61"/>
      <c r="BU95" s="14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  <c r="DV95" s="61"/>
      <c r="DW95" s="61"/>
      <c r="DX95" s="61"/>
      <c r="DY95" s="61"/>
      <c r="DZ95" s="61"/>
      <c r="EA95" s="61"/>
      <c r="EB95" s="61"/>
      <c r="EC95" s="61"/>
    </row>
    <row r="96" spans="1:133">
      <c r="A96" s="114"/>
      <c r="B96" s="114"/>
      <c r="C96" s="775" t="s">
        <v>286</v>
      </c>
      <c r="D96" s="1026">
        <f t="shared" ref="D96:S96" si="17">D94/D95</f>
        <v>0.84</v>
      </c>
      <c r="E96" s="1026">
        <f t="shared" si="17"/>
        <v>1</v>
      </c>
      <c r="F96" s="1026">
        <f t="shared" si="17"/>
        <v>1</v>
      </c>
      <c r="G96" s="1026">
        <f t="shared" si="17"/>
        <v>1</v>
      </c>
      <c r="H96" s="1026">
        <f t="shared" si="17"/>
        <v>0.69230769230769229</v>
      </c>
      <c r="I96" s="1026">
        <f t="shared" si="17"/>
        <v>0.92307692307692313</v>
      </c>
      <c r="J96" s="1026">
        <f t="shared" si="17"/>
        <v>0.84615384615384615</v>
      </c>
      <c r="K96" s="1026">
        <f t="shared" si="17"/>
        <v>0.61538461538461542</v>
      </c>
      <c r="L96" s="1026">
        <f t="shared" si="17"/>
        <v>0</v>
      </c>
      <c r="M96" s="1026">
        <f t="shared" si="17"/>
        <v>0.8571428571428571</v>
      </c>
      <c r="N96" s="1026">
        <f t="shared" si="17"/>
        <v>0.61538461538461542</v>
      </c>
      <c r="O96" s="1026" t="e">
        <f t="shared" si="17"/>
        <v>#DIV/0!</v>
      </c>
      <c r="P96" s="1026">
        <f t="shared" si="17"/>
        <v>1</v>
      </c>
      <c r="Q96" s="1026">
        <f t="shared" si="17"/>
        <v>1</v>
      </c>
      <c r="R96" s="1026">
        <f t="shared" si="17"/>
        <v>0.76923076923076927</v>
      </c>
      <c r="S96" s="1026">
        <f t="shared" si="17"/>
        <v>0.92307692307692313</v>
      </c>
      <c r="T96" s="1026">
        <f t="shared" ref="T96:U96" si="18">T94/T95</f>
        <v>1</v>
      </c>
      <c r="U96" s="1026">
        <f t="shared" si="18"/>
        <v>1</v>
      </c>
      <c r="V96" s="1026">
        <f t="shared" ref="V96:AA96" si="19">V94/V95</f>
        <v>1</v>
      </c>
      <c r="W96" s="1026">
        <f t="shared" si="19"/>
        <v>1</v>
      </c>
      <c r="X96" s="1026">
        <f t="shared" si="19"/>
        <v>1</v>
      </c>
      <c r="Y96" s="1026">
        <f t="shared" si="19"/>
        <v>1</v>
      </c>
      <c r="Z96" s="1026">
        <f t="shared" si="19"/>
        <v>0.96153846153846156</v>
      </c>
      <c r="AA96" s="1026">
        <f t="shared" si="19"/>
        <v>0.80769230769230771</v>
      </c>
      <c r="AB96" s="1026">
        <f t="shared" ref="AB96:AE96" si="20">AB94/AB95</f>
        <v>0.96153846153846156</v>
      </c>
      <c r="AC96" s="1026" t="e">
        <f t="shared" si="20"/>
        <v>#DIV/0!</v>
      </c>
      <c r="AD96" s="1026" t="e">
        <f t="shared" si="20"/>
        <v>#DIV/0!</v>
      </c>
      <c r="AE96" s="1026" t="e">
        <f t="shared" si="20"/>
        <v>#DIV/0!</v>
      </c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  <c r="DV96" s="61"/>
      <c r="DW96" s="61"/>
      <c r="DX96" s="61"/>
      <c r="DY96" s="61"/>
      <c r="DZ96" s="61"/>
      <c r="EA96" s="61"/>
      <c r="EB96" s="61"/>
      <c r="EC96" s="61"/>
    </row>
    <row r="97" spans="1:133">
      <c r="A97" s="211"/>
      <c r="B97" s="211"/>
      <c r="C97" s="208"/>
      <c r="D97" s="209"/>
      <c r="E97" s="205"/>
      <c r="F97" s="205"/>
      <c r="G97" s="205"/>
      <c r="H97" s="205"/>
      <c r="I97" s="205"/>
      <c r="J97" s="213"/>
      <c r="K97" s="238"/>
      <c r="L97" s="107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770"/>
      <c r="Y97" s="83"/>
      <c r="Z97" s="83"/>
      <c r="AA97" s="83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  <c r="DV97" s="61"/>
      <c r="DW97" s="61"/>
      <c r="DX97" s="61"/>
      <c r="DY97" s="61"/>
      <c r="DZ97" s="61"/>
      <c r="EA97" s="61"/>
      <c r="EB97" s="61"/>
      <c r="EC97" s="61"/>
    </row>
    <row r="98" spans="1:133" ht="15.75" thickBot="1">
      <c r="A98" s="365" t="s">
        <v>300</v>
      </c>
      <c r="B98" s="365"/>
      <c r="C98" s="108"/>
      <c r="D98" s="224"/>
      <c r="E98" s="224"/>
      <c r="F98" s="224"/>
      <c r="G98" s="224"/>
      <c r="H98" s="224"/>
      <c r="I98" s="224"/>
      <c r="J98" s="224"/>
      <c r="K98" s="567"/>
      <c r="L98" s="224"/>
      <c r="M98" s="224"/>
      <c r="N98" s="224"/>
      <c r="O98" s="224"/>
      <c r="P98" s="224"/>
      <c r="Q98" s="224"/>
      <c r="R98" s="120"/>
      <c r="S98" s="120"/>
      <c r="T98" s="120"/>
      <c r="U98" s="120"/>
      <c r="V98" s="120"/>
      <c r="W98" s="120"/>
      <c r="X98" s="787"/>
      <c r="Y98" s="13"/>
      <c r="Z98" s="13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  <c r="DV98" s="61"/>
      <c r="DW98" s="61"/>
      <c r="DX98" s="61"/>
      <c r="DY98" s="61"/>
      <c r="DZ98" s="61"/>
      <c r="EA98" s="61"/>
      <c r="EB98" s="61"/>
      <c r="EC98" s="61"/>
    </row>
    <row r="99" spans="1:133">
      <c r="A99" s="1037" t="s">
        <v>67</v>
      </c>
      <c r="B99" s="1377">
        <f>COUNTA(C99:C104)</f>
        <v>6</v>
      </c>
      <c r="C99" s="1334" t="s">
        <v>190</v>
      </c>
      <c r="D99" s="1292">
        <v>7.24</v>
      </c>
      <c r="E99" s="1295">
        <v>7.78</v>
      </c>
      <c r="F99" s="1295">
        <v>7.61</v>
      </c>
      <c r="G99" s="1335">
        <v>7.69</v>
      </c>
      <c r="H99" s="1331">
        <v>7.76</v>
      </c>
      <c r="I99" s="1292">
        <v>7.75</v>
      </c>
      <c r="J99" s="1348">
        <v>7.26</v>
      </c>
      <c r="K99" s="1381">
        <v>7.69</v>
      </c>
      <c r="L99" s="1117">
        <v>8.15</v>
      </c>
      <c r="M99" s="1118">
        <v>7.91</v>
      </c>
      <c r="N99" s="1118">
        <v>7.49</v>
      </c>
      <c r="O99" s="2912">
        <v>7.47</v>
      </c>
      <c r="P99" s="2917">
        <v>7.58</v>
      </c>
      <c r="Q99" s="2909">
        <v>8.0150000000000006</v>
      </c>
      <c r="R99" s="2909">
        <v>7.75</v>
      </c>
      <c r="S99" s="2910">
        <v>7.78</v>
      </c>
      <c r="T99" s="2910">
        <v>7.7</v>
      </c>
      <c r="U99" s="1394">
        <v>7.77</v>
      </c>
      <c r="V99" s="3076">
        <v>7.8</v>
      </c>
      <c r="W99" s="1394"/>
      <c r="X99" s="3156">
        <v>7.65</v>
      </c>
      <c r="Y99" s="3055">
        <v>7.69</v>
      </c>
      <c r="Z99" s="3055">
        <v>7.34</v>
      </c>
      <c r="AA99" s="3055">
        <v>8.69</v>
      </c>
      <c r="AB99" s="3055">
        <v>7.54</v>
      </c>
      <c r="AC99" s="3055"/>
      <c r="AD99" s="3055"/>
      <c r="AE99" s="3055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  <c r="DV99" s="61"/>
      <c r="DW99" s="61"/>
      <c r="DX99" s="61"/>
      <c r="DY99" s="61"/>
      <c r="DZ99" s="61"/>
      <c r="EA99" s="61"/>
      <c r="EB99" s="61"/>
      <c r="EC99" s="61"/>
    </row>
    <row r="100" spans="1:133">
      <c r="A100" s="1376" t="s">
        <v>67</v>
      </c>
      <c r="B100" s="1000"/>
      <c r="C100" s="1336" t="s">
        <v>269</v>
      </c>
      <c r="D100" s="1300"/>
      <c r="E100" s="1303"/>
      <c r="F100" s="1303"/>
      <c r="G100" s="1337"/>
      <c r="H100" s="1332"/>
      <c r="I100" s="1300"/>
      <c r="J100" s="1351"/>
      <c r="K100" s="1382"/>
      <c r="L100" s="1125">
        <v>8.5500000000000007</v>
      </c>
      <c r="M100" s="1126">
        <v>8.09</v>
      </c>
      <c r="N100" s="1126">
        <v>7.95</v>
      </c>
      <c r="O100" s="2913">
        <v>8.18</v>
      </c>
      <c r="P100" s="2918">
        <v>8.35</v>
      </c>
      <c r="Q100" s="2919">
        <v>7.8250000000000002</v>
      </c>
      <c r="R100" s="2919">
        <v>7.74</v>
      </c>
      <c r="S100" s="2920">
        <v>8.39</v>
      </c>
      <c r="T100" s="2920">
        <v>8.18</v>
      </c>
      <c r="U100" s="1395">
        <v>8.26</v>
      </c>
      <c r="V100" s="3077">
        <v>7</v>
      </c>
      <c r="W100" s="1395"/>
      <c r="X100" s="3157">
        <v>7.5</v>
      </c>
      <c r="Y100" s="3022">
        <v>8.11</v>
      </c>
      <c r="Z100" s="3022">
        <v>7.64</v>
      </c>
      <c r="AA100" s="3022">
        <v>8.15</v>
      </c>
      <c r="AB100" s="3022">
        <v>7.89</v>
      </c>
      <c r="AC100" s="3022"/>
      <c r="AD100" s="3022"/>
      <c r="AE100" s="3022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  <c r="DV100" s="61"/>
      <c r="DW100" s="61"/>
      <c r="DX100" s="61"/>
      <c r="DY100" s="61"/>
      <c r="DZ100" s="61"/>
      <c r="EA100" s="61"/>
      <c r="EB100" s="61"/>
      <c r="EC100" s="61"/>
    </row>
    <row r="101" spans="1:133">
      <c r="A101" s="1376" t="s">
        <v>67</v>
      </c>
      <c r="B101" s="1000"/>
      <c r="C101" s="1336" t="s">
        <v>267</v>
      </c>
      <c r="D101" s="1300"/>
      <c r="E101" s="1303"/>
      <c r="F101" s="1303"/>
      <c r="G101" s="1337"/>
      <c r="H101" s="1332"/>
      <c r="I101" s="1300"/>
      <c r="J101" s="1351"/>
      <c r="K101" s="1382"/>
      <c r="L101" s="1125">
        <v>8.34</v>
      </c>
      <c r="M101" s="1126">
        <v>8.0299999999999994</v>
      </c>
      <c r="N101" s="1126">
        <v>7.78</v>
      </c>
      <c r="O101" s="2913">
        <v>8.1</v>
      </c>
      <c r="P101" s="2918">
        <v>8.31</v>
      </c>
      <c r="Q101" s="2919">
        <v>8.1050000000000004</v>
      </c>
      <c r="R101" s="2919">
        <v>7.92</v>
      </c>
      <c r="S101" s="2920">
        <v>8.39</v>
      </c>
      <c r="T101" s="2920">
        <v>7.7</v>
      </c>
      <c r="U101" s="1395">
        <v>8.16</v>
      </c>
      <c r="V101" s="3077">
        <v>7.71</v>
      </c>
      <c r="W101" s="1395"/>
      <c r="X101" s="3158">
        <v>7.5</v>
      </c>
      <c r="Y101" s="3023">
        <v>8.43</v>
      </c>
      <c r="Z101" s="3023">
        <v>7.63</v>
      </c>
      <c r="AA101" s="3023">
        <v>7.54</v>
      </c>
      <c r="AB101" s="3023">
        <v>8.0500000000000007</v>
      </c>
      <c r="AC101" s="3023"/>
      <c r="AD101" s="3023"/>
      <c r="AE101" s="3023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  <c r="DV101" s="61"/>
      <c r="DW101" s="61"/>
      <c r="DX101" s="61"/>
      <c r="DY101" s="61"/>
      <c r="DZ101" s="61"/>
      <c r="EA101" s="61"/>
      <c r="EB101" s="61"/>
      <c r="EC101" s="61"/>
    </row>
    <row r="102" spans="1:133">
      <c r="A102" s="1376" t="s">
        <v>67</v>
      </c>
      <c r="B102" s="1000"/>
      <c r="C102" s="1336" t="s">
        <v>77</v>
      </c>
      <c r="D102" s="1300">
        <v>8.09</v>
      </c>
      <c r="E102" s="1303">
        <v>7.63</v>
      </c>
      <c r="F102" s="1303">
        <v>7.54</v>
      </c>
      <c r="G102" s="1337">
        <v>7.73</v>
      </c>
      <c r="H102" s="1332">
        <v>8</v>
      </c>
      <c r="I102" s="1300">
        <v>7.83</v>
      </c>
      <c r="J102" s="1351">
        <v>7.62</v>
      </c>
      <c r="K102" s="1382">
        <v>7.72</v>
      </c>
      <c r="L102" s="1125">
        <v>7.59</v>
      </c>
      <c r="M102" s="1126">
        <v>7.78</v>
      </c>
      <c r="N102" s="1126">
        <v>7.07</v>
      </c>
      <c r="O102" s="2156">
        <v>7.81</v>
      </c>
      <c r="P102" s="2231">
        <v>8.15</v>
      </c>
      <c r="Q102" s="2914">
        <v>8.0749999999999993</v>
      </c>
      <c r="R102" s="2914">
        <v>7.81</v>
      </c>
      <c r="S102" s="2921">
        <v>8.09</v>
      </c>
      <c r="T102" s="2921">
        <v>7.43</v>
      </c>
      <c r="U102" s="1396">
        <v>8.14</v>
      </c>
      <c r="V102" s="3078">
        <v>7.92</v>
      </c>
      <c r="W102" s="1396"/>
      <c r="X102" s="3158">
        <v>7.14</v>
      </c>
      <c r="Y102" s="3023">
        <v>7.98</v>
      </c>
      <c r="Z102" s="3023">
        <v>7.52</v>
      </c>
      <c r="AA102" s="3023">
        <v>6.79</v>
      </c>
      <c r="AB102" s="3023">
        <v>8.4499999999999993</v>
      </c>
      <c r="AC102" s="3023"/>
      <c r="AD102" s="3023"/>
      <c r="AE102" s="3023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  <c r="DV102" s="61"/>
      <c r="DW102" s="61"/>
      <c r="DX102" s="61"/>
      <c r="DY102" s="61"/>
      <c r="DZ102" s="61"/>
      <c r="EA102" s="61"/>
      <c r="EB102" s="61"/>
      <c r="EC102" s="61"/>
    </row>
    <row r="103" spans="1:133">
      <c r="A103" s="1376" t="s">
        <v>67</v>
      </c>
      <c r="B103" s="1000"/>
      <c r="C103" s="1336" t="s">
        <v>268</v>
      </c>
      <c r="D103" s="1300"/>
      <c r="E103" s="1303"/>
      <c r="F103" s="1303"/>
      <c r="G103" s="1337"/>
      <c r="H103" s="1332"/>
      <c r="I103" s="1300"/>
      <c r="J103" s="1351"/>
      <c r="K103" s="1382"/>
      <c r="L103" s="1125">
        <v>8.56</v>
      </c>
      <c r="M103" s="1126">
        <v>8.0500000000000007</v>
      </c>
      <c r="N103" s="1126">
        <v>7.59</v>
      </c>
      <c r="O103" s="2156">
        <v>7.94</v>
      </c>
      <c r="P103" s="2231">
        <v>8.41</v>
      </c>
      <c r="Q103" s="2914">
        <v>8.16</v>
      </c>
      <c r="R103" s="2914">
        <v>7.86</v>
      </c>
      <c r="S103" s="2921">
        <v>8.27</v>
      </c>
      <c r="T103" s="2921">
        <v>8.01</v>
      </c>
      <c r="U103" s="1396">
        <v>8.16</v>
      </c>
      <c r="V103" s="3078">
        <v>7.7</v>
      </c>
      <c r="W103" s="1396"/>
      <c r="X103" s="3158">
        <v>7.98</v>
      </c>
      <c r="Y103" s="3023">
        <v>8.31</v>
      </c>
      <c r="Z103" s="3023">
        <v>7.51</v>
      </c>
      <c r="AA103" s="3023">
        <v>6.98</v>
      </c>
      <c r="AB103" s="3023">
        <v>8.36</v>
      </c>
      <c r="AC103" s="3023"/>
      <c r="AD103" s="3023"/>
      <c r="AE103" s="3023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  <c r="DV103" s="61"/>
      <c r="DW103" s="61"/>
      <c r="DX103" s="61"/>
      <c r="DY103" s="61"/>
      <c r="DZ103" s="61"/>
      <c r="EA103" s="61"/>
      <c r="EB103" s="61"/>
      <c r="EC103" s="61"/>
    </row>
    <row r="104" spans="1:133" ht="15.75" thickBot="1">
      <c r="A104" s="1378" t="s">
        <v>67</v>
      </c>
      <c r="B104" s="1001"/>
      <c r="C104" s="1338" t="s">
        <v>191</v>
      </c>
      <c r="D104" s="1309">
        <v>7.27</v>
      </c>
      <c r="E104" s="1312">
        <v>7.8</v>
      </c>
      <c r="F104" s="1312">
        <v>7.66</v>
      </c>
      <c r="G104" s="1339">
        <v>7.76</v>
      </c>
      <c r="H104" s="1333">
        <v>7.95</v>
      </c>
      <c r="I104" s="1309">
        <v>8.0399999999999991</v>
      </c>
      <c r="J104" s="1356">
        <v>7.51</v>
      </c>
      <c r="K104" s="1383">
        <v>7.76</v>
      </c>
      <c r="L104" s="1135">
        <v>7.83</v>
      </c>
      <c r="M104" s="1136">
        <v>7.77</v>
      </c>
      <c r="N104" s="1136">
        <v>7.3</v>
      </c>
      <c r="O104" s="2915">
        <v>7.69</v>
      </c>
      <c r="P104" s="2238">
        <v>7.95</v>
      </c>
      <c r="Q104" s="2916">
        <v>7.9950000000000001</v>
      </c>
      <c r="R104" s="2916">
        <v>7.7</v>
      </c>
      <c r="S104" s="2922">
        <v>7.91</v>
      </c>
      <c r="T104" s="2922">
        <v>7.76</v>
      </c>
      <c r="U104" s="1397">
        <v>7.56</v>
      </c>
      <c r="V104" s="3079">
        <v>7.86</v>
      </c>
      <c r="W104" s="1397"/>
      <c r="X104" s="3159">
        <v>7.35</v>
      </c>
      <c r="Y104" s="3056">
        <v>7.87</v>
      </c>
      <c r="Z104" s="3056">
        <v>7.41</v>
      </c>
      <c r="AA104" s="3056">
        <v>7.69</v>
      </c>
      <c r="AB104" s="3056">
        <v>8.17</v>
      </c>
      <c r="AC104" s="3056"/>
      <c r="AD104" s="3056"/>
      <c r="AE104" s="3056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  <c r="DV104" s="61"/>
      <c r="DW104" s="61"/>
      <c r="DX104" s="61"/>
      <c r="DY104" s="61"/>
      <c r="DZ104" s="61"/>
      <c r="EA104" s="61"/>
      <c r="EB104" s="61"/>
      <c r="EC104" s="61"/>
    </row>
    <row r="105" spans="1:133">
      <c r="A105" s="1037" t="s">
        <v>186</v>
      </c>
      <c r="B105" s="1377">
        <f>COUNTA(C105:C112)</f>
        <v>8</v>
      </c>
      <c r="C105" s="1344" t="s">
        <v>265</v>
      </c>
      <c r="D105" s="1181"/>
      <c r="E105" s="1181"/>
      <c r="F105" s="1181"/>
      <c r="G105" s="1182"/>
      <c r="H105" s="1344"/>
      <c r="I105" s="1181"/>
      <c r="J105" s="1181"/>
      <c r="K105" s="1182"/>
      <c r="L105" s="1241">
        <v>7.89</v>
      </c>
      <c r="M105" s="1118">
        <v>8.2799999999999994</v>
      </c>
      <c r="N105" s="1118">
        <v>7.42</v>
      </c>
      <c r="O105" s="1207">
        <v>7.83</v>
      </c>
      <c r="P105" s="2230">
        <v>8.2799999999999994</v>
      </c>
      <c r="Q105" s="2573">
        <v>7.7350000000000003</v>
      </c>
      <c r="R105" s="2923">
        <v>8</v>
      </c>
      <c r="S105" s="2924">
        <v>8.5</v>
      </c>
      <c r="T105" s="2924">
        <v>8.4499999999999993</v>
      </c>
      <c r="U105" s="1398">
        <v>8.15</v>
      </c>
      <c r="V105" s="3041" t="s">
        <v>381</v>
      </c>
      <c r="W105" s="1398"/>
      <c r="X105" s="3160">
        <v>8.16</v>
      </c>
      <c r="Y105" s="3025">
        <v>8.25</v>
      </c>
      <c r="Z105" s="3025">
        <v>6.89</v>
      </c>
      <c r="AA105" s="3025">
        <v>8.5</v>
      </c>
      <c r="AB105" s="3025">
        <v>8.1300000000000008</v>
      </c>
      <c r="AC105" s="3025"/>
      <c r="AD105" s="3025"/>
      <c r="AE105" s="3025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  <c r="DV105" s="61"/>
      <c r="DW105" s="61"/>
      <c r="DX105" s="61"/>
      <c r="DY105" s="61"/>
      <c r="DZ105" s="61"/>
      <c r="EA105" s="61"/>
      <c r="EB105" s="61"/>
      <c r="EC105" s="61"/>
    </row>
    <row r="106" spans="1:133" s="4" customFormat="1">
      <c r="A106" s="1376" t="s">
        <v>186</v>
      </c>
      <c r="B106" s="1000"/>
      <c r="C106" s="1336" t="s">
        <v>79</v>
      </c>
      <c r="D106" s="1300">
        <v>7.3</v>
      </c>
      <c r="E106" s="1303">
        <v>7.38</v>
      </c>
      <c r="F106" s="1303">
        <v>7.22</v>
      </c>
      <c r="G106" s="1345">
        <v>6.94</v>
      </c>
      <c r="H106" s="1332">
        <v>7.18</v>
      </c>
      <c r="I106" s="1303">
        <v>7.15</v>
      </c>
      <c r="J106" s="1351">
        <v>7.14</v>
      </c>
      <c r="K106" s="1382">
        <v>7.37</v>
      </c>
      <c r="L106" s="1183">
        <v>7.64</v>
      </c>
      <c r="M106" s="1126">
        <v>7.16</v>
      </c>
      <c r="N106" s="1126">
        <v>7.29</v>
      </c>
      <c r="O106" s="1208">
        <v>7.73</v>
      </c>
      <c r="P106" s="2231">
        <v>7.75</v>
      </c>
      <c r="Q106" s="2572">
        <v>7.5750000000000002</v>
      </c>
      <c r="R106" s="2914">
        <v>7.9</v>
      </c>
      <c r="S106" s="2921">
        <v>8.1</v>
      </c>
      <c r="T106" s="2921">
        <v>8.15</v>
      </c>
      <c r="U106" s="1396">
        <v>7.55</v>
      </c>
      <c r="V106" s="3042">
        <v>8.1</v>
      </c>
      <c r="W106" s="1396"/>
      <c r="X106" s="3158">
        <v>8.43</v>
      </c>
      <c r="Y106" s="3023">
        <v>8.25</v>
      </c>
      <c r="Z106" s="3023">
        <v>7.53</v>
      </c>
      <c r="AA106" s="3023">
        <v>8.25</v>
      </c>
      <c r="AB106" s="3023">
        <v>7.39</v>
      </c>
      <c r="AC106" s="3023"/>
      <c r="AD106" s="3023"/>
      <c r="AE106" s="302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  <c r="CE106" s="83"/>
      <c r="CF106" s="83"/>
      <c r="CG106" s="83"/>
      <c r="CH106" s="83"/>
      <c r="CI106" s="83"/>
      <c r="CJ106" s="83"/>
      <c r="CK106" s="83"/>
      <c r="CL106" s="83"/>
      <c r="CM106" s="83"/>
      <c r="CN106" s="83"/>
      <c r="CO106" s="83"/>
      <c r="CP106" s="83"/>
      <c r="CQ106" s="83"/>
      <c r="CR106" s="83"/>
      <c r="CS106" s="83"/>
      <c r="CT106" s="83"/>
      <c r="CU106" s="83"/>
      <c r="CV106" s="83"/>
      <c r="CW106" s="83"/>
      <c r="CX106" s="83"/>
      <c r="CY106" s="83"/>
      <c r="CZ106" s="83"/>
      <c r="DA106" s="83"/>
    </row>
    <row r="107" spans="1:133" s="4" customFormat="1">
      <c r="A107" s="1376" t="s">
        <v>186</v>
      </c>
      <c r="B107" s="1000"/>
      <c r="C107" s="1336" t="s">
        <v>188</v>
      </c>
      <c r="D107" s="1300">
        <v>7.45</v>
      </c>
      <c r="E107" s="1303">
        <v>7.65</v>
      </c>
      <c r="F107" s="1303">
        <v>7.16</v>
      </c>
      <c r="G107" s="1345">
        <v>6.91</v>
      </c>
      <c r="H107" s="1332">
        <v>7.95</v>
      </c>
      <c r="I107" s="1300">
        <v>7.2249999999999996</v>
      </c>
      <c r="J107" s="1351">
        <v>7.37</v>
      </c>
      <c r="K107" s="1382">
        <v>7.71</v>
      </c>
      <c r="L107" s="1183">
        <v>7.97</v>
      </c>
      <c r="M107" s="1126">
        <v>7.95</v>
      </c>
      <c r="N107" s="1126">
        <v>7.29</v>
      </c>
      <c r="O107" s="1208">
        <v>7.94</v>
      </c>
      <c r="P107" s="2231">
        <v>7.96</v>
      </c>
      <c r="Q107" s="2572">
        <v>7.22</v>
      </c>
      <c r="R107" s="2914">
        <v>7.8</v>
      </c>
      <c r="S107" s="2921">
        <v>8.1999999999999993</v>
      </c>
      <c r="T107" s="2921">
        <v>8.1199999999999992</v>
      </c>
      <c r="U107" s="1396">
        <v>7.36</v>
      </c>
      <c r="V107" s="3042">
        <v>7.28</v>
      </c>
      <c r="W107" s="1396"/>
      <c r="X107" s="3158">
        <v>8.11</v>
      </c>
      <c r="Y107" s="3023">
        <v>8.48</v>
      </c>
      <c r="Z107" s="3023">
        <v>7.59</v>
      </c>
      <c r="AA107" s="3023">
        <v>8.4499999999999993</v>
      </c>
      <c r="AB107" s="3023">
        <v>7.02</v>
      </c>
      <c r="AC107" s="3023"/>
      <c r="AD107" s="3023"/>
      <c r="AE107" s="3023"/>
      <c r="BB107" s="83"/>
      <c r="BC107" s="83"/>
      <c r="BD107" s="83"/>
      <c r="BE107" s="83"/>
      <c r="BF107" s="83"/>
      <c r="BG107" s="83"/>
      <c r="BH107" s="83"/>
      <c r="BI107" s="83"/>
      <c r="BJ107" s="83"/>
      <c r="BK107" s="83"/>
      <c r="BL107" s="83"/>
      <c r="BM107" s="83"/>
      <c r="BN107" s="83"/>
      <c r="BO107" s="83"/>
      <c r="BP107" s="83"/>
      <c r="BQ107" s="83"/>
      <c r="BR107" s="83"/>
      <c r="BS107" s="83"/>
      <c r="BT107" s="83"/>
      <c r="BU107" s="83"/>
      <c r="BV107" s="83"/>
      <c r="CE107" s="83"/>
      <c r="CF107" s="83"/>
      <c r="CG107" s="83"/>
      <c r="CH107" s="83"/>
      <c r="CI107" s="83"/>
      <c r="CJ107" s="83"/>
      <c r="CK107" s="83"/>
      <c r="CL107" s="83"/>
      <c r="CM107" s="83"/>
      <c r="CN107" s="83"/>
      <c r="CO107" s="83"/>
      <c r="CP107" s="83"/>
      <c r="CQ107" s="83"/>
      <c r="CR107" s="83"/>
      <c r="CS107" s="83"/>
      <c r="CT107" s="83"/>
      <c r="CU107" s="83"/>
      <c r="CV107" s="83"/>
      <c r="CW107" s="83"/>
      <c r="CX107" s="83"/>
      <c r="CY107" s="83"/>
      <c r="CZ107" s="83"/>
      <c r="DA107" s="83"/>
    </row>
    <row r="108" spans="1:133" s="4" customFormat="1">
      <c r="A108" s="1376" t="s">
        <v>186</v>
      </c>
      <c r="B108" s="1000"/>
      <c r="C108" s="1336" t="s">
        <v>72</v>
      </c>
      <c r="D108" s="1300">
        <v>7.32</v>
      </c>
      <c r="E108" s="1303">
        <v>7.47</v>
      </c>
      <c r="F108" s="1303">
        <v>7.43</v>
      </c>
      <c r="G108" s="1345">
        <v>7.05</v>
      </c>
      <c r="H108" s="1332">
        <v>7.8</v>
      </c>
      <c r="I108" s="1300">
        <v>7.34</v>
      </c>
      <c r="J108" s="1351">
        <v>7.22</v>
      </c>
      <c r="K108" s="1382">
        <v>7.27</v>
      </c>
      <c r="L108" s="1183">
        <v>7.46</v>
      </c>
      <c r="M108" s="1126">
        <v>7.86</v>
      </c>
      <c r="N108" s="1126">
        <v>7.31</v>
      </c>
      <c r="O108" s="1208">
        <v>7.65</v>
      </c>
      <c r="P108" s="2231">
        <v>7.91</v>
      </c>
      <c r="Q108" s="2572">
        <v>7.06</v>
      </c>
      <c r="R108" s="2914">
        <v>7.6</v>
      </c>
      <c r="S108" s="2921">
        <v>8.1999999999999993</v>
      </c>
      <c r="T108" s="2921">
        <v>7.99</v>
      </c>
      <c r="U108" s="1396">
        <v>7.39</v>
      </c>
      <c r="V108" s="3042">
        <v>7</v>
      </c>
      <c r="W108" s="1396"/>
      <c r="X108" s="3161">
        <v>7.07</v>
      </c>
      <c r="Y108" s="3023">
        <v>7.78</v>
      </c>
      <c r="Z108" s="3023">
        <v>7.76</v>
      </c>
      <c r="AA108" s="3023">
        <v>8.48</v>
      </c>
      <c r="AB108" s="3023">
        <v>6.72</v>
      </c>
      <c r="AC108" s="3023"/>
      <c r="AD108" s="3023"/>
      <c r="AE108" s="3023"/>
      <c r="BB108" s="83"/>
      <c r="BC108" s="83"/>
      <c r="BD108" s="83"/>
      <c r="BE108" s="83"/>
      <c r="BF108" s="83"/>
      <c r="BG108" s="83"/>
      <c r="BH108" s="83"/>
      <c r="BI108" s="83"/>
      <c r="BJ108" s="83"/>
      <c r="BK108" s="83"/>
      <c r="BL108" s="83"/>
      <c r="BM108" s="83"/>
      <c r="BN108" s="83"/>
      <c r="BO108" s="83"/>
      <c r="BP108" s="83"/>
      <c r="BQ108" s="83"/>
      <c r="BR108" s="83"/>
      <c r="BS108" s="83"/>
      <c r="BT108" s="83"/>
      <c r="BU108" s="83"/>
      <c r="BV108" s="83"/>
      <c r="CE108" s="83"/>
      <c r="CF108" s="83"/>
      <c r="CG108" s="83"/>
      <c r="CH108" s="83"/>
      <c r="CI108" s="83"/>
      <c r="CJ108" s="83"/>
      <c r="CK108" s="83"/>
      <c r="CL108" s="83"/>
      <c r="CM108" s="83"/>
      <c r="CN108" s="83"/>
      <c r="CO108" s="83"/>
      <c r="CP108" s="83"/>
      <c r="CQ108" s="83"/>
      <c r="CR108" s="83"/>
      <c r="CS108" s="83"/>
      <c r="CT108" s="83"/>
      <c r="CU108" s="83"/>
      <c r="CV108" s="83"/>
      <c r="CW108" s="83"/>
      <c r="CX108" s="83"/>
      <c r="CY108" s="83"/>
      <c r="CZ108" s="83"/>
      <c r="DA108" s="83"/>
    </row>
    <row r="109" spans="1:133" s="965" customFormat="1">
      <c r="A109" s="1376" t="s">
        <v>186</v>
      </c>
      <c r="B109" s="1000"/>
      <c r="C109" s="1336" t="s">
        <v>76</v>
      </c>
      <c r="D109" s="1300">
        <v>7.28</v>
      </c>
      <c r="E109" s="1303">
        <v>7.35</v>
      </c>
      <c r="F109" s="1303">
        <v>7.26</v>
      </c>
      <c r="G109" s="1345">
        <v>6.95</v>
      </c>
      <c r="H109" s="1332">
        <v>7.31</v>
      </c>
      <c r="I109" s="1300">
        <v>7.3</v>
      </c>
      <c r="J109" s="1351">
        <v>7.22</v>
      </c>
      <c r="K109" s="1382">
        <v>7.43</v>
      </c>
      <c r="L109" s="1183">
        <v>7.9</v>
      </c>
      <c r="M109" s="1126">
        <v>7.56</v>
      </c>
      <c r="N109" s="1126">
        <v>7.42</v>
      </c>
      <c r="O109" s="1208">
        <v>7.76</v>
      </c>
      <c r="P109" s="2232">
        <v>7.62</v>
      </c>
      <c r="Q109" s="2461">
        <v>7.1950000000000003</v>
      </c>
      <c r="R109" s="2461">
        <v>7.7</v>
      </c>
      <c r="S109" s="2925">
        <v>8.1</v>
      </c>
      <c r="T109" s="2925">
        <v>7.95</v>
      </c>
      <c r="U109" s="1399">
        <v>7.45</v>
      </c>
      <c r="V109" s="3043">
        <v>7.06</v>
      </c>
      <c r="W109" s="1399"/>
      <c r="X109" s="3158">
        <v>7.45</v>
      </c>
      <c r="Y109" s="3023">
        <v>8.2200000000000006</v>
      </c>
      <c r="Z109" s="3023">
        <v>7.69</v>
      </c>
      <c r="AA109" s="3023">
        <v>8.1</v>
      </c>
      <c r="AB109" s="3023">
        <v>7.14</v>
      </c>
      <c r="AC109" s="3023"/>
      <c r="AD109" s="3023"/>
      <c r="AE109" s="3023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/>
      <c r="CL109" s="61"/>
      <c r="CM109" s="61"/>
      <c r="CN109" s="61"/>
      <c r="CO109" s="61"/>
      <c r="CP109" s="61"/>
      <c r="CQ109" s="61"/>
      <c r="CR109" s="61"/>
      <c r="CS109" s="61"/>
      <c r="CT109" s="61"/>
      <c r="CU109" s="61"/>
      <c r="CV109" s="61"/>
      <c r="CW109" s="61"/>
      <c r="CX109" s="61"/>
      <c r="CY109" s="61"/>
      <c r="CZ109" s="61"/>
      <c r="DA109" s="61"/>
      <c r="DB109" s="61"/>
      <c r="DC109" s="61"/>
      <c r="DD109" s="61"/>
      <c r="DE109" s="61"/>
      <c r="DF109" s="61"/>
      <c r="DG109" s="61"/>
      <c r="DH109" s="61"/>
      <c r="DI109" s="61"/>
      <c r="DJ109" s="61"/>
      <c r="DK109" s="61"/>
      <c r="DL109" s="61"/>
      <c r="DM109" s="61"/>
      <c r="DN109" s="61"/>
      <c r="DO109" s="61"/>
      <c r="DP109" s="61"/>
      <c r="DQ109" s="61"/>
      <c r="DR109" s="61"/>
      <c r="DS109" s="61"/>
      <c r="DT109" s="61"/>
      <c r="DU109" s="61"/>
      <c r="DV109" s="61"/>
      <c r="DW109" s="61"/>
      <c r="DX109" s="61"/>
      <c r="DY109" s="61"/>
      <c r="DZ109" s="61"/>
      <c r="EA109" s="61"/>
      <c r="EB109" s="61"/>
      <c r="EC109" s="61"/>
    </row>
    <row r="110" spans="1:133" s="1010" customFormat="1">
      <c r="A110" s="1376" t="s">
        <v>186</v>
      </c>
      <c r="B110" s="1000"/>
      <c r="C110" s="1336" t="s">
        <v>189</v>
      </c>
      <c r="D110" s="1300">
        <v>7.3</v>
      </c>
      <c r="E110" s="1303">
        <v>7.31</v>
      </c>
      <c r="F110" s="1303">
        <v>7.68</v>
      </c>
      <c r="G110" s="1345">
        <v>6.88</v>
      </c>
      <c r="H110" s="1332">
        <v>7.46</v>
      </c>
      <c r="I110" s="1300">
        <v>7.0549999999999997</v>
      </c>
      <c r="J110" s="1351">
        <v>7.16</v>
      </c>
      <c r="K110" s="1382">
        <v>7.58</v>
      </c>
      <c r="L110" s="1183">
        <v>7.76</v>
      </c>
      <c r="M110" s="1126">
        <v>7.83</v>
      </c>
      <c r="N110" s="1126">
        <v>7.38</v>
      </c>
      <c r="O110" s="1208">
        <v>7.57</v>
      </c>
      <c r="P110" s="2233">
        <v>7.98</v>
      </c>
      <c r="Q110" s="2574">
        <v>7.52</v>
      </c>
      <c r="R110" s="2902">
        <v>7.8</v>
      </c>
      <c r="S110" s="2903">
        <v>8.1999999999999993</v>
      </c>
      <c r="T110" s="2903">
        <v>7.96</v>
      </c>
      <c r="U110" s="1393">
        <v>7.39</v>
      </c>
      <c r="V110" s="3044">
        <v>7.39</v>
      </c>
      <c r="W110" s="1393"/>
      <c r="X110" s="3158">
        <v>7.09</v>
      </c>
      <c r="Y110" s="3023">
        <v>8.02</v>
      </c>
      <c r="Z110" s="3023"/>
      <c r="AA110" s="3023">
        <v>8.16</v>
      </c>
      <c r="AB110" s="3023">
        <v>7.64</v>
      </c>
      <c r="AC110" s="3023"/>
      <c r="AD110" s="3023"/>
      <c r="AE110" s="3023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1"/>
      <c r="CP110" s="61"/>
      <c r="CQ110" s="61"/>
      <c r="CR110" s="61"/>
      <c r="CS110" s="61"/>
      <c r="CT110" s="61"/>
      <c r="CU110" s="61"/>
      <c r="CV110" s="61"/>
      <c r="CW110" s="61"/>
      <c r="CX110" s="61"/>
      <c r="CY110" s="61"/>
      <c r="CZ110" s="61"/>
      <c r="DA110" s="61"/>
      <c r="DB110" s="61"/>
      <c r="DC110" s="61"/>
      <c r="DD110" s="61"/>
      <c r="DE110" s="61"/>
      <c r="DF110" s="61"/>
      <c r="DG110" s="61"/>
      <c r="DH110" s="61"/>
      <c r="DI110" s="61"/>
      <c r="DJ110" s="61"/>
      <c r="DK110" s="61"/>
      <c r="DL110" s="61"/>
      <c r="DM110" s="61"/>
      <c r="DN110" s="61"/>
      <c r="DO110" s="61"/>
      <c r="DP110" s="61"/>
      <c r="DQ110" s="61"/>
      <c r="DR110" s="61"/>
      <c r="DS110" s="61"/>
      <c r="DT110" s="61"/>
      <c r="DU110" s="61"/>
      <c r="DV110" s="61"/>
      <c r="DW110" s="61"/>
      <c r="DX110" s="61"/>
      <c r="DY110" s="61"/>
      <c r="DZ110" s="61"/>
      <c r="EA110" s="61"/>
      <c r="EB110" s="61"/>
      <c r="EC110" s="61"/>
    </row>
    <row r="111" spans="1:133" s="1010" customFormat="1">
      <c r="A111" s="1376" t="s">
        <v>186</v>
      </c>
      <c r="B111" s="1000"/>
      <c r="C111" s="1336" t="s">
        <v>266</v>
      </c>
      <c r="D111" s="1300"/>
      <c r="E111" s="1303"/>
      <c r="F111" s="1303"/>
      <c r="G111" s="1345"/>
      <c r="H111" s="1332"/>
      <c r="I111" s="1300"/>
      <c r="J111" s="1351"/>
      <c r="K111" s="1382"/>
      <c r="L111" s="1183">
        <v>7.76</v>
      </c>
      <c r="M111" s="1126">
        <v>7.97</v>
      </c>
      <c r="N111" s="1126">
        <v>7.6</v>
      </c>
      <c r="O111" s="1208">
        <v>7.83</v>
      </c>
      <c r="P111" s="2233">
        <v>8.33</v>
      </c>
      <c r="Q111" s="2574">
        <v>7.72</v>
      </c>
      <c r="R111" s="2902">
        <v>8</v>
      </c>
      <c r="S111" s="2903">
        <v>8.3000000000000007</v>
      </c>
      <c r="T111" s="2903">
        <v>8</v>
      </c>
      <c r="U111" s="1393">
        <v>7.73</v>
      </c>
      <c r="V111" s="3044">
        <v>7.75</v>
      </c>
      <c r="W111" s="1393"/>
      <c r="X111" s="3162">
        <v>7.69</v>
      </c>
      <c r="Y111" s="3023">
        <v>8.39</v>
      </c>
      <c r="Z111" s="3023">
        <v>7.12</v>
      </c>
      <c r="AA111" s="3023">
        <v>8.69</v>
      </c>
      <c r="AB111" s="3023">
        <v>8.23</v>
      </c>
      <c r="AC111" s="3023"/>
      <c r="AD111" s="3023"/>
      <c r="AE111" s="3023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1"/>
      <c r="CQ111" s="61"/>
      <c r="CR111" s="61"/>
      <c r="CS111" s="61"/>
      <c r="CT111" s="61"/>
      <c r="CU111" s="61"/>
      <c r="CV111" s="61"/>
      <c r="CW111" s="61"/>
      <c r="CX111" s="61"/>
      <c r="CY111" s="61"/>
      <c r="CZ111" s="61"/>
      <c r="DA111" s="61"/>
      <c r="DB111" s="61"/>
      <c r="DC111" s="61"/>
      <c r="DD111" s="61"/>
      <c r="DE111" s="61"/>
      <c r="DF111" s="61"/>
      <c r="DG111" s="61"/>
      <c r="DH111" s="61"/>
      <c r="DI111" s="61"/>
      <c r="DJ111" s="61"/>
      <c r="DK111" s="61"/>
      <c r="DL111" s="61"/>
      <c r="DM111" s="61"/>
      <c r="DN111" s="61"/>
      <c r="DO111" s="61"/>
      <c r="DP111" s="61"/>
      <c r="DQ111" s="61"/>
      <c r="DR111" s="61"/>
      <c r="DS111" s="61"/>
      <c r="DT111" s="61"/>
      <c r="DU111" s="61"/>
      <c r="DV111" s="61"/>
      <c r="DW111" s="61"/>
      <c r="DX111" s="61"/>
      <c r="DY111" s="61"/>
      <c r="DZ111" s="61"/>
      <c r="EA111" s="61"/>
      <c r="EB111" s="61"/>
      <c r="EC111" s="61"/>
    </row>
    <row r="112" spans="1:133" s="1010" customFormat="1" ht="15.75" thickBot="1">
      <c r="A112" s="1378" t="s">
        <v>186</v>
      </c>
      <c r="B112" s="1001"/>
      <c r="C112" s="1338" t="s">
        <v>80</v>
      </c>
      <c r="D112" s="1309">
        <v>7.26</v>
      </c>
      <c r="E112" s="1312">
        <v>7.37</v>
      </c>
      <c r="F112" s="1312">
        <v>7.24</v>
      </c>
      <c r="G112" s="1346">
        <v>6.94</v>
      </c>
      <c r="H112" s="1333">
        <v>7.55</v>
      </c>
      <c r="I112" s="1309">
        <v>7.0549999999999997</v>
      </c>
      <c r="J112" s="1356">
        <v>7.17</v>
      </c>
      <c r="K112" s="1383">
        <v>7.66</v>
      </c>
      <c r="L112" s="1184">
        <v>7.74</v>
      </c>
      <c r="M112" s="1136">
        <v>7.75</v>
      </c>
      <c r="N112" s="1136">
        <v>7.5</v>
      </c>
      <c r="O112" s="1209">
        <v>7.96</v>
      </c>
      <c r="P112" s="2206">
        <v>7.82</v>
      </c>
      <c r="Q112" s="1136">
        <v>7.14</v>
      </c>
      <c r="R112" s="2906">
        <v>7.8</v>
      </c>
      <c r="S112" s="1359">
        <v>8.1999999999999993</v>
      </c>
      <c r="T112" s="1359">
        <v>7.8</v>
      </c>
      <c r="U112" s="1359">
        <v>7.41</v>
      </c>
      <c r="V112" s="1359">
        <v>7.4</v>
      </c>
      <c r="W112" s="1359"/>
      <c r="X112" s="3163">
        <v>8.33</v>
      </c>
      <c r="Y112" s="3056">
        <v>8.4700000000000006</v>
      </c>
      <c r="Z112" s="3056">
        <v>7.36</v>
      </c>
      <c r="AA112" s="3056">
        <v>8.2200000000000006</v>
      </c>
      <c r="AB112" s="3056">
        <v>6.89</v>
      </c>
      <c r="AC112" s="3056"/>
      <c r="AD112" s="3056"/>
      <c r="AE112" s="3056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61"/>
      <c r="CP112" s="61"/>
      <c r="CQ112" s="61"/>
      <c r="CR112" s="61"/>
      <c r="CS112" s="61"/>
      <c r="CT112" s="61"/>
      <c r="CU112" s="61"/>
      <c r="CV112" s="61"/>
      <c r="CW112" s="61"/>
      <c r="CX112" s="61"/>
      <c r="CY112" s="61"/>
      <c r="CZ112" s="61"/>
      <c r="DA112" s="61"/>
      <c r="DB112" s="61"/>
      <c r="DC112" s="61"/>
      <c r="DD112" s="61"/>
      <c r="DE112" s="61"/>
      <c r="DF112" s="61"/>
      <c r="DG112" s="61"/>
      <c r="DH112" s="61"/>
      <c r="DI112" s="61"/>
      <c r="DJ112" s="61"/>
      <c r="DK112" s="61"/>
      <c r="DL112" s="61"/>
      <c r="DM112" s="61"/>
      <c r="DN112" s="61"/>
      <c r="DO112" s="61"/>
      <c r="DP112" s="61"/>
      <c r="DQ112" s="61"/>
      <c r="DR112" s="61"/>
      <c r="DS112" s="61"/>
      <c r="DT112" s="61"/>
      <c r="DU112" s="61"/>
      <c r="DV112" s="61"/>
      <c r="DW112" s="61"/>
      <c r="DX112" s="61"/>
      <c r="DY112" s="61"/>
      <c r="DZ112" s="61"/>
      <c r="EA112" s="61"/>
      <c r="EB112" s="61"/>
      <c r="EC112" s="61"/>
    </row>
    <row r="113" spans="1:133" s="1010" customFormat="1">
      <c r="A113" s="1037" t="s">
        <v>68</v>
      </c>
      <c r="B113" s="1377">
        <v>7</v>
      </c>
      <c r="C113" s="1334" t="s">
        <v>352</v>
      </c>
      <c r="D113" s="1292"/>
      <c r="E113" s="1292"/>
      <c r="F113" s="1292"/>
      <c r="G113" s="1293"/>
      <c r="H113" s="1294"/>
      <c r="I113" s="1295">
        <v>7.24</v>
      </c>
      <c r="J113" s="1348">
        <v>7.13</v>
      </c>
      <c r="K113" s="1202">
        <v>7.64</v>
      </c>
      <c r="L113" s="1400">
        <v>7.2949999999999999</v>
      </c>
      <c r="M113" s="1118">
        <v>7.29</v>
      </c>
      <c r="N113" s="1118">
        <v>7.56</v>
      </c>
      <c r="O113" s="1207">
        <v>8</v>
      </c>
      <c r="P113" s="1203">
        <v>7.86</v>
      </c>
      <c r="Q113" s="1118">
        <v>7.69</v>
      </c>
      <c r="R113" s="2894">
        <v>7.77</v>
      </c>
      <c r="S113" s="2895">
        <v>7.96</v>
      </c>
      <c r="T113" s="2895">
        <v>7.76</v>
      </c>
      <c r="U113" s="1120">
        <v>7.76</v>
      </c>
      <c r="V113" s="1120">
        <v>8.0399999999999991</v>
      </c>
      <c r="W113" s="1120"/>
      <c r="X113" s="3164">
        <v>7.18</v>
      </c>
      <c r="Y113" s="3025">
        <v>7.41</v>
      </c>
      <c r="Z113" s="3025">
        <v>7.45</v>
      </c>
      <c r="AA113" s="3025">
        <v>7.6224999999999996</v>
      </c>
      <c r="AB113" s="3025">
        <v>7.32</v>
      </c>
      <c r="AC113" s="3025"/>
      <c r="AD113" s="3025"/>
      <c r="AE113" s="3025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1"/>
      <c r="CP113" s="61"/>
      <c r="CQ113" s="61"/>
      <c r="CR113" s="61"/>
      <c r="CS113" s="61"/>
      <c r="CT113" s="61"/>
      <c r="CU113" s="61"/>
      <c r="CV113" s="61"/>
      <c r="CW113" s="61"/>
      <c r="CX113" s="61"/>
      <c r="CY113" s="61"/>
      <c r="CZ113" s="61"/>
      <c r="DA113" s="61"/>
      <c r="DB113" s="61"/>
      <c r="DC113" s="61"/>
      <c r="DD113" s="61"/>
      <c r="DE113" s="61"/>
      <c r="DF113" s="61"/>
      <c r="DG113" s="61"/>
      <c r="DH113" s="61"/>
      <c r="DI113" s="61"/>
      <c r="DJ113" s="61"/>
      <c r="DK113" s="61"/>
      <c r="DL113" s="61"/>
      <c r="DM113" s="61"/>
      <c r="DN113" s="61"/>
      <c r="DO113" s="61"/>
      <c r="DP113" s="61"/>
      <c r="DQ113" s="61"/>
      <c r="DR113" s="61"/>
      <c r="DS113" s="61"/>
      <c r="DT113" s="61"/>
      <c r="DU113" s="61"/>
      <c r="DV113" s="61"/>
      <c r="DW113" s="61"/>
      <c r="DX113" s="61"/>
      <c r="DY113" s="61"/>
      <c r="DZ113" s="61"/>
      <c r="EA113" s="61"/>
      <c r="EB113" s="61"/>
      <c r="EC113" s="61"/>
    </row>
    <row r="114" spans="1:133" s="1010" customFormat="1">
      <c r="A114" s="1376" t="s">
        <v>68</v>
      </c>
      <c r="B114" s="1000"/>
      <c r="C114" s="1336" t="s">
        <v>78</v>
      </c>
      <c r="D114" s="1351"/>
      <c r="E114" s="1351"/>
      <c r="F114" s="1351"/>
      <c r="G114" s="1352"/>
      <c r="H114" s="1353"/>
      <c r="I114" s="1303">
        <v>7.24</v>
      </c>
      <c r="J114" s="1351">
        <v>7.36</v>
      </c>
      <c r="K114" s="1204">
        <v>7.62</v>
      </c>
      <c r="L114" s="1401">
        <v>7.3250000000000002</v>
      </c>
      <c r="M114" s="1126">
        <v>7.32</v>
      </c>
      <c r="N114" s="1126">
        <v>7.39</v>
      </c>
      <c r="O114" s="1208">
        <v>7.71</v>
      </c>
      <c r="P114" s="1046">
        <v>5.99</v>
      </c>
      <c r="Q114" s="1126">
        <v>7.5750000000000002</v>
      </c>
      <c r="R114" s="2904">
        <v>7.81</v>
      </c>
      <c r="S114" s="2905">
        <v>7.87</v>
      </c>
      <c r="T114" s="2905">
        <v>7.45</v>
      </c>
      <c r="U114" s="1128">
        <v>7.57</v>
      </c>
      <c r="V114" s="1128">
        <v>7.56</v>
      </c>
      <c r="W114" s="1128"/>
      <c r="X114" s="3162">
        <v>8.1199999999999992</v>
      </c>
      <c r="Y114" s="3023">
        <v>7.47</v>
      </c>
      <c r="Z114" s="3023">
        <v>7.37</v>
      </c>
      <c r="AA114" s="3023">
        <v>7.75</v>
      </c>
      <c r="AB114" s="3023">
        <v>6.93</v>
      </c>
      <c r="AC114" s="3023"/>
      <c r="AD114" s="3023"/>
      <c r="AE114" s="3023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/>
      <c r="CI114" s="61"/>
      <c r="CJ114" s="61"/>
      <c r="CK114" s="61"/>
      <c r="CL114" s="61"/>
      <c r="CM114" s="61"/>
      <c r="CN114" s="61"/>
      <c r="CO114" s="61"/>
      <c r="CP114" s="61"/>
      <c r="CQ114" s="61"/>
      <c r="CR114" s="61"/>
      <c r="CS114" s="61"/>
      <c r="CT114" s="61"/>
      <c r="CU114" s="61"/>
      <c r="CV114" s="61"/>
      <c r="CW114" s="61"/>
      <c r="CX114" s="61"/>
      <c r="CY114" s="61"/>
      <c r="CZ114" s="61"/>
      <c r="DA114" s="61"/>
      <c r="DB114" s="61"/>
      <c r="DC114" s="61"/>
      <c r="DD114" s="61"/>
      <c r="DE114" s="61"/>
      <c r="DF114" s="61"/>
      <c r="DG114" s="61"/>
      <c r="DH114" s="61"/>
      <c r="DI114" s="61"/>
      <c r="DJ114" s="61"/>
      <c r="DK114" s="61"/>
      <c r="DL114" s="61"/>
      <c r="DM114" s="61"/>
      <c r="DN114" s="61"/>
      <c r="DO114" s="61"/>
      <c r="DP114" s="61"/>
      <c r="DQ114" s="61"/>
      <c r="DR114" s="61"/>
      <c r="DS114" s="61"/>
      <c r="DT114" s="61"/>
      <c r="DU114" s="61"/>
      <c r="DV114" s="61"/>
      <c r="DW114" s="61"/>
      <c r="DX114" s="61"/>
      <c r="DY114" s="61"/>
      <c r="DZ114" s="61"/>
      <c r="EA114" s="61"/>
      <c r="EB114" s="61"/>
      <c r="EC114" s="61"/>
    </row>
    <row r="115" spans="1:133" s="1010" customFormat="1">
      <c r="A115" s="1376" t="s">
        <v>68</v>
      </c>
      <c r="B115" s="1000"/>
      <c r="C115" s="1336" t="s">
        <v>69</v>
      </c>
      <c r="D115" s="1351"/>
      <c r="E115" s="1351"/>
      <c r="F115" s="1351"/>
      <c r="G115" s="1352"/>
      <c r="H115" s="1353"/>
      <c r="I115" s="1303">
        <v>7.45</v>
      </c>
      <c r="J115" s="1351">
        <v>7.43</v>
      </c>
      <c r="K115" s="1204">
        <v>7.83</v>
      </c>
      <c r="L115" s="1401">
        <v>8.0299999999999994</v>
      </c>
      <c r="M115" s="1126">
        <v>8.0299999999999994</v>
      </c>
      <c r="N115" s="1126">
        <v>7.56</v>
      </c>
      <c r="O115" s="1208">
        <v>8.09</v>
      </c>
      <c r="P115" s="1046">
        <v>7.76</v>
      </c>
      <c r="Q115" s="1126">
        <v>7.79</v>
      </c>
      <c r="R115" s="2904">
        <v>7.99</v>
      </c>
      <c r="S115" s="2905">
        <v>8.39</v>
      </c>
      <c r="T115" s="2905">
        <v>2.67</v>
      </c>
      <c r="U115" s="1128">
        <v>8.06</v>
      </c>
      <c r="V115" s="1128">
        <v>8.3699999999999992</v>
      </c>
      <c r="W115" s="1128"/>
      <c r="X115" s="3162">
        <v>7.59</v>
      </c>
      <c r="Y115" s="3023">
        <v>8.5299999999999994</v>
      </c>
      <c r="Z115" s="3023">
        <v>7.65</v>
      </c>
      <c r="AA115" s="3023">
        <v>8.2125000000000004</v>
      </c>
      <c r="AB115" s="3023">
        <v>7.69</v>
      </c>
      <c r="AC115" s="3023"/>
      <c r="AD115" s="3023"/>
      <c r="AE115" s="3023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1"/>
      <c r="CE115" s="61"/>
      <c r="CF115" s="61"/>
      <c r="CG115" s="61"/>
      <c r="CH115" s="61"/>
      <c r="CI115" s="61"/>
      <c r="CJ115" s="61"/>
      <c r="CK115" s="61"/>
      <c r="CL115" s="61"/>
      <c r="CM115" s="61"/>
      <c r="CN115" s="61"/>
      <c r="CO115" s="61"/>
      <c r="CP115" s="61"/>
      <c r="CQ115" s="61"/>
      <c r="CR115" s="61"/>
      <c r="CS115" s="61"/>
      <c r="CT115" s="61"/>
      <c r="CU115" s="61"/>
      <c r="CV115" s="61"/>
      <c r="CW115" s="61"/>
      <c r="CX115" s="61"/>
      <c r="CY115" s="61"/>
      <c r="CZ115" s="61"/>
      <c r="DA115" s="61"/>
      <c r="DB115" s="61"/>
      <c r="DC115" s="61"/>
      <c r="DD115" s="61"/>
      <c r="DE115" s="61"/>
      <c r="DF115" s="61"/>
      <c r="DG115" s="61"/>
      <c r="DH115" s="61"/>
      <c r="DI115" s="61"/>
      <c r="DJ115" s="61"/>
      <c r="DK115" s="61"/>
      <c r="DL115" s="61"/>
      <c r="DM115" s="61"/>
      <c r="DN115" s="61"/>
      <c r="DO115" s="61"/>
      <c r="DP115" s="61"/>
      <c r="DQ115" s="61"/>
      <c r="DR115" s="61"/>
      <c r="DS115" s="61"/>
      <c r="DT115" s="61"/>
      <c r="DU115" s="61"/>
      <c r="DV115" s="61"/>
      <c r="DW115" s="61"/>
      <c r="DX115" s="61"/>
      <c r="DY115" s="61"/>
      <c r="DZ115" s="61"/>
      <c r="EA115" s="61"/>
      <c r="EB115" s="61"/>
      <c r="EC115" s="61"/>
    </row>
    <row r="116" spans="1:133" ht="15" customHeight="1">
      <c r="A116" s="1376" t="s">
        <v>68</v>
      </c>
      <c r="B116" s="1000"/>
      <c r="C116" s="1336" t="s">
        <v>75</v>
      </c>
      <c r="D116" s="1351"/>
      <c r="E116" s="1351"/>
      <c r="F116" s="1351"/>
      <c r="G116" s="1352"/>
      <c r="H116" s="1353"/>
      <c r="I116" s="1303">
        <v>7.27</v>
      </c>
      <c r="J116" s="1351">
        <v>7.44</v>
      </c>
      <c r="K116" s="1204">
        <v>7.62</v>
      </c>
      <c r="L116" s="1401">
        <v>7.6349999999999998</v>
      </c>
      <c r="M116" s="1126">
        <v>7.63</v>
      </c>
      <c r="N116" s="1126">
        <v>7.54</v>
      </c>
      <c r="O116" s="1208">
        <v>7.74</v>
      </c>
      <c r="P116" s="1046">
        <v>7.64</v>
      </c>
      <c r="Q116" s="1126">
        <v>7.78</v>
      </c>
      <c r="R116" s="2904">
        <v>7.85</v>
      </c>
      <c r="S116" s="2905">
        <v>8.2100000000000009</v>
      </c>
      <c r="T116" s="2905">
        <v>8.1300000000000008</v>
      </c>
      <c r="U116" s="1128">
        <v>8.15</v>
      </c>
      <c r="V116" s="1128">
        <v>8.25</v>
      </c>
      <c r="W116" s="1128"/>
      <c r="X116" s="3162">
        <v>7.58</v>
      </c>
      <c r="Y116" s="3023">
        <v>8.3800000000000008</v>
      </c>
      <c r="Z116" s="3023">
        <v>7.51</v>
      </c>
      <c r="AA116" s="3023">
        <f>AVERAGE(8.0975,8.105,7.96)</f>
        <v>8.0541666666666671</v>
      </c>
      <c r="AB116" s="3023"/>
      <c r="AC116" s="3023"/>
      <c r="AD116" s="3023"/>
      <c r="AE116" s="3023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/>
      <c r="CI116" s="61"/>
      <c r="CJ116" s="61"/>
      <c r="CK116" s="61"/>
      <c r="CL116" s="61"/>
      <c r="CM116" s="61"/>
      <c r="CN116" s="61"/>
      <c r="CO116" s="61"/>
      <c r="CP116" s="61"/>
      <c r="CQ116" s="61"/>
      <c r="CR116" s="61"/>
      <c r="CS116" s="61"/>
      <c r="CT116" s="61"/>
      <c r="CU116" s="61"/>
      <c r="CV116" s="61"/>
      <c r="CW116" s="61"/>
      <c r="CX116" s="61"/>
      <c r="CY116" s="61"/>
      <c r="CZ116" s="61"/>
      <c r="DA116" s="61"/>
      <c r="DB116" s="61"/>
      <c r="DC116" s="61"/>
      <c r="DD116" s="61"/>
      <c r="DE116" s="61"/>
      <c r="DF116" s="61"/>
      <c r="DG116" s="61"/>
      <c r="DH116" s="61"/>
      <c r="DI116" s="61"/>
      <c r="DJ116" s="61"/>
      <c r="DK116" s="61"/>
      <c r="DL116" s="61"/>
      <c r="DM116" s="61"/>
      <c r="DN116" s="61"/>
      <c r="DO116" s="61"/>
      <c r="DP116" s="61"/>
      <c r="DQ116" s="61"/>
      <c r="DR116" s="61"/>
      <c r="DS116" s="61"/>
      <c r="DT116" s="61"/>
      <c r="DU116" s="61"/>
      <c r="DV116" s="61"/>
      <c r="DW116" s="61"/>
      <c r="DX116" s="61"/>
      <c r="DY116" s="61"/>
      <c r="DZ116" s="61"/>
      <c r="EA116" s="61"/>
      <c r="EB116" s="61"/>
      <c r="EC116" s="61"/>
    </row>
    <row r="117" spans="1:133" ht="15" customHeight="1" thickBot="1">
      <c r="A117" s="1378" t="s">
        <v>68</v>
      </c>
      <c r="B117" s="1001"/>
      <c r="C117" s="1338" t="s">
        <v>73</v>
      </c>
      <c r="D117" s="1356"/>
      <c r="E117" s="1356"/>
      <c r="F117" s="1356"/>
      <c r="G117" s="1357"/>
      <c r="H117" s="1358"/>
      <c r="I117" s="1312">
        <v>7.67</v>
      </c>
      <c r="J117" s="1356">
        <v>7.65</v>
      </c>
      <c r="K117" s="1206">
        <v>7.79</v>
      </c>
      <c r="L117" s="1402">
        <v>7.8650000000000002</v>
      </c>
      <c r="M117" s="1136">
        <v>7.86</v>
      </c>
      <c r="N117" s="1136">
        <v>7.67</v>
      </c>
      <c r="O117" s="1209">
        <v>8.2899999999999991</v>
      </c>
      <c r="P117" s="886">
        <v>8.1300000000000008</v>
      </c>
      <c r="Q117" s="1136">
        <v>7.8849999999999998</v>
      </c>
      <c r="R117" s="2906">
        <v>7.89</v>
      </c>
      <c r="S117" s="2907">
        <v>8.33</v>
      </c>
      <c r="T117" s="2907">
        <v>8.36</v>
      </c>
      <c r="U117" s="634">
        <v>8.18</v>
      </c>
      <c r="V117" s="634">
        <v>8.23</v>
      </c>
      <c r="W117" s="634"/>
      <c r="X117" s="3163">
        <v>8.06</v>
      </c>
      <c r="Y117" s="2928"/>
      <c r="Z117" s="2928">
        <v>7.39</v>
      </c>
      <c r="AA117" s="2928">
        <v>7.9050000000000002</v>
      </c>
      <c r="AB117" s="2928" t="s">
        <v>336</v>
      </c>
      <c r="AC117" s="2928"/>
      <c r="AD117" s="2928"/>
      <c r="AE117" s="2928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/>
      <c r="CH117" s="61"/>
      <c r="CI117" s="61"/>
      <c r="CJ117" s="61"/>
      <c r="CK117" s="61"/>
      <c r="CL117" s="61"/>
      <c r="CM117" s="61"/>
      <c r="CN117" s="61"/>
      <c r="CO117" s="61"/>
      <c r="CP117" s="61"/>
      <c r="CQ117" s="61"/>
      <c r="CR117" s="61"/>
      <c r="CS117" s="61"/>
      <c r="CT117" s="61"/>
      <c r="CU117" s="61"/>
      <c r="CV117" s="61"/>
      <c r="CW117" s="61"/>
      <c r="CX117" s="61"/>
      <c r="CY117" s="61"/>
      <c r="CZ117" s="61"/>
      <c r="DA117" s="61"/>
      <c r="DB117" s="61"/>
      <c r="DC117" s="61"/>
      <c r="DD117" s="61"/>
      <c r="DE117" s="61"/>
      <c r="DF117" s="61"/>
      <c r="DG117" s="61"/>
      <c r="DH117" s="61"/>
      <c r="DI117" s="61"/>
      <c r="DJ117" s="61"/>
      <c r="DK117" s="61"/>
      <c r="DL117" s="61"/>
      <c r="DM117" s="61"/>
      <c r="DN117" s="61"/>
      <c r="DO117" s="61"/>
      <c r="DP117" s="61"/>
      <c r="DQ117" s="61"/>
      <c r="DR117" s="61"/>
      <c r="DS117" s="61"/>
      <c r="DT117" s="61"/>
      <c r="DU117" s="61"/>
      <c r="DV117" s="61"/>
      <c r="DW117" s="61"/>
      <c r="DX117" s="61"/>
      <c r="DY117" s="61"/>
      <c r="DZ117" s="61"/>
      <c r="EA117" s="61"/>
      <c r="EB117" s="61"/>
      <c r="EC117" s="61"/>
    </row>
    <row r="118" spans="1:133">
      <c r="A118" s="1037" t="s">
        <v>70</v>
      </c>
      <c r="B118" s="1377">
        <f>COUNTA(C118:C122)</f>
        <v>5</v>
      </c>
      <c r="C118" s="1360" t="s">
        <v>192</v>
      </c>
      <c r="D118" s="1292">
        <v>8.26</v>
      </c>
      <c r="E118" s="1295">
        <v>6.99</v>
      </c>
      <c r="F118" s="1295">
        <v>7.26</v>
      </c>
      <c r="G118" s="1335">
        <v>7.07</v>
      </c>
      <c r="H118" s="1331">
        <v>8.0299999999999994</v>
      </c>
      <c r="I118" s="1292">
        <v>7.63</v>
      </c>
      <c r="J118" s="1348">
        <v>7.15</v>
      </c>
      <c r="K118" s="1381">
        <v>8.01</v>
      </c>
      <c r="L118" s="1117">
        <v>7.65</v>
      </c>
      <c r="M118" s="1118">
        <v>7.92</v>
      </c>
      <c r="N118" s="1118">
        <v>7.42</v>
      </c>
      <c r="O118" s="1207">
        <v>8.34</v>
      </c>
      <c r="P118" s="1241">
        <v>8.23</v>
      </c>
      <c r="Q118" s="1118">
        <v>7.96</v>
      </c>
      <c r="R118" s="2894">
        <v>7.83</v>
      </c>
      <c r="S118" s="2895">
        <v>8.34</v>
      </c>
      <c r="T118" s="2895">
        <v>8.36</v>
      </c>
      <c r="U118" s="1120">
        <v>8.15</v>
      </c>
      <c r="V118" s="1120">
        <v>8.25</v>
      </c>
      <c r="W118" s="1120"/>
      <c r="X118" s="3162">
        <v>8.3000000000000007</v>
      </c>
      <c r="Y118" s="2926">
        <v>7.53</v>
      </c>
      <c r="Z118" s="2926">
        <v>7.44</v>
      </c>
      <c r="AA118" s="2926">
        <v>7.9050000000000002</v>
      </c>
      <c r="AB118" s="2926">
        <v>8.07</v>
      </c>
      <c r="AC118" s="2926"/>
      <c r="AD118" s="2926"/>
      <c r="AE118" s="2926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1"/>
      <c r="CE118" s="61"/>
      <c r="CF118" s="61"/>
      <c r="CG118" s="61"/>
      <c r="CH118" s="61"/>
      <c r="CI118" s="61"/>
      <c r="CJ118" s="61"/>
      <c r="CK118" s="61"/>
      <c r="CL118" s="61"/>
      <c r="CM118" s="61"/>
      <c r="CN118" s="61"/>
      <c r="CO118" s="61"/>
      <c r="CP118" s="61"/>
      <c r="CQ118" s="61"/>
      <c r="CR118" s="61"/>
      <c r="CS118" s="61"/>
      <c r="CT118" s="61"/>
      <c r="CU118" s="61"/>
      <c r="CV118" s="61"/>
      <c r="CW118" s="61"/>
      <c r="CX118" s="61"/>
      <c r="CY118" s="61"/>
      <c r="CZ118" s="61"/>
      <c r="DA118" s="61"/>
      <c r="DB118" s="61"/>
      <c r="DC118" s="61"/>
      <c r="DD118" s="61"/>
      <c r="DE118" s="61"/>
      <c r="DF118" s="61"/>
      <c r="DG118" s="61"/>
      <c r="DH118" s="61"/>
      <c r="DI118" s="61"/>
      <c r="DJ118" s="61"/>
      <c r="DK118" s="61"/>
      <c r="DL118" s="61"/>
      <c r="DM118" s="61"/>
      <c r="DN118" s="61"/>
      <c r="DO118" s="61"/>
      <c r="DP118" s="61"/>
      <c r="DQ118" s="61"/>
      <c r="DR118" s="61"/>
      <c r="DS118" s="61"/>
      <c r="DT118" s="61"/>
      <c r="DU118" s="61"/>
      <c r="DV118" s="61"/>
      <c r="DW118" s="61"/>
      <c r="DX118" s="61"/>
      <c r="DY118" s="61"/>
      <c r="DZ118" s="61"/>
      <c r="EA118" s="61"/>
      <c r="EB118" s="61"/>
      <c r="EC118" s="61"/>
    </row>
    <row r="119" spans="1:133" ht="15" customHeight="1">
      <c r="A119" s="1376" t="s">
        <v>70</v>
      </c>
      <c r="B119" s="1000"/>
      <c r="C119" s="1362" t="s">
        <v>281</v>
      </c>
      <c r="D119" s="1300">
        <v>7.05</v>
      </c>
      <c r="E119" s="1303">
        <v>7.25</v>
      </c>
      <c r="F119" s="1303">
        <v>7.17</v>
      </c>
      <c r="G119" s="1337">
        <v>6.9</v>
      </c>
      <c r="H119" s="1332">
        <v>7.43</v>
      </c>
      <c r="I119" s="1300">
        <v>7.47</v>
      </c>
      <c r="J119" s="1351">
        <v>7.0750000000000002</v>
      </c>
      <c r="K119" s="1382">
        <v>7.82</v>
      </c>
      <c r="L119" s="1125">
        <v>7.6050000000000004</v>
      </c>
      <c r="M119" s="1126">
        <v>7.75</v>
      </c>
      <c r="N119" s="1126">
        <v>7.37</v>
      </c>
      <c r="O119" s="1208">
        <v>8.0399999999999991</v>
      </c>
      <c r="P119" s="1183">
        <v>7.95</v>
      </c>
      <c r="Q119" s="1126">
        <v>7.7649999999999997</v>
      </c>
      <c r="R119" s="2904">
        <v>7.84</v>
      </c>
      <c r="S119" s="2905">
        <v>8.15</v>
      </c>
      <c r="T119" s="2905">
        <v>8.26</v>
      </c>
      <c r="U119" s="1128">
        <v>8.07</v>
      </c>
      <c r="V119" s="1128">
        <v>8.31</v>
      </c>
      <c r="W119" s="1128"/>
      <c r="X119" s="3162">
        <v>7.69</v>
      </c>
      <c r="Y119" s="2927">
        <v>7.61</v>
      </c>
      <c r="Z119" s="2927">
        <v>7.47</v>
      </c>
      <c r="AA119" s="2927">
        <v>7.5724999999999998</v>
      </c>
      <c r="AB119" s="2927">
        <v>8.17</v>
      </c>
      <c r="AC119" s="2927"/>
      <c r="AD119" s="2927"/>
      <c r="AE119" s="2927"/>
      <c r="AF119" s="61"/>
      <c r="AG119" s="61"/>
      <c r="AH119" s="13"/>
      <c r="AI119" s="13"/>
      <c r="AJ119" s="61"/>
      <c r="AK119" s="61"/>
      <c r="AL119" s="61"/>
      <c r="AM119" s="61"/>
      <c r="AN119" s="61"/>
      <c r="AO119" s="61"/>
      <c r="AP119" s="61"/>
      <c r="AQ119" s="61"/>
      <c r="AR119" s="13"/>
      <c r="AS119" s="13"/>
      <c r="AT119" s="61"/>
      <c r="AU119" s="61"/>
      <c r="AV119" s="61"/>
      <c r="AW119" s="61"/>
      <c r="AX119" s="61"/>
      <c r="AY119" s="61"/>
      <c r="AZ119" s="61"/>
      <c r="BA119" s="61"/>
      <c r="BB119" s="13"/>
      <c r="BC119" s="13"/>
      <c r="BD119" s="61"/>
      <c r="BE119" s="61"/>
      <c r="BF119" s="61"/>
      <c r="BG119" s="61"/>
      <c r="BH119" s="61"/>
      <c r="BI119" s="61"/>
      <c r="BJ119" s="61"/>
      <c r="BK119" s="61"/>
      <c r="BL119" s="13"/>
      <c r="BM119" s="13"/>
      <c r="BN119" s="61"/>
      <c r="BO119" s="61"/>
      <c r="BP119" s="61"/>
      <c r="BQ119" s="61"/>
      <c r="BR119" s="61"/>
      <c r="BS119" s="61"/>
      <c r="BT119" s="61"/>
      <c r="BU119" s="13"/>
      <c r="BV119" s="13"/>
      <c r="BW119" s="61"/>
      <c r="BX119" s="61"/>
      <c r="BY119" s="61"/>
      <c r="BZ119" s="61"/>
      <c r="CA119" s="61"/>
      <c r="CB119" s="61"/>
      <c r="CC119" s="61"/>
      <c r="CD119" s="13"/>
      <c r="CE119" s="13"/>
      <c r="CF119" s="61"/>
      <c r="CG119" s="61"/>
      <c r="CH119" s="61"/>
      <c r="CI119" s="61"/>
      <c r="CJ119" s="61"/>
      <c r="CK119" s="61"/>
      <c r="CL119" s="61"/>
      <c r="CM119" s="61"/>
      <c r="CN119" s="61"/>
      <c r="CO119" s="61"/>
      <c r="CP119" s="61"/>
      <c r="CQ119" s="61"/>
      <c r="CR119" s="61"/>
      <c r="CS119" s="61"/>
      <c r="CT119" s="61"/>
      <c r="CU119" s="61"/>
      <c r="CV119" s="61"/>
      <c r="CW119" s="61"/>
      <c r="CX119" s="61"/>
      <c r="CY119" s="61"/>
      <c r="CZ119" s="61"/>
      <c r="DA119" s="61"/>
      <c r="DB119" s="61"/>
      <c r="DC119" s="61"/>
      <c r="DD119" s="61"/>
      <c r="DE119" s="61"/>
      <c r="DF119" s="61"/>
      <c r="DG119" s="61"/>
      <c r="DH119" s="61"/>
      <c r="DI119" s="61"/>
      <c r="DJ119" s="61"/>
      <c r="DK119" s="61"/>
      <c r="DL119" s="61"/>
      <c r="DM119" s="61"/>
      <c r="DN119" s="61"/>
      <c r="DO119" s="61"/>
      <c r="DP119" s="61"/>
      <c r="DQ119" s="61"/>
      <c r="DR119" s="61"/>
      <c r="DS119" s="61"/>
      <c r="DT119" s="61"/>
      <c r="DU119" s="61"/>
      <c r="DV119" s="61"/>
      <c r="DW119" s="61"/>
      <c r="DX119" s="61"/>
      <c r="DY119" s="61"/>
      <c r="DZ119" s="61"/>
      <c r="EA119" s="61"/>
      <c r="EB119" s="61"/>
      <c r="EC119" s="61"/>
    </row>
    <row r="120" spans="1:133">
      <c r="A120" s="1376" t="s">
        <v>70</v>
      </c>
      <c r="B120" s="1000"/>
      <c r="C120" s="1362" t="s">
        <v>270</v>
      </c>
      <c r="D120" s="1300">
        <v>7.56</v>
      </c>
      <c r="E120" s="1303">
        <v>7.67</v>
      </c>
      <c r="F120" s="1303">
        <v>7.04</v>
      </c>
      <c r="G120" s="1337">
        <v>6.85</v>
      </c>
      <c r="H120" s="1332">
        <v>7.37</v>
      </c>
      <c r="I120" s="1300">
        <v>6.63</v>
      </c>
      <c r="J120" s="1351">
        <v>7.02</v>
      </c>
      <c r="K120" s="1382">
        <v>7.53</v>
      </c>
      <c r="L120" s="1125">
        <v>7.5650000000000004</v>
      </c>
      <c r="M120" s="1126">
        <v>7.49</v>
      </c>
      <c r="N120" s="1126">
        <v>7.01</v>
      </c>
      <c r="O120" s="1208">
        <v>7.92</v>
      </c>
      <c r="P120" s="1183">
        <v>7.67</v>
      </c>
      <c r="Q120" s="1126">
        <v>7.1150000000000002</v>
      </c>
      <c r="R120" s="2904">
        <v>7.38</v>
      </c>
      <c r="S120" s="2905">
        <v>8.4</v>
      </c>
      <c r="T120" s="2905">
        <v>8.19</v>
      </c>
      <c r="U120" s="1128">
        <v>7.93</v>
      </c>
      <c r="V120" s="1128">
        <v>8.2799999999999994</v>
      </c>
      <c r="W120" s="1128"/>
      <c r="X120" s="3162">
        <v>6.5</v>
      </c>
      <c r="Y120" s="2927">
        <v>7.36</v>
      </c>
      <c r="Z120" s="2927">
        <v>7.43</v>
      </c>
      <c r="AA120" s="2927">
        <v>7.2450000000000001</v>
      </c>
      <c r="AB120" s="2927">
        <v>7.76</v>
      </c>
      <c r="AC120" s="2927"/>
      <c r="AD120" s="2927"/>
      <c r="AE120" s="2927"/>
      <c r="AF120" s="61"/>
      <c r="AG120" s="61"/>
      <c r="AH120" s="14"/>
      <c r="AI120" s="14"/>
      <c r="AJ120" s="61"/>
      <c r="AK120" s="61"/>
      <c r="AL120" s="61"/>
      <c r="AM120" s="28"/>
      <c r="AN120" s="61"/>
      <c r="AO120" s="61"/>
      <c r="AP120" s="61"/>
      <c r="AQ120" s="61"/>
      <c r="AR120" s="14"/>
      <c r="AS120" s="14"/>
      <c r="AT120" s="61"/>
      <c r="AU120" s="61"/>
      <c r="AV120" s="61"/>
      <c r="AW120" s="28"/>
      <c r="AX120" s="61"/>
      <c r="AY120" s="61"/>
      <c r="AZ120" s="61"/>
      <c r="BA120" s="61"/>
      <c r="BB120" s="14"/>
      <c r="BC120" s="14"/>
      <c r="BD120" s="61"/>
      <c r="BE120" s="61"/>
      <c r="BF120" s="61"/>
      <c r="BG120" s="28"/>
      <c r="BH120" s="61"/>
      <c r="BI120" s="61"/>
      <c r="BJ120" s="61"/>
      <c r="BK120" s="61"/>
      <c r="BL120" s="14"/>
      <c r="BM120" s="14"/>
      <c r="BN120" s="61"/>
      <c r="BO120" s="61"/>
      <c r="BP120" s="61"/>
      <c r="BQ120" s="28"/>
      <c r="BR120" s="61"/>
      <c r="BS120" s="61"/>
      <c r="BT120" s="61"/>
      <c r="BU120" s="14"/>
      <c r="BV120" s="14"/>
      <c r="BW120" s="61"/>
      <c r="BX120" s="61"/>
      <c r="BY120" s="61"/>
      <c r="BZ120" s="28"/>
      <c r="CA120" s="61"/>
      <c r="CB120" s="61"/>
      <c r="CC120" s="61"/>
      <c r="CD120" s="14"/>
      <c r="CE120" s="14"/>
      <c r="CF120" s="61"/>
      <c r="CG120" s="61"/>
      <c r="CH120" s="61"/>
      <c r="CI120" s="61"/>
      <c r="CJ120" s="61"/>
      <c r="CK120" s="61"/>
      <c r="CL120" s="61"/>
      <c r="CM120" s="61"/>
      <c r="CN120" s="61"/>
      <c r="CO120" s="61"/>
      <c r="CP120" s="61"/>
      <c r="CQ120" s="61"/>
      <c r="CR120" s="61"/>
      <c r="CS120" s="61"/>
      <c r="CT120" s="61"/>
      <c r="CU120" s="61"/>
      <c r="CV120" s="61"/>
      <c r="CW120" s="61"/>
      <c r="CX120" s="61"/>
      <c r="CY120" s="61"/>
      <c r="CZ120" s="61"/>
      <c r="DA120" s="61"/>
      <c r="DB120" s="61"/>
      <c r="DC120" s="61"/>
      <c r="DD120" s="61"/>
      <c r="DE120" s="61"/>
      <c r="DF120" s="61"/>
      <c r="DG120" s="61"/>
      <c r="DH120" s="61"/>
      <c r="DI120" s="61"/>
      <c r="DJ120" s="61"/>
      <c r="DK120" s="61"/>
      <c r="DL120" s="61"/>
      <c r="DM120" s="61"/>
      <c r="DN120" s="61"/>
      <c r="DO120" s="61"/>
      <c r="DP120" s="61"/>
      <c r="DQ120" s="61"/>
      <c r="DR120" s="61"/>
      <c r="DS120" s="61"/>
      <c r="DT120" s="61"/>
      <c r="DU120" s="61"/>
      <c r="DV120" s="61"/>
      <c r="DW120" s="61"/>
      <c r="DX120" s="61"/>
      <c r="DY120" s="61"/>
      <c r="DZ120" s="61"/>
      <c r="EA120" s="61"/>
      <c r="EB120" s="61"/>
      <c r="EC120" s="61"/>
    </row>
    <row r="121" spans="1:133">
      <c r="A121" s="1376" t="s">
        <v>70</v>
      </c>
      <c r="B121" s="1000"/>
      <c r="C121" s="1362" t="s">
        <v>71</v>
      </c>
      <c r="D121" s="1300">
        <v>7.11</v>
      </c>
      <c r="E121" s="1303">
        <v>7.54</v>
      </c>
      <c r="F121" s="1303">
        <v>7.26</v>
      </c>
      <c r="G121" s="1337">
        <v>7.2</v>
      </c>
      <c r="H121" s="1332">
        <v>7.79</v>
      </c>
      <c r="I121" s="1300">
        <v>7.55</v>
      </c>
      <c r="J121" s="1351">
        <v>7.14</v>
      </c>
      <c r="K121" s="1382">
        <v>7.25</v>
      </c>
      <c r="L121" s="1125">
        <v>7.04</v>
      </c>
      <c r="M121" s="1126">
        <v>7.88</v>
      </c>
      <c r="N121" s="1126">
        <v>7.25</v>
      </c>
      <c r="O121" s="1208">
        <v>8.19</v>
      </c>
      <c r="P121" s="1183">
        <v>7.6</v>
      </c>
      <c r="Q121" s="1126">
        <v>7.625</v>
      </c>
      <c r="R121" s="2904">
        <v>7.78</v>
      </c>
      <c r="S121" s="2905">
        <v>8.07</v>
      </c>
      <c r="T121" s="2905">
        <v>7.96</v>
      </c>
      <c r="U121" s="1128">
        <v>7.75</v>
      </c>
      <c r="V121" s="1128">
        <v>7.99</v>
      </c>
      <c r="W121" s="1128"/>
      <c r="X121" s="3162">
        <v>8.15</v>
      </c>
      <c r="Y121" s="2927">
        <v>7.88</v>
      </c>
      <c r="Z121" s="2927">
        <v>7.5</v>
      </c>
      <c r="AA121" s="2927">
        <v>7.95</v>
      </c>
      <c r="AB121" s="2927">
        <v>7.86</v>
      </c>
      <c r="AC121" s="2927"/>
      <c r="AD121" s="2927"/>
      <c r="AE121" s="2927"/>
      <c r="AF121" s="61"/>
      <c r="AG121" s="61"/>
      <c r="AH121" s="14"/>
      <c r="AI121" s="14"/>
      <c r="AJ121" s="61"/>
      <c r="AK121" s="61"/>
      <c r="AL121" s="61"/>
      <c r="AM121" s="61"/>
      <c r="AN121" s="61"/>
      <c r="AO121" s="61"/>
      <c r="AP121" s="61"/>
      <c r="AQ121" s="61"/>
      <c r="AR121" s="14"/>
      <c r="AS121" s="14"/>
      <c r="AT121" s="61"/>
      <c r="AU121" s="61"/>
      <c r="AV121" s="61"/>
      <c r="AW121" s="61"/>
      <c r="AX121" s="61"/>
      <c r="AY121" s="61"/>
      <c r="AZ121" s="61"/>
      <c r="BA121" s="61"/>
      <c r="BB121" s="14"/>
      <c r="BC121" s="14"/>
      <c r="BD121" s="61"/>
      <c r="BE121" s="61"/>
      <c r="BF121" s="61"/>
      <c r="BG121" s="61"/>
      <c r="BH121" s="61"/>
      <c r="BI121" s="61"/>
      <c r="BJ121" s="61"/>
      <c r="BK121" s="61"/>
      <c r="BL121" s="14"/>
      <c r="BM121" s="14"/>
      <c r="BN121" s="61"/>
      <c r="BO121" s="61"/>
      <c r="BP121" s="61"/>
      <c r="BQ121" s="61"/>
      <c r="BR121" s="61"/>
      <c r="BS121" s="61"/>
      <c r="BT121" s="61"/>
      <c r="BU121" s="14"/>
      <c r="BV121" s="14"/>
      <c r="BW121" s="61"/>
      <c r="BX121" s="61"/>
      <c r="BY121" s="61"/>
      <c r="BZ121" s="61"/>
      <c r="CA121" s="61"/>
      <c r="CB121" s="61"/>
      <c r="CC121" s="61"/>
      <c r="CD121" s="14"/>
      <c r="CE121" s="14"/>
      <c r="CF121" s="61"/>
      <c r="CG121" s="61"/>
      <c r="CH121" s="61"/>
      <c r="CI121" s="61"/>
      <c r="CJ121" s="61"/>
      <c r="CK121" s="61"/>
      <c r="CL121" s="61"/>
      <c r="CM121" s="61"/>
      <c r="CN121" s="61"/>
      <c r="CO121" s="61"/>
      <c r="CP121" s="61"/>
      <c r="CQ121" s="61"/>
      <c r="CR121" s="61"/>
      <c r="CS121" s="61"/>
      <c r="CT121" s="61"/>
      <c r="CU121" s="61"/>
      <c r="CV121" s="61"/>
      <c r="CW121" s="61"/>
      <c r="CX121" s="61"/>
      <c r="CY121" s="61"/>
      <c r="CZ121" s="61"/>
      <c r="DA121" s="61"/>
      <c r="DB121" s="61"/>
      <c r="DC121" s="61"/>
      <c r="DD121" s="61"/>
      <c r="DE121" s="61"/>
      <c r="DF121" s="61"/>
      <c r="DG121" s="61"/>
      <c r="DH121" s="61"/>
      <c r="DI121" s="61"/>
      <c r="DJ121" s="61"/>
      <c r="DK121" s="61"/>
      <c r="DL121" s="61"/>
      <c r="DM121" s="61"/>
      <c r="DN121" s="61"/>
      <c r="DO121" s="61"/>
      <c r="DP121" s="61"/>
      <c r="DQ121" s="61"/>
      <c r="DR121" s="61"/>
      <c r="DS121" s="61"/>
      <c r="DT121" s="61"/>
      <c r="DU121" s="61"/>
      <c r="DV121" s="61"/>
      <c r="DW121" s="61"/>
      <c r="DX121" s="61"/>
      <c r="DY121" s="61"/>
      <c r="DZ121" s="61"/>
      <c r="EA121" s="61"/>
      <c r="EB121" s="61"/>
      <c r="EC121" s="61"/>
    </row>
    <row r="122" spans="1:133" ht="15.75" thickBot="1">
      <c r="A122" s="1378" t="s">
        <v>70</v>
      </c>
      <c r="B122" s="1001"/>
      <c r="C122" s="1363" t="s">
        <v>81</v>
      </c>
      <c r="D122" s="1309">
        <v>8.01</v>
      </c>
      <c r="E122" s="1312">
        <v>5.92</v>
      </c>
      <c r="F122" s="1312">
        <v>7.32</v>
      </c>
      <c r="G122" s="1339">
        <v>6.69</v>
      </c>
      <c r="H122" s="1333">
        <v>7.36</v>
      </c>
      <c r="I122" s="1309">
        <v>6.37</v>
      </c>
      <c r="J122" s="1356">
        <v>6.86</v>
      </c>
      <c r="K122" s="1383">
        <v>7.58</v>
      </c>
      <c r="L122" s="1135">
        <v>7.66</v>
      </c>
      <c r="M122" s="1136">
        <v>7.63</v>
      </c>
      <c r="N122" s="1136">
        <v>6.59</v>
      </c>
      <c r="O122" s="1209">
        <v>7.43</v>
      </c>
      <c r="P122" s="1184">
        <v>7.23</v>
      </c>
      <c r="Q122" s="1136">
        <v>6.9050000000000002</v>
      </c>
      <c r="R122" s="2906">
        <v>7.27</v>
      </c>
      <c r="S122" s="2907">
        <v>8</v>
      </c>
      <c r="T122" s="2907">
        <v>7.91</v>
      </c>
      <c r="U122" s="634">
        <v>6.77</v>
      </c>
      <c r="V122" s="634">
        <v>7.27</v>
      </c>
      <c r="W122" s="634"/>
      <c r="X122" s="3163">
        <v>7.15</v>
      </c>
      <c r="Y122" s="3325">
        <v>7.46</v>
      </c>
      <c r="Z122" s="3325">
        <v>6.42</v>
      </c>
      <c r="AA122" s="3149">
        <v>7.3425000000000002</v>
      </c>
      <c r="AB122" s="3149">
        <v>6.19</v>
      </c>
      <c r="AC122" s="3149"/>
      <c r="AD122" s="3149"/>
      <c r="AE122" s="3149"/>
      <c r="AF122" s="61"/>
      <c r="AG122" s="61"/>
      <c r="AH122" s="14"/>
      <c r="AI122" s="14"/>
      <c r="AJ122" s="61"/>
      <c r="AK122" s="61"/>
      <c r="AL122" s="61"/>
      <c r="AM122" s="61"/>
      <c r="AN122" s="61"/>
      <c r="AO122" s="61"/>
      <c r="AP122" s="61"/>
      <c r="AQ122" s="61"/>
      <c r="AR122" s="14"/>
      <c r="AS122" s="14"/>
      <c r="AT122" s="61"/>
      <c r="AU122" s="61"/>
      <c r="AV122" s="61"/>
      <c r="AW122" s="61"/>
      <c r="AX122" s="61"/>
      <c r="AY122" s="61"/>
      <c r="AZ122" s="61"/>
      <c r="BA122" s="61"/>
      <c r="BB122" s="14"/>
      <c r="BC122" s="14"/>
      <c r="BD122" s="61"/>
      <c r="BE122" s="61"/>
      <c r="BF122" s="61"/>
      <c r="BG122" s="61"/>
      <c r="BH122" s="61"/>
      <c r="BI122" s="61"/>
      <c r="BJ122" s="61"/>
      <c r="BK122" s="61"/>
      <c r="BL122" s="14"/>
      <c r="BM122" s="14"/>
      <c r="BN122" s="61"/>
      <c r="BO122" s="61"/>
      <c r="BP122" s="61"/>
      <c r="BQ122" s="61"/>
      <c r="BR122" s="61"/>
      <c r="BS122" s="61"/>
      <c r="BT122" s="61"/>
      <c r="BU122" s="14"/>
      <c r="BV122" s="14"/>
      <c r="BW122" s="61"/>
      <c r="BX122" s="61"/>
      <c r="BY122" s="61"/>
      <c r="BZ122" s="61"/>
      <c r="CA122" s="61"/>
      <c r="CB122" s="61"/>
      <c r="CC122" s="61"/>
      <c r="CD122" s="14"/>
      <c r="CE122" s="14"/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  <c r="CP122" s="61"/>
      <c r="CQ122" s="61"/>
      <c r="CR122" s="61"/>
      <c r="CS122" s="61"/>
      <c r="CT122" s="61"/>
      <c r="CU122" s="61"/>
      <c r="CV122" s="61"/>
      <c r="CW122" s="61"/>
      <c r="CX122" s="61"/>
      <c r="CY122" s="61"/>
      <c r="CZ122" s="61"/>
      <c r="DA122" s="61"/>
      <c r="DB122" s="61"/>
      <c r="DC122" s="61"/>
      <c r="DD122" s="61"/>
      <c r="DE122" s="61"/>
      <c r="DF122" s="61"/>
      <c r="DG122" s="61"/>
      <c r="DH122" s="61"/>
      <c r="DI122" s="61"/>
      <c r="DJ122" s="61"/>
      <c r="DK122" s="61"/>
      <c r="DL122" s="61"/>
      <c r="DM122" s="61"/>
      <c r="DN122" s="61"/>
      <c r="DO122" s="61"/>
      <c r="DP122" s="61"/>
      <c r="DQ122" s="61"/>
      <c r="DR122" s="61"/>
      <c r="DS122" s="61"/>
      <c r="DT122" s="61"/>
      <c r="DU122" s="61"/>
      <c r="DV122" s="61"/>
      <c r="DW122" s="61"/>
      <c r="DX122" s="61"/>
      <c r="DY122" s="61"/>
      <c r="DZ122" s="61"/>
      <c r="EA122" s="61"/>
      <c r="EB122" s="61"/>
      <c r="EC122" s="61"/>
    </row>
    <row r="123" spans="1:133">
      <c r="A123" s="114"/>
      <c r="B123" s="114">
        <f>SUM(B99:B122)</f>
        <v>26</v>
      </c>
      <c r="C123" s="775" t="s">
        <v>285</v>
      </c>
      <c r="D123" s="1025">
        <f t="shared" ref="D123:Y123" si="21">COUNTIFS(D99:D122,"&gt;=6",D99:D122,"&lt;=8.5")</f>
        <v>14</v>
      </c>
      <c r="E123" s="1025">
        <f t="shared" si="21"/>
        <v>13</v>
      </c>
      <c r="F123" s="1025">
        <f t="shared" si="21"/>
        <v>14</v>
      </c>
      <c r="G123" s="1025">
        <f t="shared" si="21"/>
        <v>14</v>
      </c>
      <c r="H123" s="1025">
        <f t="shared" si="21"/>
        <v>14</v>
      </c>
      <c r="I123" s="1025">
        <f t="shared" si="21"/>
        <v>19</v>
      </c>
      <c r="J123" s="1025">
        <f t="shared" si="21"/>
        <v>19</v>
      </c>
      <c r="K123" s="1025">
        <f t="shared" si="21"/>
        <v>19</v>
      </c>
      <c r="L123" s="1025">
        <f t="shared" si="21"/>
        <v>22</v>
      </c>
      <c r="M123" s="1025">
        <f t="shared" si="21"/>
        <v>24</v>
      </c>
      <c r="N123" s="1025">
        <f t="shared" si="21"/>
        <v>24</v>
      </c>
      <c r="O123" s="1025">
        <f t="shared" si="21"/>
        <v>24</v>
      </c>
      <c r="P123" s="1025">
        <f t="shared" si="21"/>
        <v>23</v>
      </c>
      <c r="Q123" s="1025">
        <f t="shared" si="21"/>
        <v>24</v>
      </c>
      <c r="R123" s="1025">
        <f t="shared" si="21"/>
        <v>24</v>
      </c>
      <c r="S123" s="1025">
        <f t="shared" si="21"/>
        <v>24</v>
      </c>
      <c r="T123" s="1025">
        <f t="shared" si="21"/>
        <v>23</v>
      </c>
      <c r="U123" s="1025">
        <f t="shared" si="21"/>
        <v>24</v>
      </c>
      <c r="V123" s="1025">
        <f t="shared" si="21"/>
        <v>23</v>
      </c>
      <c r="W123" s="1025">
        <f t="shared" si="21"/>
        <v>0</v>
      </c>
      <c r="X123" s="1025">
        <f t="shared" si="21"/>
        <v>24</v>
      </c>
      <c r="Y123" s="1025">
        <f t="shared" si="21"/>
        <v>22</v>
      </c>
      <c r="Z123" s="1025">
        <f>COUNTIFS(Z99:Z122,"&gt;=6.5",Z99:Z122,"&lt;=9.0")</f>
        <v>22</v>
      </c>
      <c r="AA123" s="1025">
        <f>COUNTIFS(AA99:AA122,"&gt;=6.5",AA99:AA122,"&lt;=9.0")</f>
        <v>24</v>
      </c>
      <c r="AB123" s="1025">
        <f t="shared" ref="AB123:AE123" si="22">COUNTIFS(AB99:AB122,"&gt;=6.5",AB99:AB122,"&lt;=9.0")</f>
        <v>21</v>
      </c>
      <c r="AC123" s="1025">
        <f t="shared" si="22"/>
        <v>0</v>
      </c>
      <c r="AD123" s="1025">
        <f t="shared" si="22"/>
        <v>0</v>
      </c>
      <c r="AE123" s="1025">
        <f t="shared" si="22"/>
        <v>0</v>
      </c>
      <c r="AF123" s="61"/>
      <c r="AG123" s="61"/>
      <c r="AH123" s="14"/>
      <c r="AI123" s="14"/>
      <c r="AJ123" s="61"/>
      <c r="AK123" s="61"/>
      <c r="AL123" s="61"/>
      <c r="AM123" s="61"/>
      <c r="AN123" s="61"/>
      <c r="AO123" s="61"/>
      <c r="AP123" s="61"/>
      <c r="AQ123" s="61"/>
      <c r="AR123" s="14"/>
      <c r="AS123" s="14"/>
      <c r="AT123" s="61"/>
      <c r="AU123" s="61"/>
      <c r="AV123" s="61"/>
      <c r="AW123" s="61"/>
      <c r="AX123" s="61"/>
      <c r="AY123" s="61"/>
      <c r="AZ123" s="61"/>
      <c r="BA123" s="61"/>
      <c r="BB123" s="14"/>
      <c r="BC123" s="14"/>
      <c r="BD123" s="61"/>
      <c r="BE123" s="61"/>
      <c r="BF123" s="61"/>
      <c r="BG123" s="61"/>
      <c r="BH123" s="61"/>
      <c r="BI123" s="61"/>
      <c r="BJ123" s="61"/>
      <c r="BK123" s="61"/>
      <c r="BL123" s="14"/>
      <c r="BM123" s="14"/>
      <c r="BN123" s="61"/>
      <c r="BO123" s="61"/>
      <c r="BP123" s="61"/>
      <c r="BQ123" s="61"/>
      <c r="BR123" s="61"/>
      <c r="BS123" s="61"/>
      <c r="BT123" s="61"/>
      <c r="BU123" s="14"/>
      <c r="BV123" s="14"/>
      <c r="BW123" s="61"/>
      <c r="BX123" s="61"/>
      <c r="BY123" s="61"/>
      <c r="BZ123" s="61"/>
      <c r="CA123" s="61"/>
      <c r="CB123" s="61"/>
      <c r="CC123" s="61"/>
      <c r="CD123" s="14"/>
      <c r="CE123" s="14"/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  <c r="CP123" s="61"/>
      <c r="CQ123" s="61"/>
      <c r="CR123" s="61"/>
      <c r="CS123" s="61"/>
      <c r="CT123" s="61"/>
      <c r="CU123" s="61"/>
      <c r="CV123" s="61"/>
      <c r="CW123" s="61"/>
      <c r="CX123" s="61"/>
      <c r="CY123" s="61"/>
      <c r="CZ123" s="61"/>
      <c r="DA123" s="61"/>
      <c r="DB123" s="61"/>
      <c r="DC123" s="61"/>
      <c r="DD123" s="61"/>
      <c r="DE123" s="61"/>
      <c r="DF123" s="61"/>
      <c r="DG123" s="61"/>
      <c r="DH123" s="61"/>
      <c r="DI123" s="61"/>
      <c r="DJ123" s="61"/>
      <c r="DK123" s="61"/>
      <c r="DL123" s="61"/>
      <c r="DM123" s="61"/>
      <c r="DN123" s="61"/>
      <c r="DO123" s="61"/>
      <c r="DP123" s="61"/>
      <c r="DQ123" s="61"/>
      <c r="DR123" s="61"/>
      <c r="DS123" s="61"/>
      <c r="DT123" s="61"/>
      <c r="DU123" s="61"/>
      <c r="DV123" s="61"/>
      <c r="DW123" s="61"/>
      <c r="DX123" s="61"/>
      <c r="DY123" s="61"/>
      <c r="DZ123" s="61"/>
      <c r="EA123" s="61"/>
      <c r="EB123" s="61"/>
      <c r="EC123" s="61"/>
    </row>
    <row r="124" spans="1:133">
      <c r="A124" s="114"/>
      <c r="B124" s="114"/>
      <c r="C124" s="775" t="s">
        <v>287</v>
      </c>
      <c r="D124" s="1027">
        <f>COUNT(D99:D122)</f>
        <v>14</v>
      </c>
      <c r="E124" s="1027">
        <f t="shared" ref="E124:Q124" si="23">COUNT(E99:E122)</f>
        <v>14</v>
      </c>
      <c r="F124" s="1027">
        <f t="shared" si="23"/>
        <v>14</v>
      </c>
      <c r="G124" s="1027">
        <f t="shared" si="23"/>
        <v>14</v>
      </c>
      <c r="H124" s="1027">
        <f t="shared" si="23"/>
        <v>14</v>
      </c>
      <c r="I124" s="1027">
        <f t="shared" si="23"/>
        <v>19</v>
      </c>
      <c r="J124" s="1027">
        <f t="shared" si="23"/>
        <v>19</v>
      </c>
      <c r="K124" s="1027">
        <f t="shared" si="23"/>
        <v>19</v>
      </c>
      <c r="L124" s="1027">
        <f t="shared" si="23"/>
        <v>24</v>
      </c>
      <c r="M124" s="1027">
        <f t="shared" si="23"/>
        <v>24</v>
      </c>
      <c r="N124" s="1027">
        <f t="shared" si="23"/>
        <v>24</v>
      </c>
      <c r="O124" s="1027">
        <f t="shared" si="23"/>
        <v>24</v>
      </c>
      <c r="P124" s="1027">
        <f t="shared" si="23"/>
        <v>24</v>
      </c>
      <c r="Q124" s="1027">
        <f t="shared" si="23"/>
        <v>24</v>
      </c>
      <c r="R124" s="1027">
        <f>COUNT(R99:R122)</f>
        <v>24</v>
      </c>
      <c r="S124" s="1027">
        <f>COUNT(S99:S122)</f>
        <v>24</v>
      </c>
      <c r="T124" s="1027">
        <f>COUNT(T99:T122)</f>
        <v>24</v>
      </c>
      <c r="U124" s="1027">
        <f>COUNT(U99:U122)</f>
        <v>24</v>
      </c>
      <c r="V124" s="1027">
        <f t="shared" ref="V124:AA124" si="24">COUNT(V99:V122)</f>
        <v>23</v>
      </c>
      <c r="W124" s="1027">
        <f t="shared" si="24"/>
        <v>0</v>
      </c>
      <c r="X124" s="1027">
        <f t="shared" si="24"/>
        <v>24</v>
      </c>
      <c r="Y124" s="1027">
        <f t="shared" si="24"/>
        <v>23</v>
      </c>
      <c r="Z124" s="1027">
        <f t="shared" si="24"/>
        <v>23</v>
      </c>
      <c r="AA124" s="1027">
        <f t="shared" si="24"/>
        <v>24</v>
      </c>
      <c r="AB124" s="1027">
        <f t="shared" ref="AB124:AE124" si="25">COUNT(AB99:AB122)</f>
        <v>22</v>
      </c>
      <c r="AC124" s="1027">
        <f t="shared" si="25"/>
        <v>0</v>
      </c>
      <c r="AD124" s="1027">
        <f t="shared" si="25"/>
        <v>0</v>
      </c>
      <c r="AE124" s="1027">
        <f t="shared" si="25"/>
        <v>0</v>
      </c>
      <c r="AF124" s="163"/>
      <c r="AG124" s="163"/>
      <c r="AH124" s="14"/>
      <c r="AI124" s="14"/>
      <c r="AJ124" s="61"/>
      <c r="AK124" s="61"/>
      <c r="AL124" s="61"/>
      <c r="AM124" s="61"/>
      <c r="AN124" s="163"/>
      <c r="AO124" s="163"/>
      <c r="AP124" s="163"/>
      <c r="AQ124" s="163"/>
      <c r="AR124" s="14"/>
      <c r="AS124" s="14"/>
      <c r="AT124" s="61"/>
      <c r="AU124" s="61"/>
      <c r="AV124" s="61"/>
      <c r="AW124" s="61"/>
      <c r="AX124" s="163"/>
      <c r="AY124" s="163"/>
      <c r="AZ124" s="163"/>
      <c r="BA124" s="163"/>
      <c r="BB124" s="14"/>
      <c r="BC124" s="14"/>
      <c r="BD124" s="61"/>
      <c r="BE124" s="61"/>
      <c r="BF124" s="61"/>
      <c r="BG124" s="61"/>
      <c r="BH124" s="163"/>
      <c r="BI124" s="163"/>
      <c r="BJ124" s="163"/>
      <c r="BK124" s="163"/>
      <c r="BL124" s="14"/>
      <c r="BM124" s="14"/>
      <c r="BN124" s="61"/>
      <c r="BO124" s="61"/>
      <c r="BP124" s="61"/>
      <c r="BQ124" s="61"/>
      <c r="BR124" s="163"/>
      <c r="BS124" s="163"/>
      <c r="BT124" s="163"/>
      <c r="BU124" s="14"/>
      <c r="BV124" s="14"/>
      <c r="BW124" s="61"/>
      <c r="BX124" s="61"/>
      <c r="BY124" s="61"/>
      <c r="BZ124" s="61"/>
      <c r="CA124" s="163"/>
      <c r="CB124" s="163"/>
      <c r="CC124" s="163"/>
      <c r="CD124" s="14"/>
      <c r="CE124" s="14"/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  <c r="CP124" s="61"/>
      <c r="CQ124" s="61"/>
      <c r="CR124" s="61"/>
      <c r="CS124" s="61"/>
      <c r="CT124" s="61"/>
      <c r="CU124" s="61"/>
      <c r="CV124" s="61"/>
      <c r="CW124" s="61"/>
      <c r="CX124" s="61"/>
      <c r="CY124" s="61"/>
      <c r="CZ124" s="61"/>
      <c r="DA124" s="61"/>
      <c r="DB124" s="61"/>
      <c r="DC124" s="61"/>
      <c r="DD124" s="61"/>
      <c r="DE124" s="61"/>
      <c r="DF124" s="61"/>
      <c r="DG124" s="61"/>
      <c r="DH124" s="61"/>
      <c r="DI124" s="61"/>
      <c r="DJ124" s="61"/>
      <c r="DK124" s="61"/>
      <c r="DL124" s="61"/>
      <c r="DM124" s="61"/>
      <c r="DN124" s="61"/>
      <c r="DO124" s="61"/>
      <c r="DP124" s="61"/>
      <c r="DQ124" s="61"/>
      <c r="DR124" s="61"/>
      <c r="DS124" s="61"/>
      <c r="DT124" s="61"/>
      <c r="DU124" s="61"/>
      <c r="DV124" s="61"/>
      <c r="DW124" s="61"/>
      <c r="DX124" s="61"/>
      <c r="DY124" s="61"/>
      <c r="DZ124" s="61"/>
      <c r="EA124" s="61"/>
      <c r="EB124" s="61"/>
      <c r="EC124" s="61"/>
    </row>
    <row r="125" spans="1:133">
      <c r="A125" s="114"/>
      <c r="B125" s="114"/>
      <c r="C125" s="775" t="s">
        <v>286</v>
      </c>
      <c r="D125" s="1026">
        <f t="shared" ref="D125:S125" si="26">D123/D124</f>
        <v>1</v>
      </c>
      <c r="E125" s="1026">
        <f t="shared" si="26"/>
        <v>0.9285714285714286</v>
      </c>
      <c r="F125" s="1026">
        <f t="shared" si="26"/>
        <v>1</v>
      </c>
      <c r="G125" s="1026">
        <f t="shared" si="26"/>
        <v>1</v>
      </c>
      <c r="H125" s="1026">
        <f t="shared" si="26"/>
        <v>1</v>
      </c>
      <c r="I125" s="1026">
        <f t="shared" si="26"/>
        <v>1</v>
      </c>
      <c r="J125" s="1026">
        <f t="shared" si="26"/>
        <v>1</v>
      </c>
      <c r="K125" s="1026">
        <f t="shared" si="26"/>
        <v>1</v>
      </c>
      <c r="L125" s="1026">
        <f t="shared" si="26"/>
        <v>0.91666666666666663</v>
      </c>
      <c r="M125" s="1026">
        <f t="shared" si="26"/>
        <v>1</v>
      </c>
      <c r="N125" s="1026">
        <f t="shared" si="26"/>
        <v>1</v>
      </c>
      <c r="O125" s="1026">
        <f t="shared" si="26"/>
        <v>1</v>
      </c>
      <c r="P125" s="1026">
        <f t="shared" si="26"/>
        <v>0.95833333333333337</v>
      </c>
      <c r="Q125" s="1026">
        <f t="shared" si="26"/>
        <v>1</v>
      </c>
      <c r="R125" s="1026">
        <f t="shared" si="26"/>
        <v>1</v>
      </c>
      <c r="S125" s="1026">
        <f t="shared" si="26"/>
        <v>1</v>
      </c>
      <c r="T125" s="1026">
        <f t="shared" ref="T125:AA125" si="27">T123/T124</f>
        <v>0.95833333333333337</v>
      </c>
      <c r="U125" s="1026">
        <f t="shared" si="27"/>
        <v>1</v>
      </c>
      <c r="V125" s="1026">
        <f t="shared" si="27"/>
        <v>1</v>
      </c>
      <c r="W125" s="1026" t="e">
        <f t="shared" si="27"/>
        <v>#DIV/0!</v>
      </c>
      <c r="X125" s="1026">
        <f t="shared" si="27"/>
        <v>1</v>
      </c>
      <c r="Y125" s="1026">
        <f t="shared" si="27"/>
        <v>0.95652173913043481</v>
      </c>
      <c r="Z125" s="1026">
        <f t="shared" si="27"/>
        <v>0.95652173913043481</v>
      </c>
      <c r="AA125" s="1026">
        <f t="shared" si="27"/>
        <v>1</v>
      </c>
      <c r="AB125" s="1026">
        <f t="shared" ref="AB125:AE125" si="28">AB123/AB124</f>
        <v>0.95454545454545459</v>
      </c>
      <c r="AC125" s="1026" t="e">
        <f t="shared" si="28"/>
        <v>#DIV/0!</v>
      </c>
      <c r="AD125" s="1026" t="e">
        <f t="shared" si="28"/>
        <v>#DIV/0!</v>
      </c>
      <c r="AE125" s="1026" t="e">
        <f t="shared" si="28"/>
        <v>#DIV/0!</v>
      </c>
      <c r="AF125" s="163"/>
      <c r="AG125" s="163"/>
      <c r="AH125" s="14"/>
      <c r="AI125" s="14"/>
      <c r="AJ125" s="61"/>
      <c r="AK125" s="61"/>
      <c r="AL125" s="61"/>
      <c r="AM125" s="61"/>
      <c r="AN125" s="163"/>
      <c r="AO125" s="163"/>
      <c r="AP125" s="163"/>
      <c r="AQ125" s="163"/>
      <c r="AR125" s="14"/>
      <c r="AS125" s="14"/>
      <c r="AT125" s="61"/>
      <c r="AU125" s="61"/>
      <c r="AV125" s="61"/>
      <c r="AW125" s="61"/>
      <c r="AX125" s="163"/>
      <c r="AY125" s="163"/>
      <c r="AZ125" s="163"/>
      <c r="BA125" s="163"/>
      <c r="BB125" s="14"/>
      <c r="BC125" s="14"/>
      <c r="BD125" s="61"/>
      <c r="BE125" s="61"/>
      <c r="BF125" s="61"/>
      <c r="BG125" s="61"/>
      <c r="BH125" s="163"/>
      <c r="BI125" s="163"/>
      <c r="BJ125" s="163"/>
      <c r="BK125" s="163"/>
      <c r="BL125" s="14"/>
      <c r="BM125" s="14"/>
      <c r="BN125" s="61"/>
      <c r="BO125" s="61"/>
      <c r="BP125" s="61"/>
      <c r="BQ125" s="61"/>
      <c r="BR125" s="163"/>
      <c r="BS125" s="163"/>
      <c r="BT125" s="163"/>
      <c r="BU125" s="14"/>
      <c r="BV125" s="14"/>
      <c r="BW125" s="61"/>
      <c r="BX125" s="61"/>
      <c r="BY125" s="61"/>
      <c r="BZ125" s="61"/>
      <c r="CA125" s="163"/>
      <c r="CB125" s="163"/>
      <c r="CC125" s="163"/>
      <c r="CD125" s="14"/>
      <c r="CE125" s="14"/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  <c r="CP125" s="61"/>
      <c r="CQ125" s="61"/>
      <c r="CR125" s="61"/>
      <c r="CS125" s="61"/>
      <c r="CT125" s="61"/>
      <c r="CU125" s="61"/>
      <c r="CV125" s="61"/>
      <c r="CW125" s="61"/>
      <c r="CX125" s="61"/>
      <c r="CY125" s="61"/>
      <c r="CZ125" s="61"/>
      <c r="DA125" s="61"/>
      <c r="DB125" s="61"/>
      <c r="DC125" s="61"/>
      <c r="DD125" s="61"/>
      <c r="DE125" s="61"/>
      <c r="DF125" s="61"/>
      <c r="DG125" s="61"/>
      <c r="DH125" s="61"/>
      <c r="DI125" s="61"/>
      <c r="DJ125" s="61"/>
      <c r="DK125" s="61"/>
      <c r="DL125" s="61"/>
      <c r="DM125" s="61"/>
      <c r="DN125" s="61"/>
      <c r="DO125" s="61"/>
      <c r="DP125" s="61"/>
      <c r="DQ125" s="61"/>
      <c r="DR125" s="61"/>
      <c r="DS125" s="61"/>
      <c r="DT125" s="61"/>
      <c r="DU125" s="61"/>
      <c r="DV125" s="61"/>
      <c r="DW125" s="61"/>
      <c r="DX125" s="61"/>
      <c r="DY125" s="61"/>
      <c r="DZ125" s="61"/>
      <c r="EA125" s="61"/>
      <c r="EB125" s="61"/>
      <c r="EC125" s="61"/>
    </row>
    <row r="126" spans="1:133">
      <c r="A126" s="211"/>
      <c r="B126" s="211"/>
      <c r="C126" s="212"/>
      <c r="D126" s="209"/>
      <c r="E126" s="205"/>
      <c r="F126" s="205"/>
      <c r="G126" s="205"/>
      <c r="H126" s="205"/>
      <c r="I126" s="209"/>
      <c r="J126" s="213"/>
      <c r="K126" s="123"/>
      <c r="L126" s="107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767"/>
      <c r="Y126" s="61"/>
      <c r="Z126" s="61"/>
      <c r="AA126" s="61"/>
      <c r="AB126" s="61"/>
      <c r="AC126" s="61"/>
      <c r="AD126" s="163"/>
      <c r="AE126" s="163"/>
      <c r="AF126" s="163"/>
      <c r="AG126" s="163"/>
      <c r="AH126" s="14"/>
      <c r="AI126" s="14"/>
      <c r="AJ126" s="61"/>
      <c r="AK126" s="61"/>
      <c r="AL126" s="61"/>
      <c r="AM126" s="61"/>
      <c r="AN126" s="163"/>
      <c r="AO126" s="163"/>
      <c r="AP126" s="163"/>
      <c r="AQ126" s="163"/>
      <c r="AR126" s="14"/>
      <c r="AS126" s="14"/>
      <c r="AT126" s="61"/>
      <c r="AU126" s="61"/>
      <c r="AV126" s="61"/>
      <c r="AW126" s="61"/>
      <c r="AX126" s="163"/>
      <c r="AY126" s="163"/>
      <c r="AZ126" s="163"/>
      <c r="BA126" s="163"/>
      <c r="BB126" s="14"/>
      <c r="BC126" s="14"/>
      <c r="BD126" s="61"/>
      <c r="BE126" s="61"/>
      <c r="BF126" s="61"/>
      <c r="BG126" s="61"/>
      <c r="BH126" s="163"/>
      <c r="BI126" s="163"/>
      <c r="BJ126" s="163"/>
      <c r="BK126" s="163"/>
      <c r="BL126" s="14"/>
      <c r="BM126" s="14"/>
      <c r="BN126" s="61"/>
      <c r="BO126" s="61"/>
      <c r="BP126" s="61"/>
      <c r="BQ126" s="61"/>
      <c r="BR126" s="163"/>
      <c r="BS126" s="163"/>
      <c r="BT126" s="163"/>
      <c r="BU126" s="14"/>
      <c r="BV126" s="14"/>
      <c r="BW126" s="61"/>
      <c r="BX126" s="61"/>
      <c r="BY126" s="61"/>
      <c r="BZ126" s="61"/>
      <c r="CA126" s="163"/>
      <c r="CB126" s="163"/>
      <c r="CC126" s="163"/>
      <c r="CD126" s="14"/>
      <c r="CE126" s="14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/>
      <c r="CP126" s="61"/>
      <c r="CQ126" s="61"/>
      <c r="CR126" s="61"/>
      <c r="CS126" s="61"/>
      <c r="CT126" s="61"/>
      <c r="CU126" s="61"/>
      <c r="CV126" s="61"/>
      <c r="CW126" s="61"/>
      <c r="CX126" s="61"/>
      <c r="CY126" s="61"/>
      <c r="CZ126" s="61"/>
      <c r="DA126" s="61"/>
      <c r="DB126" s="61"/>
      <c r="DC126" s="61"/>
      <c r="DD126" s="61"/>
      <c r="DE126" s="61"/>
      <c r="DF126" s="61"/>
      <c r="DG126" s="61"/>
      <c r="DH126" s="61"/>
      <c r="DI126" s="61"/>
      <c r="DJ126" s="61"/>
      <c r="DK126" s="61"/>
      <c r="DL126" s="61"/>
      <c r="DM126" s="61"/>
      <c r="DN126" s="61"/>
      <c r="DO126" s="61"/>
      <c r="DP126" s="61"/>
      <c r="DQ126" s="61"/>
      <c r="DR126" s="61"/>
      <c r="DS126" s="61"/>
      <c r="DT126" s="61"/>
      <c r="DU126" s="61"/>
      <c r="DV126" s="61"/>
      <c r="DW126" s="61"/>
      <c r="DX126" s="61"/>
      <c r="DY126" s="61"/>
      <c r="DZ126" s="61"/>
      <c r="EA126" s="61"/>
      <c r="EB126" s="61"/>
      <c r="EC126" s="61"/>
    </row>
    <row r="127" spans="1:133">
      <c r="A127" s="211"/>
      <c r="B127" s="211"/>
      <c r="C127" s="212"/>
      <c r="D127" s="209"/>
      <c r="E127" s="205"/>
      <c r="F127" s="205"/>
      <c r="G127" s="205"/>
      <c r="H127" s="205"/>
      <c r="I127" s="209"/>
      <c r="J127" s="213"/>
      <c r="K127" s="123"/>
      <c r="L127" s="107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767"/>
      <c r="Y127" s="61"/>
      <c r="Z127" s="61"/>
      <c r="AA127" s="61"/>
      <c r="AB127" s="61"/>
      <c r="AC127" s="61"/>
      <c r="AD127" s="163"/>
      <c r="AE127" s="163"/>
      <c r="AF127" s="163"/>
      <c r="AG127" s="163"/>
      <c r="AH127" s="61"/>
      <c r="AI127" s="61"/>
      <c r="AJ127" s="61"/>
      <c r="AK127" s="61"/>
      <c r="AL127" s="61"/>
      <c r="AM127" s="61"/>
      <c r="AN127" s="163"/>
      <c r="AO127" s="163"/>
      <c r="AP127" s="163"/>
      <c r="AQ127" s="163"/>
      <c r="AR127" s="61"/>
      <c r="AS127" s="61"/>
      <c r="AT127" s="61"/>
      <c r="AU127" s="61"/>
      <c r="AV127" s="61"/>
      <c r="AW127" s="61"/>
      <c r="AX127" s="163"/>
      <c r="AY127" s="163"/>
      <c r="AZ127" s="163"/>
      <c r="BA127" s="163"/>
      <c r="BB127" s="61"/>
      <c r="BC127" s="61"/>
      <c r="BD127" s="61"/>
      <c r="BE127" s="61"/>
      <c r="BF127" s="61"/>
      <c r="BG127" s="61"/>
      <c r="BH127" s="163"/>
      <c r="BI127" s="163"/>
      <c r="BJ127" s="163"/>
      <c r="BK127" s="163"/>
      <c r="BL127" s="61"/>
      <c r="BM127" s="61"/>
      <c r="BN127" s="61"/>
      <c r="BO127" s="61"/>
      <c r="BP127" s="61"/>
      <c r="BQ127" s="61"/>
      <c r="BR127" s="163"/>
      <c r="BS127" s="163"/>
      <c r="BT127" s="163"/>
      <c r="BU127" s="163"/>
      <c r="BV127" s="61"/>
      <c r="BW127" s="61"/>
      <c r="BX127" s="61"/>
      <c r="BY127" s="61"/>
      <c r="BZ127" s="61"/>
      <c r="CA127" s="163"/>
      <c r="CB127" s="163"/>
      <c r="CC127" s="163"/>
      <c r="CD127" s="163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  <c r="DX127" s="61"/>
      <c r="DY127" s="61"/>
      <c r="DZ127" s="61"/>
      <c r="EA127" s="61"/>
      <c r="EB127" s="61"/>
      <c r="EC127" s="61"/>
    </row>
    <row r="128" spans="1:133">
      <c r="A128" s="211"/>
      <c r="B128" s="3568" t="s">
        <v>291</v>
      </c>
      <c r="C128" s="775" t="s">
        <v>289</v>
      </c>
      <c r="D128" s="1047">
        <f t="shared" ref="D128:AA128" si="29">SUM(D62,D94,D123)</f>
        <v>47</v>
      </c>
      <c r="E128" s="1047">
        <f t="shared" si="29"/>
        <v>70</v>
      </c>
      <c r="F128" s="1047">
        <f t="shared" si="29"/>
        <v>74</v>
      </c>
      <c r="G128" s="1047">
        <f t="shared" si="29"/>
        <v>73</v>
      </c>
      <c r="H128" s="1047">
        <f t="shared" si="29"/>
        <v>56</v>
      </c>
      <c r="I128" s="1051">
        <f t="shared" si="29"/>
        <v>74</v>
      </c>
      <c r="J128" s="1047">
        <f t="shared" si="29"/>
        <v>75</v>
      </c>
      <c r="K128" s="1047">
        <f t="shared" si="29"/>
        <v>65</v>
      </c>
      <c r="L128" s="1051">
        <f t="shared" si="29"/>
        <v>45</v>
      </c>
      <c r="M128" s="1051">
        <f t="shared" si="29"/>
        <v>58</v>
      </c>
      <c r="N128" s="1047">
        <f t="shared" si="29"/>
        <v>71</v>
      </c>
      <c r="O128" s="1047">
        <f t="shared" si="29"/>
        <v>48</v>
      </c>
      <c r="P128" s="1047">
        <f t="shared" si="29"/>
        <v>73</v>
      </c>
      <c r="Q128" s="1047">
        <f t="shared" si="29"/>
        <v>78</v>
      </c>
      <c r="R128" s="1047">
        <f t="shared" si="29"/>
        <v>73</v>
      </c>
      <c r="S128" s="1047">
        <f t="shared" si="29"/>
        <v>80</v>
      </c>
      <c r="T128" s="1047">
        <f t="shared" si="29"/>
        <v>62</v>
      </c>
      <c r="U128" s="1047">
        <f t="shared" si="29"/>
        <v>62</v>
      </c>
      <c r="V128" s="1047">
        <f t="shared" si="29"/>
        <v>62</v>
      </c>
      <c r="W128" s="1047">
        <f t="shared" si="29"/>
        <v>60</v>
      </c>
      <c r="X128" s="1047">
        <f t="shared" si="29"/>
        <v>82</v>
      </c>
      <c r="Y128" s="1047">
        <f t="shared" si="29"/>
        <v>97</v>
      </c>
      <c r="Z128" s="1047">
        <f t="shared" si="29"/>
        <v>96</v>
      </c>
      <c r="AA128" s="1047">
        <f t="shared" si="29"/>
        <v>94</v>
      </c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  <c r="CL128" s="61"/>
      <c r="CM128" s="61"/>
      <c r="CN128" s="61"/>
      <c r="CO128" s="61"/>
      <c r="CP128" s="61"/>
      <c r="CQ128" s="61"/>
      <c r="CR128" s="61"/>
      <c r="CS128" s="61"/>
      <c r="CT128" s="61"/>
      <c r="CU128" s="61"/>
      <c r="CV128" s="61"/>
      <c r="CW128" s="61"/>
      <c r="CX128" s="61"/>
      <c r="CY128" s="61"/>
      <c r="CZ128" s="61"/>
      <c r="DA128" s="61"/>
      <c r="DB128" s="61"/>
      <c r="DC128" s="61"/>
      <c r="DD128" s="61"/>
      <c r="DE128" s="61"/>
      <c r="DF128" s="61"/>
      <c r="DG128" s="61"/>
      <c r="DH128" s="61"/>
      <c r="DI128" s="61"/>
      <c r="DJ128" s="61"/>
      <c r="DK128" s="61"/>
      <c r="DL128" s="61"/>
      <c r="DM128" s="61"/>
      <c r="DN128" s="61"/>
      <c r="DO128" s="61"/>
      <c r="DP128" s="61"/>
      <c r="DQ128" s="61"/>
      <c r="DR128" s="61"/>
      <c r="DS128" s="61"/>
      <c r="DT128" s="61"/>
      <c r="DU128" s="61"/>
      <c r="DV128" s="61"/>
      <c r="DW128" s="61"/>
      <c r="DX128" s="61"/>
      <c r="DY128" s="61"/>
      <c r="DZ128" s="61"/>
      <c r="EA128" s="61"/>
      <c r="EB128" s="61"/>
      <c r="EC128" s="61"/>
    </row>
    <row r="129" spans="1:133">
      <c r="A129" s="211"/>
      <c r="B129" s="3568"/>
      <c r="C129" s="775" t="s">
        <v>288</v>
      </c>
      <c r="D129" s="1047">
        <f t="shared" ref="D129:AA129" si="30">SUM(D63,D95,D124)</f>
        <v>70</v>
      </c>
      <c r="E129" s="1047">
        <f t="shared" si="30"/>
        <v>71</v>
      </c>
      <c r="F129" s="1047">
        <f t="shared" si="30"/>
        <v>74</v>
      </c>
      <c r="G129" s="1047">
        <f t="shared" si="30"/>
        <v>74</v>
      </c>
      <c r="H129" s="1047">
        <f t="shared" si="30"/>
        <v>74</v>
      </c>
      <c r="I129" s="1051">
        <f t="shared" si="30"/>
        <v>79</v>
      </c>
      <c r="J129" s="1047">
        <f t="shared" si="30"/>
        <v>79</v>
      </c>
      <c r="K129" s="1047">
        <f t="shared" si="30"/>
        <v>79</v>
      </c>
      <c r="L129" s="1051">
        <f t="shared" si="30"/>
        <v>61</v>
      </c>
      <c r="M129" s="1051">
        <f t="shared" si="30"/>
        <v>64</v>
      </c>
      <c r="N129" s="1047">
        <f t="shared" si="30"/>
        <v>84</v>
      </c>
      <c r="O129" s="1047">
        <f t="shared" si="30"/>
        <v>53</v>
      </c>
      <c r="P129" s="1047">
        <f t="shared" si="30"/>
        <v>79</v>
      </c>
      <c r="Q129" s="1047">
        <f t="shared" si="30"/>
        <v>79</v>
      </c>
      <c r="R129" s="1047">
        <f t="shared" si="30"/>
        <v>79</v>
      </c>
      <c r="S129" s="1047">
        <f t="shared" si="30"/>
        <v>84</v>
      </c>
      <c r="T129" s="1047">
        <f t="shared" si="30"/>
        <v>63</v>
      </c>
      <c r="U129" s="1047">
        <f t="shared" si="30"/>
        <v>62</v>
      </c>
      <c r="V129" s="1047">
        <f t="shared" si="30"/>
        <v>62</v>
      </c>
      <c r="W129" s="1047">
        <f t="shared" si="30"/>
        <v>60</v>
      </c>
      <c r="X129" s="1047">
        <f t="shared" si="30"/>
        <v>83</v>
      </c>
      <c r="Y129" s="1047">
        <f t="shared" si="30"/>
        <v>98</v>
      </c>
      <c r="Z129" s="1047">
        <f t="shared" si="30"/>
        <v>98</v>
      </c>
      <c r="AA129" s="1047">
        <f t="shared" si="30"/>
        <v>99</v>
      </c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1"/>
      <c r="CP129" s="61"/>
      <c r="CQ129" s="61"/>
      <c r="CR129" s="61"/>
      <c r="CS129" s="61"/>
      <c r="CT129" s="61"/>
      <c r="CU129" s="61"/>
      <c r="CV129" s="61"/>
      <c r="CW129" s="61"/>
      <c r="CX129" s="61"/>
      <c r="CY129" s="61"/>
      <c r="CZ129" s="61"/>
      <c r="DA129" s="61"/>
      <c r="DB129" s="61"/>
      <c r="DC129" s="61"/>
      <c r="DD129" s="61"/>
      <c r="DE129" s="61"/>
      <c r="DF129" s="61"/>
      <c r="DG129" s="61"/>
      <c r="DH129" s="61"/>
      <c r="DI129" s="61"/>
      <c r="DJ129" s="61"/>
      <c r="DK129" s="61"/>
      <c r="DL129" s="61"/>
      <c r="DM129" s="61"/>
      <c r="DN129" s="61"/>
      <c r="DO129" s="61"/>
      <c r="DP129" s="61"/>
      <c r="DQ129" s="61"/>
      <c r="DR129" s="61"/>
      <c r="DS129" s="61"/>
      <c r="DT129" s="61"/>
      <c r="DU129" s="61"/>
      <c r="DV129" s="61"/>
      <c r="DW129" s="61"/>
      <c r="DX129" s="61"/>
      <c r="DY129" s="61"/>
      <c r="DZ129" s="61"/>
      <c r="EA129" s="61"/>
      <c r="EB129" s="61"/>
      <c r="EC129" s="61"/>
    </row>
    <row r="130" spans="1:133">
      <c r="A130" s="211"/>
      <c r="B130" s="3568"/>
      <c r="C130" s="775" t="s">
        <v>290</v>
      </c>
      <c r="D130" s="1048">
        <f>D128/D129</f>
        <v>0.67142857142857137</v>
      </c>
      <c r="E130" s="1048">
        <f t="shared" ref="E130:Q130" si="31">E128/E129</f>
        <v>0.9859154929577465</v>
      </c>
      <c r="F130" s="1048">
        <f t="shared" si="31"/>
        <v>1</v>
      </c>
      <c r="G130" s="1048">
        <f t="shared" si="31"/>
        <v>0.98648648648648651</v>
      </c>
      <c r="H130" s="1048">
        <f t="shared" si="31"/>
        <v>0.7567567567567568</v>
      </c>
      <c r="I130" s="1052">
        <f t="shared" si="31"/>
        <v>0.93670886075949367</v>
      </c>
      <c r="J130" s="1048">
        <f t="shared" si="31"/>
        <v>0.94936708860759489</v>
      </c>
      <c r="K130" s="1048">
        <f t="shared" si="31"/>
        <v>0.82278481012658233</v>
      </c>
      <c r="L130" s="1052">
        <f t="shared" si="31"/>
        <v>0.73770491803278693</v>
      </c>
      <c r="M130" s="1052">
        <f t="shared" si="31"/>
        <v>0.90625</v>
      </c>
      <c r="N130" s="1048">
        <f t="shared" si="31"/>
        <v>0.84523809523809523</v>
      </c>
      <c r="O130" s="1048">
        <f t="shared" si="31"/>
        <v>0.90566037735849059</v>
      </c>
      <c r="P130" s="1048">
        <f t="shared" si="31"/>
        <v>0.92405063291139244</v>
      </c>
      <c r="Q130" s="1048">
        <f t="shared" si="31"/>
        <v>0.98734177215189878</v>
      </c>
      <c r="R130" s="1048">
        <f>R128/R129</f>
        <v>0.92405063291139244</v>
      </c>
      <c r="S130" s="1048">
        <f>S128/S129</f>
        <v>0.95238095238095233</v>
      </c>
      <c r="T130" s="1048">
        <f>T128/T129</f>
        <v>0.98412698412698407</v>
      </c>
      <c r="U130" s="1048">
        <f>U128/U129</f>
        <v>1</v>
      </c>
      <c r="V130" s="1048">
        <f t="shared" ref="V130:AA130" si="32">V128/V129</f>
        <v>1</v>
      </c>
      <c r="W130" s="1048">
        <f t="shared" si="32"/>
        <v>1</v>
      </c>
      <c r="X130" s="1048">
        <f t="shared" si="32"/>
        <v>0.98795180722891562</v>
      </c>
      <c r="Y130" s="1048">
        <f t="shared" si="32"/>
        <v>0.98979591836734693</v>
      </c>
      <c r="Z130" s="1048">
        <f t="shared" si="32"/>
        <v>0.97959183673469385</v>
      </c>
      <c r="AA130" s="1048">
        <f t="shared" si="32"/>
        <v>0.9494949494949495</v>
      </c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  <c r="CL130" s="61"/>
      <c r="CM130" s="61"/>
      <c r="CN130" s="61"/>
      <c r="CO130" s="61"/>
      <c r="CP130" s="61"/>
      <c r="CQ130" s="61"/>
      <c r="CR130" s="61"/>
      <c r="CS130" s="61"/>
      <c r="CT130" s="61"/>
      <c r="CU130" s="61"/>
      <c r="CV130" s="61"/>
      <c r="CW130" s="61"/>
      <c r="CX130" s="61"/>
      <c r="CY130" s="61"/>
      <c r="CZ130" s="61"/>
      <c r="DA130" s="61"/>
      <c r="DB130" s="61"/>
      <c r="DC130" s="61"/>
      <c r="DD130" s="61"/>
      <c r="DE130" s="61"/>
      <c r="DF130" s="61"/>
      <c r="DG130" s="61"/>
      <c r="DH130" s="61"/>
      <c r="DI130" s="61"/>
      <c r="DJ130" s="61"/>
      <c r="DK130" s="61"/>
      <c r="DL130" s="61"/>
      <c r="DM130" s="61"/>
      <c r="DN130" s="61"/>
      <c r="DO130" s="61"/>
      <c r="DP130" s="61"/>
      <c r="DQ130" s="61"/>
      <c r="DR130" s="61"/>
      <c r="DS130" s="61"/>
      <c r="DT130" s="61"/>
      <c r="DU130" s="61"/>
      <c r="DV130" s="61"/>
      <c r="DW130" s="61"/>
      <c r="DX130" s="61"/>
      <c r="DY130" s="61"/>
      <c r="DZ130" s="61"/>
      <c r="EA130" s="61"/>
      <c r="EB130" s="61"/>
      <c r="EC130" s="61"/>
    </row>
    <row r="131" spans="1:133">
      <c r="A131" s="211"/>
      <c r="B131" s="211"/>
      <c r="C131" s="212"/>
      <c r="D131" s="209"/>
      <c r="E131" s="205"/>
      <c r="F131" s="205"/>
      <c r="G131" s="205"/>
      <c r="H131" s="205"/>
      <c r="I131" s="209"/>
      <c r="J131" s="213"/>
      <c r="K131" s="123"/>
      <c r="L131" s="107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767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1"/>
      <c r="CM131" s="61"/>
      <c r="CN131" s="61"/>
      <c r="CO131" s="61"/>
      <c r="CP131" s="61"/>
      <c r="CQ131" s="61"/>
      <c r="CR131" s="61"/>
      <c r="CS131" s="61"/>
      <c r="CT131" s="61"/>
      <c r="CU131" s="61"/>
      <c r="CV131" s="61"/>
      <c r="CW131" s="61"/>
      <c r="CX131" s="61"/>
      <c r="CY131" s="61"/>
      <c r="CZ131" s="61"/>
      <c r="DA131" s="61"/>
      <c r="DB131" s="61"/>
      <c r="DC131" s="61"/>
      <c r="DD131" s="61"/>
      <c r="DE131" s="61"/>
      <c r="DF131" s="61"/>
      <c r="DG131" s="61"/>
      <c r="DH131" s="61"/>
      <c r="DI131" s="61"/>
      <c r="DJ131" s="61"/>
      <c r="DK131" s="61"/>
      <c r="DL131" s="61"/>
      <c r="DM131" s="61"/>
      <c r="DN131" s="61"/>
      <c r="DO131" s="61"/>
      <c r="DP131" s="61"/>
      <c r="DQ131" s="61"/>
      <c r="DR131" s="61"/>
      <c r="DS131" s="61"/>
      <c r="DT131" s="61"/>
      <c r="DU131" s="61"/>
      <c r="DV131" s="61"/>
      <c r="DW131" s="61"/>
      <c r="DX131" s="61"/>
      <c r="DY131" s="61"/>
      <c r="DZ131" s="61"/>
      <c r="EA131" s="61"/>
      <c r="EB131" s="61"/>
      <c r="EC131" s="61"/>
    </row>
    <row r="132" spans="1:133">
      <c r="A132" s="211"/>
      <c r="B132" s="211"/>
      <c r="C132" s="212"/>
      <c r="D132" s="209"/>
      <c r="E132" s="205"/>
      <c r="F132" s="205"/>
      <c r="G132" s="205"/>
      <c r="H132" s="205"/>
      <c r="I132" s="209"/>
      <c r="J132" s="213"/>
      <c r="K132" s="123"/>
      <c r="L132" s="107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767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  <c r="CL132" s="61"/>
      <c r="CM132" s="61"/>
      <c r="CN132" s="61"/>
      <c r="CO132" s="61"/>
      <c r="CP132" s="61"/>
      <c r="CQ132" s="61"/>
      <c r="CR132" s="61"/>
      <c r="CS132" s="61"/>
      <c r="CT132" s="61"/>
      <c r="CU132" s="61"/>
      <c r="CV132" s="61"/>
      <c r="CW132" s="61"/>
      <c r="CX132" s="61"/>
      <c r="CY132" s="61"/>
      <c r="CZ132" s="61"/>
      <c r="DA132" s="61"/>
      <c r="DB132" s="61"/>
      <c r="DC132" s="61"/>
      <c r="DD132" s="61"/>
      <c r="DE132" s="61"/>
      <c r="DF132" s="61"/>
      <c r="DG132" s="61"/>
      <c r="DH132" s="61"/>
      <c r="DI132" s="61"/>
      <c r="DJ132" s="61"/>
      <c r="DK132" s="61"/>
      <c r="DL132" s="61"/>
      <c r="DM132" s="61"/>
      <c r="DN132" s="61"/>
      <c r="DO132" s="61"/>
      <c r="DP132" s="61"/>
      <c r="DQ132" s="61"/>
      <c r="DR132" s="61"/>
      <c r="DS132" s="61"/>
      <c r="DT132" s="61"/>
      <c r="DU132" s="61"/>
      <c r="DV132" s="61"/>
      <c r="DW132" s="61"/>
      <c r="DX132" s="61"/>
      <c r="DY132" s="61"/>
      <c r="DZ132" s="61"/>
      <c r="EA132" s="61"/>
      <c r="EB132" s="61"/>
      <c r="EC132" s="61"/>
    </row>
    <row r="133" spans="1:133">
      <c r="A133" s="211"/>
      <c r="B133" s="211"/>
      <c r="C133" s="212"/>
      <c r="D133" s="209"/>
      <c r="E133" s="205"/>
      <c r="F133" s="205"/>
      <c r="G133" s="205"/>
      <c r="H133" s="205"/>
      <c r="I133" s="209"/>
      <c r="J133" s="213"/>
      <c r="K133" s="123"/>
      <c r="L133" s="107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767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  <c r="CP133" s="61"/>
      <c r="CQ133" s="61"/>
      <c r="CR133" s="61"/>
      <c r="CS133" s="61"/>
      <c r="CT133" s="61"/>
      <c r="CU133" s="61"/>
      <c r="CV133" s="61"/>
      <c r="CW133" s="61"/>
      <c r="CX133" s="61"/>
      <c r="CY133" s="61"/>
      <c r="CZ133" s="61"/>
      <c r="DA133" s="61"/>
      <c r="DB133" s="61"/>
      <c r="DC133" s="61"/>
      <c r="DD133" s="61"/>
      <c r="DE133" s="61"/>
      <c r="DF133" s="61"/>
      <c r="DG133" s="61"/>
      <c r="DH133" s="61"/>
      <c r="DI133" s="61"/>
      <c r="DJ133" s="61"/>
      <c r="DK133" s="61"/>
      <c r="DL133" s="61"/>
      <c r="DM133" s="61"/>
      <c r="DN133" s="61"/>
      <c r="DO133" s="61"/>
      <c r="DP133" s="61"/>
      <c r="DQ133" s="61"/>
      <c r="DR133" s="61"/>
      <c r="DS133" s="61"/>
      <c r="DT133" s="61"/>
      <c r="DU133" s="61"/>
      <c r="DV133" s="61"/>
      <c r="DW133" s="61"/>
      <c r="DX133" s="61"/>
      <c r="DY133" s="61"/>
      <c r="DZ133" s="61"/>
      <c r="EA133" s="61"/>
      <c r="EB133" s="61"/>
      <c r="EC133" s="61"/>
    </row>
    <row r="134" spans="1:133">
      <c r="A134" s="211"/>
      <c r="B134" s="211"/>
      <c r="C134" s="212"/>
      <c r="D134" s="209"/>
      <c r="E134" s="205"/>
      <c r="F134" s="3546" t="s">
        <v>228</v>
      </c>
      <c r="G134" s="3546"/>
      <c r="H134" s="3546"/>
      <c r="I134" s="3546"/>
      <c r="J134" s="107"/>
      <c r="K134" s="123"/>
      <c r="L134" s="107"/>
      <c r="M134" s="120"/>
      <c r="N134" s="3546" t="s">
        <v>228</v>
      </c>
      <c r="O134" s="3546"/>
      <c r="P134" s="3546"/>
      <c r="Q134" s="3546"/>
      <c r="R134" s="120"/>
      <c r="S134" s="120"/>
      <c r="T134" s="120"/>
      <c r="U134" s="120"/>
      <c r="V134" s="120"/>
      <c r="W134" s="120"/>
      <c r="X134" s="767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/>
      <c r="CR134" s="61"/>
      <c r="CS134" s="61"/>
      <c r="CT134" s="61"/>
      <c r="CU134" s="61"/>
      <c r="CV134" s="61"/>
      <c r="CW134" s="61"/>
      <c r="CX134" s="61"/>
      <c r="CY134" s="61"/>
      <c r="CZ134" s="61"/>
      <c r="DA134" s="61"/>
      <c r="DB134" s="61"/>
      <c r="DC134" s="61"/>
      <c r="DD134" s="61"/>
      <c r="DE134" s="61"/>
      <c r="DF134" s="61"/>
      <c r="DG134" s="61"/>
      <c r="DH134" s="61"/>
      <c r="DI134" s="61"/>
      <c r="DJ134" s="61"/>
      <c r="DK134" s="61"/>
      <c r="DL134" s="61"/>
      <c r="DM134" s="61"/>
      <c r="DN134" s="61"/>
      <c r="DO134" s="61"/>
      <c r="DP134" s="61"/>
      <c r="DQ134" s="61"/>
      <c r="DR134" s="61"/>
      <c r="DS134" s="61"/>
      <c r="DT134" s="61"/>
      <c r="DU134" s="61"/>
      <c r="DV134" s="61"/>
      <c r="DW134" s="61"/>
      <c r="DX134" s="61"/>
      <c r="DY134" s="61"/>
      <c r="DZ134" s="61"/>
      <c r="EA134" s="61"/>
      <c r="EB134" s="61"/>
      <c r="EC134" s="61"/>
    </row>
    <row r="135" spans="1:133" ht="60.75" thickBot="1">
      <c r="A135" s="211"/>
      <c r="B135" s="194" t="s">
        <v>284</v>
      </c>
      <c r="C135" s="212"/>
      <c r="D135" s="209"/>
      <c r="E135" s="205"/>
      <c r="F135" s="3546"/>
      <c r="G135" s="3546"/>
      <c r="H135" s="3546"/>
      <c r="I135" s="3546"/>
      <c r="J135" s="107"/>
      <c r="K135" s="123"/>
      <c r="L135" s="107"/>
      <c r="M135" s="120"/>
      <c r="N135" s="3546"/>
      <c r="O135" s="3546"/>
      <c r="P135" s="3546"/>
      <c r="Q135" s="3546"/>
      <c r="R135" s="120"/>
      <c r="S135" s="120"/>
      <c r="T135" s="120"/>
      <c r="U135" s="120"/>
      <c r="V135" s="120"/>
      <c r="W135" s="120"/>
      <c r="X135" s="785"/>
      <c r="Y135" s="13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  <c r="CW135" s="61"/>
      <c r="CX135" s="61"/>
      <c r="CY135" s="61"/>
      <c r="CZ135" s="61"/>
      <c r="DA135" s="61"/>
      <c r="DB135" s="61"/>
      <c r="DC135" s="61"/>
      <c r="DD135" s="61"/>
      <c r="DE135" s="61"/>
      <c r="DF135" s="61"/>
      <c r="DG135" s="61"/>
      <c r="DH135" s="61"/>
      <c r="DI135" s="61"/>
      <c r="DJ135" s="61"/>
      <c r="DK135" s="61"/>
      <c r="DL135" s="61"/>
      <c r="DM135" s="61"/>
      <c r="DN135" s="61"/>
      <c r="DO135" s="61"/>
      <c r="DP135" s="61"/>
      <c r="DQ135" s="61"/>
      <c r="DR135" s="61"/>
      <c r="DS135" s="61"/>
      <c r="DT135" s="61"/>
      <c r="DU135" s="61"/>
      <c r="DV135" s="61"/>
      <c r="DW135" s="61"/>
      <c r="DX135" s="61"/>
      <c r="DY135" s="61"/>
      <c r="DZ135" s="61"/>
      <c r="EA135" s="61"/>
      <c r="EB135" s="61"/>
      <c r="EC135" s="61"/>
    </row>
    <row r="136" spans="1:133">
      <c r="A136" s="121"/>
      <c r="B136" s="1000">
        <f>COUNTA(C136:C171)</f>
        <v>36</v>
      </c>
      <c r="C136" s="263" t="s">
        <v>105</v>
      </c>
      <c r="D136" s="669">
        <v>7</v>
      </c>
      <c r="E136" s="669">
        <v>6.833333333333333</v>
      </c>
      <c r="F136" s="669">
        <v>7.1333333333333329</v>
      </c>
      <c r="G136" s="670">
        <v>7.4666666666666659</v>
      </c>
      <c r="H136" s="662">
        <v>7.6</v>
      </c>
      <c r="I136" s="642">
        <v>7.7</v>
      </c>
      <c r="J136" s="642">
        <v>7.5</v>
      </c>
      <c r="K136" s="643">
        <v>7.3</v>
      </c>
      <c r="L136" s="949"/>
      <c r="M136" s="481">
        <v>7.5</v>
      </c>
      <c r="N136" s="481">
        <v>7.4</v>
      </c>
      <c r="O136" s="845"/>
      <c r="P136" s="2406">
        <v>7.07</v>
      </c>
      <c r="Q136" s="2636">
        <v>7.2670000000000003</v>
      </c>
      <c r="R136" s="387">
        <v>7.13</v>
      </c>
      <c r="S136" s="388">
        <v>6.9</v>
      </c>
      <c r="T136" s="2853">
        <v>7.33</v>
      </c>
      <c r="U136" s="319">
        <v>7.53</v>
      </c>
      <c r="V136" s="388">
        <v>7.5</v>
      </c>
      <c r="W136" s="388">
        <v>7.2</v>
      </c>
      <c r="X136" s="786">
        <v>7.13</v>
      </c>
      <c r="Y136" s="319">
        <v>7.1</v>
      </c>
      <c r="Z136" s="319"/>
      <c r="AA136" s="319">
        <v>7.2</v>
      </c>
      <c r="AB136" s="319"/>
      <c r="AC136" s="319"/>
      <c r="AD136" s="319"/>
      <c r="AE136" s="319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1"/>
      <c r="CQ136" s="61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E136" s="61"/>
      <c r="DF136" s="61"/>
      <c r="DG136" s="61"/>
      <c r="DH136" s="61"/>
      <c r="DI136" s="61"/>
      <c r="DJ136" s="61"/>
      <c r="DK136" s="61"/>
      <c r="DL136" s="61"/>
      <c r="DM136" s="61"/>
      <c r="DN136" s="61"/>
      <c r="DO136" s="61"/>
      <c r="DP136" s="61"/>
      <c r="DQ136" s="61"/>
      <c r="DR136" s="61"/>
      <c r="DS136" s="61"/>
      <c r="DT136" s="61"/>
      <c r="DU136" s="61"/>
      <c r="DV136" s="61"/>
      <c r="DW136" s="61"/>
      <c r="DX136" s="61"/>
      <c r="DY136" s="61"/>
      <c r="DZ136" s="61"/>
      <c r="EA136" s="61"/>
      <c r="EB136" s="61"/>
      <c r="EC136" s="61"/>
    </row>
    <row r="137" spans="1:133">
      <c r="A137" s="121"/>
      <c r="B137" s="121"/>
      <c r="C137" s="106" t="s">
        <v>94</v>
      </c>
      <c r="D137" s="671">
        <v>6.6</v>
      </c>
      <c r="E137" s="671">
        <v>6.5333333333333341</v>
      </c>
      <c r="F137" s="671">
        <v>7.3</v>
      </c>
      <c r="G137" s="672">
        <v>7.2</v>
      </c>
      <c r="H137" s="663">
        <v>7.3</v>
      </c>
      <c r="I137" s="644">
        <v>7.5</v>
      </c>
      <c r="J137" s="644">
        <v>7.3</v>
      </c>
      <c r="K137" s="645">
        <v>7.5</v>
      </c>
      <c r="L137" s="948">
        <v>7.4</v>
      </c>
      <c r="M137" s="410">
        <v>7.1</v>
      </c>
      <c r="N137" s="410">
        <v>7.2</v>
      </c>
      <c r="O137" s="2068"/>
      <c r="P137" s="2291">
        <v>7.57</v>
      </c>
      <c r="Q137" s="304">
        <v>7.4669999999999996</v>
      </c>
      <c r="R137" s="304">
        <v>7.93</v>
      </c>
      <c r="S137" s="319">
        <v>7.5</v>
      </c>
      <c r="T137" s="2854">
        <v>7.73</v>
      </c>
      <c r="U137" s="319">
        <v>7.8</v>
      </c>
      <c r="V137" s="319">
        <v>7.1</v>
      </c>
      <c r="W137" s="319">
        <v>7.39</v>
      </c>
      <c r="X137" s="786">
        <v>7.87</v>
      </c>
      <c r="Y137" s="319">
        <v>7.7</v>
      </c>
      <c r="Z137" s="319"/>
      <c r="AA137" s="319">
        <v>7.55</v>
      </c>
      <c r="AB137" s="319"/>
      <c r="AC137" s="319"/>
      <c r="AD137" s="319"/>
      <c r="AE137" s="319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1"/>
      <c r="CQ137" s="61"/>
      <c r="CR137" s="61"/>
      <c r="CS137" s="61"/>
      <c r="CT137" s="61"/>
      <c r="CU137" s="61"/>
      <c r="CV137" s="61"/>
      <c r="CW137" s="61"/>
      <c r="CX137" s="61"/>
      <c r="CY137" s="61"/>
      <c r="CZ137" s="61"/>
      <c r="DA137" s="61"/>
      <c r="DB137" s="61"/>
      <c r="DC137" s="61"/>
      <c r="DD137" s="61"/>
      <c r="DE137" s="61"/>
      <c r="DF137" s="61"/>
      <c r="DG137" s="61"/>
      <c r="DH137" s="61"/>
      <c r="DI137" s="61"/>
      <c r="DJ137" s="61"/>
      <c r="DK137" s="61"/>
      <c r="DL137" s="61"/>
      <c r="DM137" s="61"/>
      <c r="DN137" s="61"/>
      <c r="DO137" s="61"/>
      <c r="DP137" s="61"/>
      <c r="DQ137" s="61"/>
      <c r="DR137" s="61"/>
      <c r="DS137" s="61"/>
      <c r="DT137" s="61"/>
      <c r="DU137" s="61"/>
      <c r="DV137" s="61"/>
      <c r="DW137" s="61"/>
      <c r="DX137" s="61"/>
      <c r="DY137" s="61"/>
      <c r="DZ137" s="61"/>
      <c r="EA137" s="61"/>
      <c r="EB137" s="61"/>
      <c r="EC137" s="61"/>
    </row>
    <row r="138" spans="1:133">
      <c r="A138" s="121"/>
      <c r="B138" s="121"/>
      <c r="C138" s="106" t="s">
        <v>166</v>
      </c>
      <c r="D138" s="484"/>
      <c r="E138" s="484"/>
      <c r="F138" s="484"/>
      <c r="G138" s="472"/>
      <c r="H138" s="663">
        <v>7.5</v>
      </c>
      <c r="I138" s="644">
        <v>7.5</v>
      </c>
      <c r="J138" s="644">
        <v>7.5</v>
      </c>
      <c r="K138" s="645">
        <v>7.5</v>
      </c>
      <c r="L138" s="948">
        <v>7.4</v>
      </c>
      <c r="M138" s="410"/>
      <c r="N138" s="410"/>
      <c r="O138" s="846"/>
      <c r="P138" s="2291"/>
      <c r="Q138" s="304"/>
      <c r="R138" s="304"/>
      <c r="S138" s="319"/>
      <c r="T138" s="2854"/>
      <c r="U138" s="319"/>
      <c r="V138" s="319"/>
      <c r="W138" s="319"/>
      <c r="X138" s="786"/>
      <c r="Y138" s="319"/>
      <c r="Z138" s="319"/>
      <c r="AA138" s="319"/>
      <c r="AB138" s="319"/>
      <c r="AC138" s="319"/>
      <c r="AD138" s="319"/>
      <c r="AE138" s="319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  <c r="CP138" s="61"/>
      <c r="CQ138" s="61"/>
      <c r="CR138" s="61"/>
      <c r="CS138" s="61"/>
      <c r="CT138" s="61"/>
      <c r="CU138" s="61"/>
      <c r="CV138" s="61"/>
      <c r="CW138" s="61"/>
      <c r="CX138" s="61"/>
      <c r="CY138" s="61"/>
      <c r="CZ138" s="61"/>
      <c r="DA138" s="61"/>
      <c r="DB138" s="61"/>
      <c r="DC138" s="61"/>
      <c r="DD138" s="61"/>
      <c r="DE138" s="61"/>
      <c r="DF138" s="61"/>
      <c r="DG138" s="61"/>
      <c r="DH138" s="61"/>
      <c r="DI138" s="61"/>
      <c r="DJ138" s="61"/>
      <c r="DK138" s="61"/>
      <c r="DL138" s="61"/>
      <c r="DM138" s="61"/>
      <c r="DN138" s="61"/>
      <c r="DO138" s="61"/>
      <c r="DP138" s="61"/>
      <c r="DQ138" s="61"/>
      <c r="DR138" s="61"/>
      <c r="DS138" s="61"/>
      <c r="DT138" s="61"/>
      <c r="DU138" s="61"/>
      <c r="DV138" s="61"/>
      <c r="DW138" s="61"/>
      <c r="DX138" s="61"/>
      <c r="DY138" s="61"/>
      <c r="DZ138" s="61"/>
      <c r="EA138" s="61"/>
      <c r="EB138" s="61"/>
      <c r="EC138" s="61"/>
    </row>
    <row r="139" spans="1:133">
      <c r="A139" s="121"/>
      <c r="B139" s="121"/>
      <c r="C139" s="106" t="s">
        <v>162</v>
      </c>
      <c r="D139" s="671">
        <v>7.4333333333333336</v>
      </c>
      <c r="E139" s="671">
        <v>7.2666666666666666</v>
      </c>
      <c r="F139" s="671">
        <v>8.1333333333333329</v>
      </c>
      <c r="G139" s="672">
        <v>7.9</v>
      </c>
      <c r="H139" s="663">
        <v>8.1999999999999993</v>
      </c>
      <c r="I139" s="644">
        <v>8.1</v>
      </c>
      <c r="J139" s="644">
        <v>7.8</v>
      </c>
      <c r="K139" s="645">
        <v>8.1</v>
      </c>
      <c r="L139" s="948">
        <v>7.8</v>
      </c>
      <c r="M139" s="410">
        <v>8</v>
      </c>
      <c r="N139" s="410">
        <v>8.1</v>
      </c>
      <c r="O139" s="846"/>
      <c r="P139" s="2291">
        <v>7.95</v>
      </c>
      <c r="Q139" s="304">
        <v>8.1</v>
      </c>
      <c r="R139" s="304">
        <v>7.63</v>
      </c>
      <c r="S139" s="319">
        <v>7.4</v>
      </c>
      <c r="T139" s="2854">
        <v>7.57</v>
      </c>
      <c r="U139" s="319">
        <v>7.73</v>
      </c>
      <c r="V139" s="319">
        <v>7.8</v>
      </c>
      <c r="W139" s="319">
        <v>7.73</v>
      </c>
      <c r="X139" s="786">
        <v>8.17</v>
      </c>
      <c r="Y139" s="319">
        <v>8.07</v>
      </c>
      <c r="Z139" s="319"/>
      <c r="AA139" s="319">
        <v>7.6999999999999993</v>
      </c>
      <c r="AB139" s="319"/>
      <c r="AC139" s="319"/>
      <c r="AD139" s="319"/>
      <c r="AE139" s="319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  <c r="CP139" s="61"/>
      <c r="CQ139" s="61"/>
      <c r="CR139" s="61"/>
      <c r="CS139" s="61"/>
      <c r="CT139" s="61"/>
      <c r="CU139" s="61"/>
      <c r="CV139" s="61"/>
      <c r="CW139" s="61"/>
      <c r="CX139" s="61"/>
      <c r="CY139" s="61"/>
      <c r="CZ139" s="61"/>
      <c r="DA139" s="61"/>
      <c r="DB139" s="61"/>
      <c r="DC139" s="61"/>
      <c r="DD139" s="61"/>
      <c r="DE139" s="61"/>
      <c r="DF139" s="61"/>
      <c r="DG139" s="61"/>
      <c r="DH139" s="61"/>
      <c r="DI139" s="61"/>
      <c r="DJ139" s="61"/>
      <c r="DK139" s="61"/>
      <c r="DL139" s="61"/>
      <c r="DM139" s="61"/>
      <c r="DN139" s="61"/>
      <c r="DO139" s="61"/>
      <c r="DP139" s="61"/>
      <c r="DQ139" s="61"/>
      <c r="DR139" s="61"/>
      <c r="DS139" s="61"/>
      <c r="DT139" s="61"/>
      <c r="DU139" s="61"/>
      <c r="DV139" s="61"/>
      <c r="DW139" s="61"/>
      <c r="DX139" s="61"/>
      <c r="DY139" s="61"/>
      <c r="DZ139" s="61"/>
      <c r="EA139" s="61"/>
      <c r="EB139" s="61"/>
      <c r="EC139" s="61"/>
    </row>
    <row r="140" spans="1:133">
      <c r="A140" s="121"/>
      <c r="B140" s="121"/>
      <c r="C140" s="106" t="s">
        <v>101</v>
      </c>
      <c r="D140" s="671">
        <v>7.0333333333333341</v>
      </c>
      <c r="E140" s="671">
        <v>6.833333333333333</v>
      </c>
      <c r="F140" s="671">
        <v>7.6333333333333329</v>
      </c>
      <c r="G140" s="672">
        <v>7.5</v>
      </c>
      <c r="H140" s="663">
        <v>7.7</v>
      </c>
      <c r="I140" s="644">
        <v>7.7</v>
      </c>
      <c r="J140" s="644">
        <v>7.4</v>
      </c>
      <c r="K140" s="645">
        <v>7.7</v>
      </c>
      <c r="L140" s="948">
        <v>7.7</v>
      </c>
      <c r="M140" s="410">
        <v>7.5</v>
      </c>
      <c r="N140" s="410">
        <v>7.6</v>
      </c>
      <c r="O140" s="846"/>
      <c r="P140" s="2291">
        <v>7.4</v>
      </c>
      <c r="Q140" s="304">
        <v>7.7670000000000003</v>
      </c>
      <c r="R140" s="304">
        <v>7.17</v>
      </c>
      <c r="S140" s="319">
        <v>7.3</v>
      </c>
      <c r="T140" s="2854">
        <v>7.53</v>
      </c>
      <c r="U140" s="319">
        <v>7.63</v>
      </c>
      <c r="V140" s="319">
        <v>7.1</v>
      </c>
      <c r="W140" s="319">
        <v>8.23</v>
      </c>
      <c r="X140" s="786">
        <v>7.77</v>
      </c>
      <c r="Y140" s="319">
        <v>7.8</v>
      </c>
      <c r="Z140" s="319"/>
      <c r="AA140" s="319">
        <v>7.6333333333333329</v>
      </c>
      <c r="AB140" s="319"/>
      <c r="AC140" s="319"/>
      <c r="AD140" s="319"/>
      <c r="AE140" s="319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1"/>
      <c r="CQ140" s="61"/>
      <c r="CR140" s="61"/>
      <c r="CS140" s="61"/>
      <c r="CT140" s="61"/>
      <c r="CU140" s="61"/>
      <c r="CV140" s="61"/>
      <c r="CW140" s="61"/>
      <c r="CX140" s="61"/>
      <c r="CY140" s="61"/>
      <c r="CZ140" s="61"/>
      <c r="DA140" s="61"/>
      <c r="DB140" s="61"/>
      <c r="DC140" s="61"/>
      <c r="DD140" s="61"/>
      <c r="DE140" s="61"/>
      <c r="DF140" s="61"/>
      <c r="DG140" s="61"/>
      <c r="DH140" s="61"/>
      <c r="DI140" s="61"/>
      <c r="DJ140" s="61"/>
      <c r="DK140" s="61"/>
      <c r="DL140" s="61"/>
      <c r="DM140" s="61"/>
      <c r="DN140" s="61"/>
      <c r="DO140" s="61"/>
      <c r="DP140" s="61"/>
      <c r="DQ140" s="61"/>
      <c r="DR140" s="61"/>
      <c r="DS140" s="61"/>
      <c r="DT140" s="61"/>
      <c r="DU140" s="61"/>
      <c r="DV140" s="61"/>
      <c r="DW140" s="61"/>
      <c r="DX140" s="61"/>
      <c r="DY140" s="61"/>
      <c r="DZ140" s="61"/>
      <c r="EA140" s="61"/>
      <c r="EB140" s="61"/>
      <c r="EC140" s="61"/>
    </row>
    <row r="141" spans="1:133">
      <c r="A141" s="121"/>
      <c r="B141" s="121"/>
      <c r="C141" s="106" t="s">
        <v>158</v>
      </c>
      <c r="D141" s="671">
        <v>7</v>
      </c>
      <c r="E141" s="671">
        <v>6.9333333333333336</v>
      </c>
      <c r="F141" s="671">
        <v>7.3</v>
      </c>
      <c r="G141" s="672">
        <v>7.4</v>
      </c>
      <c r="H141" s="663">
        <v>7.5</v>
      </c>
      <c r="I141" s="644">
        <v>7.6</v>
      </c>
      <c r="J141" s="644">
        <v>7.4</v>
      </c>
      <c r="K141" s="645">
        <v>7.2</v>
      </c>
      <c r="L141" s="948">
        <v>7.2</v>
      </c>
      <c r="M141" s="410">
        <v>7.3</v>
      </c>
      <c r="N141" s="410">
        <v>7.5</v>
      </c>
      <c r="O141" s="846"/>
      <c r="P141" s="2397">
        <v>6.87</v>
      </c>
      <c r="Q141" s="831">
        <v>6.8330000000000002</v>
      </c>
      <c r="R141" s="831">
        <v>7.1</v>
      </c>
      <c r="S141" s="832">
        <v>6.8</v>
      </c>
      <c r="T141" s="2855">
        <v>7.13</v>
      </c>
      <c r="U141" s="319">
        <v>7.07</v>
      </c>
      <c r="V141" s="832">
        <v>7.4</v>
      </c>
      <c r="W141" s="832">
        <v>6.93</v>
      </c>
      <c r="X141" s="786">
        <v>7.37</v>
      </c>
      <c r="Y141" s="319">
        <v>6.97</v>
      </c>
      <c r="Z141" s="319"/>
      <c r="AA141" s="319">
        <v>7.2666666666666657</v>
      </c>
      <c r="AB141" s="319"/>
      <c r="AC141" s="319"/>
      <c r="AD141" s="319"/>
      <c r="AE141" s="319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  <c r="DH141" s="61"/>
      <c r="DI141" s="61"/>
      <c r="DJ141" s="61"/>
      <c r="DK141" s="61"/>
      <c r="DL141" s="61"/>
      <c r="DM141" s="61"/>
      <c r="DN141" s="61"/>
      <c r="DO141" s="61"/>
      <c r="DP141" s="61"/>
      <c r="DQ141" s="61"/>
      <c r="DR141" s="61"/>
      <c r="DS141" s="61"/>
      <c r="DT141" s="61"/>
      <c r="DU141" s="61"/>
      <c r="DV141" s="61"/>
      <c r="DW141" s="61"/>
      <c r="DX141" s="61"/>
      <c r="DY141" s="61"/>
      <c r="DZ141" s="61"/>
      <c r="EA141" s="61"/>
      <c r="EB141" s="61"/>
      <c r="EC141" s="61"/>
    </row>
    <row r="142" spans="1:133">
      <c r="A142" s="121"/>
      <c r="B142" s="121"/>
      <c r="C142" s="106" t="s">
        <v>97</v>
      </c>
      <c r="D142" s="671">
        <v>7.0333333333333341</v>
      </c>
      <c r="E142" s="671">
        <v>6.9</v>
      </c>
      <c r="F142" s="671">
        <v>7.6</v>
      </c>
      <c r="G142" s="672">
        <v>7.5666666666666664</v>
      </c>
      <c r="H142" s="663">
        <v>7.5</v>
      </c>
      <c r="I142" s="644">
        <v>7.6</v>
      </c>
      <c r="J142" s="644">
        <v>7.6</v>
      </c>
      <c r="K142" s="645">
        <v>7.6</v>
      </c>
      <c r="L142" s="948">
        <v>7.5</v>
      </c>
      <c r="M142" s="410">
        <v>7.4</v>
      </c>
      <c r="N142" s="410">
        <v>7.5</v>
      </c>
      <c r="O142" s="846"/>
      <c r="P142" s="2397">
        <v>7.4</v>
      </c>
      <c r="Q142" s="831">
        <v>4.9669999999999996</v>
      </c>
      <c r="R142" s="831">
        <v>7.1</v>
      </c>
      <c r="S142" s="832">
        <v>7.3</v>
      </c>
      <c r="T142" s="2855">
        <v>7.27</v>
      </c>
      <c r="U142" s="319">
        <v>7.4</v>
      </c>
      <c r="V142" s="832">
        <v>7.3</v>
      </c>
      <c r="W142" s="832">
        <v>7.5</v>
      </c>
      <c r="X142" s="786">
        <v>7.25</v>
      </c>
      <c r="Y142" s="319">
        <v>7.6</v>
      </c>
      <c r="Z142" s="319"/>
      <c r="AA142" s="319" t="e">
        <v>#DIV/0!</v>
      </c>
      <c r="AB142" s="319"/>
      <c r="AC142" s="319"/>
      <c r="AD142" s="319"/>
      <c r="AE142" s="319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1"/>
      <c r="CX142" s="61"/>
      <c r="CY142" s="61"/>
      <c r="CZ142" s="61"/>
      <c r="DA142" s="61"/>
      <c r="DB142" s="61"/>
      <c r="DC142" s="61"/>
      <c r="DD142" s="61"/>
      <c r="DE142" s="61"/>
      <c r="DF142" s="61"/>
      <c r="DG142" s="61"/>
      <c r="DH142" s="61"/>
      <c r="DI142" s="61"/>
      <c r="DJ142" s="61"/>
      <c r="DK142" s="61"/>
      <c r="DL142" s="61"/>
      <c r="DM142" s="61"/>
      <c r="DN142" s="61"/>
      <c r="DO142" s="61"/>
      <c r="DP142" s="61"/>
      <c r="DQ142" s="61"/>
      <c r="DR142" s="61"/>
      <c r="DS142" s="61"/>
      <c r="DT142" s="61"/>
      <c r="DU142" s="61"/>
      <c r="DV142" s="61"/>
      <c r="DW142" s="61"/>
      <c r="DX142" s="61"/>
      <c r="DY142" s="61"/>
      <c r="DZ142" s="61"/>
      <c r="EA142" s="61"/>
      <c r="EB142" s="61"/>
      <c r="EC142" s="61"/>
    </row>
    <row r="143" spans="1:133">
      <c r="A143" s="121"/>
      <c r="B143" s="121"/>
      <c r="C143" s="106" t="s">
        <v>167</v>
      </c>
      <c r="D143" s="671">
        <v>6.9333333333333336</v>
      </c>
      <c r="E143" s="671">
        <v>6.7666666666666666</v>
      </c>
      <c r="F143" s="671">
        <v>7.4</v>
      </c>
      <c r="G143" s="672">
        <v>7.3</v>
      </c>
      <c r="H143" s="663">
        <v>7.5</v>
      </c>
      <c r="I143" s="644">
        <v>7.4</v>
      </c>
      <c r="J143" s="644">
        <v>7.4</v>
      </c>
      <c r="K143" s="645">
        <v>7.5</v>
      </c>
      <c r="L143" s="948">
        <v>7.4</v>
      </c>
      <c r="M143" s="410">
        <v>7.1</v>
      </c>
      <c r="N143" s="410">
        <v>7.3</v>
      </c>
      <c r="O143" s="846"/>
      <c r="P143" s="2397">
        <v>7.1</v>
      </c>
      <c r="Q143" s="831">
        <v>7.367</v>
      </c>
      <c r="R143" s="831">
        <v>7.53</v>
      </c>
      <c r="S143" s="832">
        <v>9</v>
      </c>
      <c r="T143" s="2855">
        <v>7.2</v>
      </c>
      <c r="U143" s="319">
        <v>7.33</v>
      </c>
      <c r="V143" s="832">
        <v>7.1</v>
      </c>
      <c r="W143" s="832">
        <v>7.43</v>
      </c>
      <c r="X143" s="767">
        <v>7.33</v>
      </c>
      <c r="Y143" s="319">
        <v>7.3</v>
      </c>
      <c r="Z143" s="319"/>
      <c r="AA143" s="319">
        <v>7</v>
      </c>
      <c r="AB143" s="319"/>
      <c r="AC143" s="319"/>
      <c r="AD143" s="319"/>
      <c r="AE143" s="319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  <c r="DG143" s="61"/>
      <c r="DH143" s="61"/>
      <c r="DI143" s="61"/>
      <c r="DJ143" s="61"/>
      <c r="DK143" s="61"/>
      <c r="DL143" s="61"/>
      <c r="DM143" s="61"/>
      <c r="DN143" s="61"/>
      <c r="DO143" s="61"/>
      <c r="DP143" s="61"/>
      <c r="DQ143" s="61"/>
      <c r="DR143" s="61"/>
      <c r="DS143" s="61"/>
      <c r="DT143" s="61"/>
      <c r="DU143" s="61"/>
      <c r="DV143" s="61"/>
      <c r="DW143" s="61"/>
      <c r="DX143" s="61"/>
      <c r="DY143" s="61"/>
      <c r="DZ143" s="61"/>
      <c r="EA143" s="61"/>
      <c r="EB143" s="61"/>
      <c r="EC143" s="61"/>
    </row>
    <row r="144" spans="1:133">
      <c r="A144" s="121"/>
      <c r="B144" s="121"/>
      <c r="C144" s="106" t="s">
        <v>165</v>
      </c>
      <c r="D144" s="484"/>
      <c r="E144" s="484"/>
      <c r="F144" s="484"/>
      <c r="G144" s="472"/>
      <c r="H144" s="663">
        <v>7.4</v>
      </c>
      <c r="I144" s="644"/>
      <c r="J144" s="644">
        <v>7.7</v>
      </c>
      <c r="K144" s="645">
        <v>7.5</v>
      </c>
      <c r="L144" s="948"/>
      <c r="M144" s="410"/>
      <c r="N144" s="410">
        <v>7.2</v>
      </c>
      <c r="O144" s="846"/>
      <c r="P144" s="2397"/>
      <c r="Q144" s="831"/>
      <c r="R144" s="831"/>
      <c r="S144" s="832">
        <v>7</v>
      </c>
      <c r="T144" s="2855"/>
      <c r="U144" s="319"/>
      <c r="V144" s="832"/>
      <c r="W144" s="832">
        <v>6.8</v>
      </c>
      <c r="X144" s="767"/>
      <c r="Y144" s="319" t="s">
        <v>66</v>
      </c>
      <c r="Z144" s="319"/>
      <c r="AA144" s="319">
        <v>6.6</v>
      </c>
      <c r="AB144" s="319"/>
      <c r="AC144" s="319"/>
      <c r="AD144" s="319"/>
      <c r="AE144" s="319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  <c r="DH144" s="61"/>
      <c r="DI144" s="61"/>
      <c r="DJ144" s="61"/>
      <c r="DK144" s="61"/>
      <c r="DL144" s="61"/>
      <c r="DM144" s="61"/>
      <c r="DN144" s="61"/>
      <c r="DO144" s="61"/>
      <c r="DP144" s="61"/>
      <c r="DQ144" s="61"/>
      <c r="DR144" s="61"/>
      <c r="DS144" s="61"/>
      <c r="DT144" s="61"/>
      <c r="DU144" s="61"/>
      <c r="DV144" s="61"/>
      <c r="DW144" s="61"/>
      <c r="DX144" s="61"/>
      <c r="DY144" s="61"/>
      <c r="DZ144" s="61"/>
      <c r="EA144" s="61"/>
      <c r="EB144" s="61"/>
      <c r="EC144" s="61"/>
    </row>
    <row r="145" spans="1:133">
      <c r="A145" s="121"/>
      <c r="B145" s="121"/>
      <c r="C145" s="106" t="s">
        <v>87</v>
      </c>
      <c r="D145" s="671">
        <v>6.9333333333333336</v>
      </c>
      <c r="E145" s="671">
        <v>6.9333333333333327</v>
      </c>
      <c r="F145" s="671">
        <v>7.5333333333333341</v>
      </c>
      <c r="G145" s="672">
        <v>7.5</v>
      </c>
      <c r="H145" s="663">
        <v>7.5</v>
      </c>
      <c r="I145" s="644">
        <v>7.5</v>
      </c>
      <c r="J145" s="644">
        <v>7.5</v>
      </c>
      <c r="K145" s="645">
        <v>7.4</v>
      </c>
      <c r="L145" s="948">
        <v>7.4</v>
      </c>
      <c r="M145" s="410">
        <v>7.4</v>
      </c>
      <c r="N145" s="410">
        <v>7.5</v>
      </c>
      <c r="O145" s="846"/>
      <c r="P145" s="2291">
        <v>7.35</v>
      </c>
      <c r="Q145" s="304">
        <v>7.4669999999999996</v>
      </c>
      <c r="R145" s="304">
        <v>7.57</v>
      </c>
      <c r="S145" s="319">
        <v>7.2</v>
      </c>
      <c r="T145" s="2854">
        <v>7.17</v>
      </c>
      <c r="U145" s="319">
        <v>7.23</v>
      </c>
      <c r="V145" s="319">
        <v>7.1</v>
      </c>
      <c r="W145" s="319">
        <v>7.3</v>
      </c>
      <c r="X145" s="767">
        <v>7.53</v>
      </c>
      <c r="Y145" s="319">
        <v>7.63</v>
      </c>
      <c r="Z145" s="319"/>
      <c r="AA145" s="319">
        <v>7.5500000000000007</v>
      </c>
      <c r="AB145" s="319"/>
      <c r="AC145" s="319"/>
      <c r="AD145" s="319"/>
      <c r="AE145" s="319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  <c r="CW145" s="61"/>
      <c r="CX145" s="61"/>
      <c r="CY145" s="61"/>
      <c r="CZ145" s="61"/>
      <c r="DA145" s="61"/>
      <c r="DB145" s="61"/>
      <c r="DC145" s="61"/>
      <c r="DD145" s="61"/>
      <c r="DE145" s="61"/>
      <c r="DF145" s="61"/>
      <c r="DG145" s="61"/>
      <c r="DH145" s="61"/>
      <c r="DI145" s="61"/>
      <c r="DJ145" s="61"/>
      <c r="DK145" s="61"/>
      <c r="DL145" s="61"/>
      <c r="DM145" s="61"/>
      <c r="DN145" s="61"/>
      <c r="DO145" s="61"/>
      <c r="DP145" s="61"/>
      <c r="DQ145" s="61"/>
      <c r="DR145" s="61"/>
      <c r="DS145" s="61"/>
      <c r="DT145" s="61"/>
      <c r="DU145" s="61"/>
      <c r="DV145" s="61"/>
      <c r="DW145" s="61"/>
      <c r="DX145" s="61"/>
      <c r="DY145" s="61"/>
      <c r="DZ145" s="61"/>
      <c r="EA145" s="61"/>
      <c r="EB145" s="61"/>
      <c r="EC145" s="61"/>
    </row>
    <row r="146" spans="1:133" s="4" customFormat="1">
      <c r="A146" s="121"/>
      <c r="B146" s="121"/>
      <c r="C146" s="1717" t="s">
        <v>435</v>
      </c>
      <c r="D146" s="1718">
        <v>7.1333333333333329</v>
      </c>
      <c r="E146" s="1718">
        <v>7.0333333333333341</v>
      </c>
      <c r="F146" s="1718">
        <v>7.6</v>
      </c>
      <c r="G146" s="1719">
        <v>7.4333333333333336</v>
      </c>
      <c r="H146" s="1720">
        <v>7.4</v>
      </c>
      <c r="I146" s="1721">
        <v>7.6</v>
      </c>
      <c r="J146" s="1721">
        <v>7.6</v>
      </c>
      <c r="K146" s="1722">
        <v>7.2</v>
      </c>
      <c r="L146" s="1706"/>
      <c r="M146" s="1707"/>
      <c r="N146" s="1707"/>
      <c r="O146" s="846"/>
      <c r="P146" s="2407">
        <v>7.2</v>
      </c>
      <c r="Q146" s="304">
        <v>11.083299999999999</v>
      </c>
      <c r="R146" s="304">
        <v>7.5</v>
      </c>
      <c r="S146" s="319">
        <v>7.1</v>
      </c>
      <c r="T146" s="2854">
        <v>7.35</v>
      </c>
      <c r="U146" s="319">
        <v>7.6</v>
      </c>
      <c r="V146" s="319">
        <v>7.4</v>
      </c>
      <c r="W146" s="319">
        <v>7.4</v>
      </c>
      <c r="X146" s="767">
        <v>7.52</v>
      </c>
      <c r="Y146" s="319">
        <v>7.6</v>
      </c>
      <c r="Z146" s="319"/>
      <c r="AA146" s="319">
        <v>7.6000000000000005</v>
      </c>
      <c r="AB146" s="319"/>
      <c r="AC146" s="319"/>
      <c r="AD146" s="319"/>
      <c r="AE146" s="319"/>
      <c r="BB146" s="83"/>
      <c r="BC146" s="83"/>
      <c r="BD146" s="83"/>
      <c r="BE146" s="83"/>
      <c r="BF146" s="83"/>
      <c r="BG146" s="83"/>
      <c r="BH146" s="83"/>
      <c r="BI146" s="83"/>
      <c r="BJ146" s="83"/>
      <c r="BK146" s="83"/>
      <c r="BL146" s="83"/>
      <c r="BM146" s="83"/>
      <c r="BN146" s="83"/>
      <c r="BO146" s="83"/>
      <c r="BP146" s="83"/>
      <c r="BQ146" s="83"/>
      <c r="BR146" s="83"/>
      <c r="BS146" s="83"/>
      <c r="BT146" s="83"/>
      <c r="BU146" s="83"/>
      <c r="BV146" s="83"/>
      <c r="CE146" s="83"/>
      <c r="CF146" s="83"/>
      <c r="CG146" s="83"/>
      <c r="CH146" s="83"/>
      <c r="CI146" s="83"/>
      <c r="CJ146" s="83"/>
      <c r="CK146" s="83"/>
      <c r="CL146" s="83"/>
      <c r="CM146" s="83"/>
      <c r="CN146" s="83"/>
      <c r="CO146" s="83"/>
      <c r="CP146" s="83"/>
      <c r="CQ146" s="83"/>
      <c r="CR146" s="83"/>
      <c r="CS146" s="83"/>
      <c r="CT146" s="83"/>
      <c r="CU146" s="83"/>
      <c r="CV146" s="83"/>
      <c r="CW146" s="83"/>
      <c r="CX146" s="83"/>
      <c r="CY146" s="83"/>
      <c r="CZ146" s="83"/>
      <c r="DA146" s="83"/>
    </row>
    <row r="147" spans="1:133" s="4" customFormat="1">
      <c r="A147" s="121"/>
      <c r="B147" s="121"/>
      <c r="C147" s="1717" t="s">
        <v>436</v>
      </c>
      <c r="D147" s="1718"/>
      <c r="E147" s="1718"/>
      <c r="F147" s="1718"/>
      <c r="G147" s="1719"/>
      <c r="H147" s="1720"/>
      <c r="I147" s="1721"/>
      <c r="J147" s="1721"/>
      <c r="K147" s="1722"/>
      <c r="L147" s="1706"/>
      <c r="M147" s="1707"/>
      <c r="N147" s="1707"/>
      <c r="O147" s="846"/>
      <c r="P147" s="2407"/>
      <c r="Q147" s="304"/>
      <c r="R147" s="304"/>
      <c r="S147" s="319"/>
      <c r="T147" s="2854"/>
      <c r="U147" s="319"/>
      <c r="V147" s="319"/>
      <c r="W147" s="319"/>
      <c r="X147" s="767"/>
      <c r="Y147" s="319"/>
      <c r="Z147" s="319"/>
      <c r="AA147" s="319">
        <v>7.5666666666666673</v>
      </c>
      <c r="AB147" s="319"/>
      <c r="AC147" s="319"/>
      <c r="AD147" s="319"/>
      <c r="AE147" s="319"/>
      <c r="BB147" s="83"/>
      <c r="BC147" s="83"/>
      <c r="BD147" s="83"/>
      <c r="BE147" s="83"/>
      <c r="BF147" s="83"/>
      <c r="BG147" s="83"/>
      <c r="BH147" s="83"/>
      <c r="BI147" s="83"/>
      <c r="BJ147" s="83"/>
      <c r="BK147" s="83"/>
      <c r="BL147" s="83"/>
      <c r="BM147" s="83"/>
      <c r="BN147" s="83"/>
      <c r="BO147" s="83"/>
      <c r="BP147" s="83"/>
      <c r="BQ147" s="83"/>
      <c r="BR147" s="83"/>
      <c r="BS147" s="83"/>
      <c r="BT147" s="83"/>
      <c r="BU147" s="83"/>
      <c r="BV147" s="83"/>
      <c r="CE147" s="83"/>
      <c r="CF147" s="83"/>
      <c r="CG147" s="83"/>
      <c r="CH147" s="83"/>
      <c r="CI147" s="83"/>
      <c r="CJ147" s="83"/>
      <c r="CK147" s="83"/>
      <c r="CL147" s="83"/>
      <c r="CM147" s="83"/>
      <c r="CN147" s="83"/>
      <c r="CO147" s="83"/>
      <c r="CP147" s="83"/>
      <c r="CQ147" s="83"/>
      <c r="CR147" s="83"/>
      <c r="CS147" s="83"/>
      <c r="CT147" s="83"/>
      <c r="CU147" s="83"/>
      <c r="CV147" s="83"/>
      <c r="CW147" s="83"/>
      <c r="CX147" s="83"/>
      <c r="CY147" s="83"/>
      <c r="CZ147" s="83"/>
      <c r="DA147" s="83"/>
    </row>
    <row r="148" spans="1:133" s="4" customFormat="1">
      <c r="A148" s="121"/>
      <c r="B148" s="121"/>
      <c r="C148" s="106" t="s">
        <v>95</v>
      </c>
      <c r="D148" s="671">
        <v>6.8666666666666671</v>
      </c>
      <c r="E148" s="671">
        <v>6.833333333333333</v>
      </c>
      <c r="F148" s="671">
        <v>7.3666666666666671</v>
      </c>
      <c r="G148" s="672">
        <v>7.4666666666666659</v>
      </c>
      <c r="H148" s="663">
        <v>7.5</v>
      </c>
      <c r="I148" s="644">
        <v>7.5</v>
      </c>
      <c r="J148" s="644">
        <v>7.5</v>
      </c>
      <c r="K148" s="645">
        <v>7.4</v>
      </c>
      <c r="L148" s="948">
        <v>7.2</v>
      </c>
      <c r="M148" s="410">
        <v>6.9</v>
      </c>
      <c r="N148" s="410">
        <v>7.4</v>
      </c>
      <c r="O148" s="846"/>
      <c r="P148" s="2291">
        <v>7.23</v>
      </c>
      <c r="Q148" s="304">
        <v>7.2670000000000003</v>
      </c>
      <c r="R148" s="304">
        <v>7.37</v>
      </c>
      <c r="S148" s="319">
        <v>7.2</v>
      </c>
      <c r="T148" s="2854">
        <v>7.17</v>
      </c>
      <c r="U148" s="319">
        <v>7.47</v>
      </c>
      <c r="V148" s="319">
        <v>7.2</v>
      </c>
      <c r="W148" s="319">
        <v>7.4</v>
      </c>
      <c r="X148" s="767">
        <v>7.23</v>
      </c>
      <c r="Y148" s="319">
        <v>7.2</v>
      </c>
      <c r="Z148" s="319"/>
      <c r="AA148" s="319">
        <v>7</v>
      </c>
      <c r="AB148" s="319"/>
      <c r="AC148" s="319"/>
      <c r="AD148" s="319"/>
      <c r="AE148" s="319"/>
      <c r="BB148" s="83"/>
      <c r="BC148" s="83"/>
      <c r="BD148" s="83"/>
      <c r="BE148" s="83"/>
      <c r="BF148" s="83"/>
      <c r="BG148" s="83"/>
      <c r="BH148" s="83"/>
      <c r="BI148" s="83"/>
      <c r="BJ148" s="83"/>
      <c r="BK148" s="83"/>
      <c r="BL148" s="83"/>
      <c r="BM148" s="83"/>
      <c r="BN148" s="83"/>
      <c r="BO148" s="83"/>
      <c r="BP148" s="83"/>
      <c r="BQ148" s="83"/>
      <c r="BR148" s="83"/>
      <c r="BS148" s="83"/>
      <c r="BT148" s="83"/>
      <c r="BU148" s="83"/>
      <c r="BV148" s="83"/>
      <c r="CE148" s="83"/>
      <c r="CF148" s="83"/>
      <c r="CG148" s="83"/>
      <c r="CH148" s="83"/>
      <c r="CI148" s="83"/>
      <c r="CJ148" s="83"/>
      <c r="CK148" s="83"/>
      <c r="CL148" s="83"/>
      <c r="CM148" s="83"/>
      <c r="CN148" s="83"/>
      <c r="CO148" s="83"/>
      <c r="CP148" s="83"/>
      <c r="CQ148" s="83"/>
      <c r="CR148" s="83"/>
      <c r="CS148" s="83"/>
      <c r="CT148" s="83"/>
      <c r="CU148" s="83"/>
      <c r="CV148" s="83"/>
      <c r="CW148" s="83"/>
      <c r="CX148" s="83"/>
      <c r="CY148" s="83"/>
      <c r="CZ148" s="83"/>
      <c r="DA148" s="83"/>
    </row>
    <row r="149" spans="1:133" s="4" customFormat="1">
      <c r="A149" s="121"/>
      <c r="B149" s="121"/>
      <c r="C149" s="1717" t="s">
        <v>437</v>
      </c>
      <c r="D149" s="1718">
        <v>7.3666666666666671</v>
      </c>
      <c r="E149" s="1718">
        <v>7.333333333333333</v>
      </c>
      <c r="F149" s="1718">
        <v>7.9666666666666659</v>
      </c>
      <c r="G149" s="1719">
        <v>7.9666666666666659</v>
      </c>
      <c r="H149" s="1720">
        <v>7.9</v>
      </c>
      <c r="I149" s="1721">
        <v>8.1999999999999993</v>
      </c>
      <c r="J149" s="1721">
        <v>8.1999999999999993</v>
      </c>
      <c r="K149" s="1722">
        <v>8</v>
      </c>
      <c r="L149" s="1706">
        <v>7.4</v>
      </c>
      <c r="M149" s="1707"/>
      <c r="N149" s="1707"/>
      <c r="O149" s="846"/>
      <c r="P149" s="2291">
        <v>7.35</v>
      </c>
      <c r="Q149" s="304">
        <v>11.45</v>
      </c>
      <c r="R149" s="304">
        <v>7.6</v>
      </c>
      <c r="S149" s="319">
        <v>8.1</v>
      </c>
      <c r="T149" s="2854">
        <v>7.5</v>
      </c>
      <c r="U149" s="319"/>
      <c r="V149" s="319">
        <v>7.65</v>
      </c>
      <c r="W149" s="319">
        <v>7.4</v>
      </c>
      <c r="X149" s="767">
        <v>7.83</v>
      </c>
      <c r="Y149" s="319">
        <v>7.9</v>
      </c>
      <c r="Z149" s="319"/>
      <c r="AA149" s="319">
        <v>7.9</v>
      </c>
      <c r="AB149" s="319"/>
      <c r="AC149" s="319"/>
      <c r="AD149" s="319"/>
      <c r="AE149" s="319"/>
      <c r="BB149" s="83"/>
      <c r="BC149" s="83"/>
      <c r="BD149" s="83"/>
      <c r="BE149" s="83"/>
      <c r="BF149" s="83"/>
      <c r="BG149" s="83"/>
      <c r="BH149" s="83"/>
      <c r="BI149" s="83"/>
      <c r="BJ149" s="83"/>
      <c r="BK149" s="83"/>
      <c r="BL149" s="83"/>
      <c r="BM149" s="83"/>
      <c r="BN149" s="83"/>
      <c r="BO149" s="83"/>
      <c r="BP149" s="83"/>
      <c r="BQ149" s="83"/>
      <c r="BR149" s="83"/>
      <c r="BS149" s="83"/>
      <c r="BT149" s="83"/>
      <c r="BU149" s="83"/>
      <c r="BV149" s="83"/>
      <c r="CE149" s="83"/>
      <c r="CF149" s="83"/>
      <c r="CG149" s="83"/>
      <c r="CH149" s="83"/>
      <c r="CI149" s="83"/>
      <c r="CJ149" s="83"/>
      <c r="CK149" s="83"/>
      <c r="CL149" s="83"/>
      <c r="CM149" s="83"/>
      <c r="CN149" s="83"/>
      <c r="CO149" s="83"/>
      <c r="CP149" s="83"/>
      <c r="CQ149" s="83"/>
      <c r="CR149" s="83"/>
      <c r="CS149" s="83"/>
      <c r="CT149" s="83"/>
      <c r="CU149" s="83"/>
      <c r="CV149" s="83"/>
      <c r="CW149" s="83"/>
      <c r="CX149" s="83"/>
      <c r="CY149" s="83"/>
      <c r="CZ149" s="83"/>
      <c r="DA149" s="83"/>
    </row>
    <row r="150" spans="1:133" s="4" customFormat="1">
      <c r="A150" s="121"/>
      <c r="B150" s="121"/>
      <c r="C150" s="1717" t="s">
        <v>438</v>
      </c>
      <c r="D150" s="1718"/>
      <c r="E150" s="1718"/>
      <c r="F150" s="1718"/>
      <c r="G150" s="1719"/>
      <c r="H150" s="1720"/>
      <c r="I150" s="1721"/>
      <c r="J150" s="1721"/>
      <c r="K150" s="1722"/>
      <c r="L150" s="1706"/>
      <c r="M150" s="1707"/>
      <c r="N150" s="1707"/>
      <c r="O150" s="846"/>
      <c r="P150" s="2291"/>
      <c r="Q150" s="304"/>
      <c r="R150" s="304"/>
      <c r="S150" s="319"/>
      <c r="T150" s="2854"/>
      <c r="U150" s="319"/>
      <c r="V150" s="319"/>
      <c r="W150" s="319"/>
      <c r="X150" s="767"/>
      <c r="Y150" s="319"/>
      <c r="Z150" s="319"/>
      <c r="AA150" s="319">
        <v>7.65</v>
      </c>
      <c r="AB150" s="319"/>
      <c r="AC150" s="319"/>
      <c r="AD150" s="319"/>
      <c r="AE150" s="319"/>
      <c r="BB150" s="83"/>
      <c r="BC150" s="83"/>
      <c r="BD150" s="83"/>
      <c r="BE150" s="83"/>
      <c r="BF150" s="83"/>
      <c r="BG150" s="83"/>
      <c r="BH150" s="83"/>
      <c r="BI150" s="83"/>
      <c r="BJ150" s="83"/>
      <c r="BK150" s="83"/>
      <c r="BL150" s="83"/>
      <c r="BM150" s="83"/>
      <c r="BN150" s="83"/>
      <c r="BO150" s="83"/>
      <c r="BP150" s="83"/>
      <c r="BQ150" s="83"/>
      <c r="BR150" s="83"/>
      <c r="BS150" s="83"/>
      <c r="BT150" s="83"/>
      <c r="BU150" s="83"/>
      <c r="BV150" s="83"/>
      <c r="CE150" s="83"/>
      <c r="CF150" s="83"/>
      <c r="CG150" s="83"/>
      <c r="CH150" s="83"/>
      <c r="CI150" s="83"/>
      <c r="CJ150" s="83"/>
      <c r="CK150" s="83"/>
      <c r="CL150" s="83"/>
      <c r="CM150" s="83"/>
      <c r="CN150" s="83"/>
      <c r="CO150" s="83"/>
      <c r="CP150" s="83"/>
      <c r="CQ150" s="83"/>
      <c r="CR150" s="83"/>
      <c r="CS150" s="83"/>
      <c r="CT150" s="83"/>
      <c r="CU150" s="83"/>
      <c r="CV150" s="83"/>
      <c r="CW150" s="83"/>
      <c r="CX150" s="83"/>
      <c r="CY150" s="83"/>
      <c r="CZ150" s="83"/>
      <c r="DA150" s="83"/>
    </row>
    <row r="151" spans="1:133" s="965" customFormat="1">
      <c r="A151" s="121"/>
      <c r="B151" s="121"/>
      <c r="C151" s="106" t="s">
        <v>164</v>
      </c>
      <c r="D151" s="671">
        <v>6.8</v>
      </c>
      <c r="E151" s="671">
        <v>6.9</v>
      </c>
      <c r="F151" s="671">
        <v>7.4</v>
      </c>
      <c r="G151" s="672">
        <v>7.333333333333333</v>
      </c>
      <c r="H151" s="663">
        <v>7.5</v>
      </c>
      <c r="I151" s="644">
        <v>7.5</v>
      </c>
      <c r="J151" s="644">
        <v>7.2</v>
      </c>
      <c r="K151" s="645">
        <v>7.4</v>
      </c>
      <c r="L151" s="948">
        <v>7.1</v>
      </c>
      <c r="M151" s="410">
        <v>7.4</v>
      </c>
      <c r="N151" s="410">
        <v>7.3</v>
      </c>
      <c r="O151" s="846"/>
      <c r="P151" s="2407">
        <v>7.6</v>
      </c>
      <c r="Q151" s="304">
        <v>7.4</v>
      </c>
      <c r="R151" s="304">
        <v>7.67</v>
      </c>
      <c r="S151" s="319">
        <v>7</v>
      </c>
      <c r="T151" s="2854">
        <v>7.4</v>
      </c>
      <c r="U151" s="319">
        <v>7.37</v>
      </c>
      <c r="V151" s="319">
        <v>7.2</v>
      </c>
      <c r="W151" s="319">
        <v>7.57</v>
      </c>
      <c r="X151" s="767">
        <v>7.7</v>
      </c>
      <c r="Y151" s="319">
        <v>7.67</v>
      </c>
      <c r="Z151" s="319"/>
      <c r="AA151" s="319">
        <v>7.45</v>
      </c>
      <c r="AB151" s="319"/>
      <c r="AC151" s="319"/>
      <c r="AD151" s="319"/>
      <c r="AE151" s="319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  <c r="CT151" s="61"/>
      <c r="CU151" s="61"/>
      <c r="CV151" s="61"/>
      <c r="CW151" s="61"/>
      <c r="CX151" s="61"/>
      <c r="CY151" s="61"/>
      <c r="CZ151" s="61"/>
      <c r="DA151" s="61"/>
      <c r="DB151" s="61"/>
      <c r="DC151" s="61"/>
      <c r="DD151" s="61"/>
      <c r="DE151" s="61"/>
      <c r="DF151" s="61"/>
      <c r="DG151" s="61"/>
      <c r="DH151" s="61"/>
      <c r="DI151" s="61"/>
      <c r="DJ151" s="61"/>
      <c r="DK151" s="61"/>
      <c r="DL151" s="61"/>
      <c r="DM151" s="61"/>
      <c r="DN151" s="61"/>
      <c r="DO151" s="61"/>
      <c r="DP151" s="61"/>
      <c r="DQ151" s="61"/>
      <c r="DR151" s="61"/>
      <c r="DS151" s="61"/>
      <c r="DT151" s="61"/>
      <c r="DU151" s="61"/>
      <c r="DV151" s="61"/>
      <c r="DW151" s="61"/>
      <c r="DX151" s="61"/>
      <c r="DY151" s="61"/>
      <c r="DZ151" s="61"/>
      <c r="EA151" s="61"/>
      <c r="EB151" s="61"/>
      <c r="EC151" s="61"/>
    </row>
    <row r="152" spans="1:133">
      <c r="A152" s="121"/>
      <c r="B152" s="121"/>
      <c r="C152" s="1717" t="s">
        <v>439</v>
      </c>
      <c r="D152" s="1718">
        <v>6.7</v>
      </c>
      <c r="E152" s="1718">
        <v>6.3</v>
      </c>
      <c r="F152" s="1718">
        <v>7.2</v>
      </c>
      <c r="G152" s="1719">
        <v>7.3666666666666671</v>
      </c>
      <c r="H152" s="1720">
        <v>7.6</v>
      </c>
      <c r="I152" s="1721">
        <v>7.8</v>
      </c>
      <c r="J152" s="1721">
        <v>7.5</v>
      </c>
      <c r="K152" s="1722">
        <v>7.4</v>
      </c>
      <c r="L152" s="1706">
        <v>7.8</v>
      </c>
      <c r="M152" s="1707"/>
      <c r="N152" s="1707"/>
      <c r="O152" s="846"/>
      <c r="P152" s="2407">
        <v>7.5</v>
      </c>
      <c r="Q152" s="304">
        <v>10.9</v>
      </c>
      <c r="R152" s="304">
        <v>7.3</v>
      </c>
      <c r="S152" s="319">
        <v>7.5</v>
      </c>
      <c r="T152" s="2854">
        <v>7.9</v>
      </c>
      <c r="U152" s="319">
        <v>7.67</v>
      </c>
      <c r="V152" s="319">
        <v>7.4</v>
      </c>
      <c r="W152" s="319">
        <v>7.37</v>
      </c>
      <c r="X152" s="767">
        <v>7.32</v>
      </c>
      <c r="Y152" s="319">
        <v>7.63</v>
      </c>
      <c r="Z152" s="319"/>
      <c r="AA152" s="319">
        <v>7.3999999999999995</v>
      </c>
      <c r="AB152" s="319"/>
      <c r="AC152" s="319"/>
      <c r="AD152" s="319"/>
      <c r="AE152" s="319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  <c r="CT152" s="61"/>
      <c r="CU152" s="61"/>
      <c r="CV152" s="61"/>
      <c r="CW152" s="61"/>
      <c r="CX152" s="61"/>
      <c r="CY152" s="61"/>
      <c r="CZ152" s="61"/>
      <c r="DA152" s="61"/>
      <c r="DB152" s="61"/>
      <c r="DC152" s="61"/>
      <c r="DD152" s="61"/>
      <c r="DE152" s="61"/>
      <c r="DF152" s="61"/>
      <c r="DG152" s="61"/>
      <c r="DH152" s="61"/>
      <c r="DI152" s="61"/>
      <c r="DJ152" s="61"/>
      <c r="DK152" s="61"/>
      <c r="DL152" s="61"/>
      <c r="DM152" s="61"/>
      <c r="DN152" s="61"/>
      <c r="DO152" s="61"/>
      <c r="DP152" s="61"/>
      <c r="DQ152" s="61"/>
      <c r="DR152" s="61"/>
      <c r="DS152" s="61"/>
      <c r="DT152" s="61"/>
      <c r="DU152" s="61"/>
      <c r="DV152" s="61"/>
      <c r="DW152" s="61"/>
      <c r="DX152" s="61"/>
      <c r="DY152" s="61"/>
      <c r="DZ152" s="61"/>
      <c r="EA152" s="61"/>
      <c r="EB152" s="61"/>
      <c r="EC152" s="61"/>
    </row>
    <row r="153" spans="1:133" s="3452" customFormat="1">
      <c r="A153" s="121"/>
      <c r="B153" s="121"/>
      <c r="C153" s="1717" t="s">
        <v>440</v>
      </c>
      <c r="D153" s="1718"/>
      <c r="E153" s="1718"/>
      <c r="F153" s="1718"/>
      <c r="G153" s="1719"/>
      <c r="H153" s="1720"/>
      <c r="I153" s="1721"/>
      <c r="J153" s="1721"/>
      <c r="K153" s="1722"/>
      <c r="L153" s="1706"/>
      <c r="M153" s="1707"/>
      <c r="N153" s="1707"/>
      <c r="O153" s="846"/>
      <c r="P153" s="2407"/>
      <c r="Q153" s="304"/>
      <c r="R153" s="304"/>
      <c r="S153" s="319"/>
      <c r="T153" s="2854"/>
      <c r="U153" s="319"/>
      <c r="V153" s="319"/>
      <c r="W153" s="319"/>
      <c r="X153" s="767"/>
      <c r="Y153" s="319"/>
      <c r="Z153" s="319"/>
      <c r="AA153" s="319">
        <v>7.3999999999999995</v>
      </c>
      <c r="AB153" s="319"/>
      <c r="AC153" s="319"/>
      <c r="AD153" s="319"/>
      <c r="AE153" s="319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/>
      <c r="DA153" s="61"/>
      <c r="DB153" s="61"/>
      <c r="DC153" s="61"/>
      <c r="DD153" s="61"/>
      <c r="DE153" s="61"/>
      <c r="DF153" s="61"/>
      <c r="DG153" s="61"/>
      <c r="DH153" s="61"/>
      <c r="DI153" s="61"/>
      <c r="DJ153" s="61"/>
      <c r="DK153" s="61"/>
      <c r="DL153" s="61"/>
      <c r="DM153" s="61"/>
      <c r="DN153" s="61"/>
      <c r="DO153" s="61"/>
      <c r="DP153" s="61"/>
      <c r="DQ153" s="61"/>
      <c r="DR153" s="61"/>
      <c r="DS153" s="61"/>
      <c r="DT153" s="61"/>
      <c r="DU153" s="61"/>
      <c r="DV153" s="61"/>
      <c r="DW153" s="61"/>
      <c r="DX153" s="61"/>
      <c r="DY153" s="61"/>
      <c r="DZ153" s="61"/>
      <c r="EA153" s="61"/>
      <c r="EB153" s="61"/>
      <c r="EC153" s="61"/>
    </row>
    <row r="154" spans="1:133">
      <c r="A154" s="121"/>
      <c r="B154" s="121"/>
      <c r="C154" s="106" t="s">
        <v>90</v>
      </c>
      <c r="D154" s="671">
        <v>6.9333333333333327</v>
      </c>
      <c r="E154" s="671">
        <v>6.8666666666666671</v>
      </c>
      <c r="F154" s="671">
        <v>7.4333333333333327</v>
      </c>
      <c r="G154" s="672">
        <v>7.4333333333333336</v>
      </c>
      <c r="H154" s="663">
        <v>7.4</v>
      </c>
      <c r="I154" s="644">
        <v>7.4</v>
      </c>
      <c r="J154" s="644">
        <v>7.4</v>
      </c>
      <c r="K154" s="645">
        <v>7.6</v>
      </c>
      <c r="L154" s="948">
        <v>7.5</v>
      </c>
      <c r="M154" s="410">
        <v>7.4</v>
      </c>
      <c r="N154" s="410">
        <v>7.4</v>
      </c>
      <c r="O154" s="846"/>
      <c r="P154" s="2291">
        <v>7.5</v>
      </c>
      <c r="Q154" s="304">
        <v>7.67</v>
      </c>
      <c r="R154" s="304">
        <v>7.4</v>
      </c>
      <c r="S154" s="319">
        <v>7.1</v>
      </c>
      <c r="T154" s="2854">
        <v>7.07</v>
      </c>
      <c r="U154" s="319">
        <v>7.13</v>
      </c>
      <c r="V154" s="319">
        <v>7.1</v>
      </c>
      <c r="W154" s="319">
        <v>7.67</v>
      </c>
      <c r="X154" s="767">
        <v>7.53</v>
      </c>
      <c r="Y154" s="319">
        <v>7.43</v>
      </c>
      <c r="Z154" s="319"/>
      <c r="AA154" s="319">
        <v>6.95</v>
      </c>
      <c r="AB154" s="319"/>
      <c r="AC154" s="319"/>
      <c r="AD154" s="319"/>
      <c r="AE154" s="319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  <c r="CS154" s="61"/>
      <c r="CT154" s="61"/>
      <c r="CU154" s="61"/>
      <c r="CV154" s="61"/>
      <c r="CW154" s="61"/>
      <c r="CX154" s="61"/>
      <c r="CY154" s="61"/>
      <c r="CZ154" s="61"/>
      <c r="DA154" s="61"/>
      <c r="DB154" s="61"/>
      <c r="DC154" s="61"/>
      <c r="DD154" s="61"/>
      <c r="DE154" s="61"/>
      <c r="DF154" s="61"/>
      <c r="DG154" s="61"/>
      <c r="DH154" s="61"/>
      <c r="DI154" s="61"/>
      <c r="DJ154" s="61"/>
      <c r="DK154" s="61"/>
      <c r="DL154" s="61"/>
      <c r="DM154" s="61"/>
      <c r="DN154" s="61"/>
      <c r="DO154" s="61"/>
      <c r="DP154" s="61"/>
      <c r="DQ154" s="61"/>
      <c r="DR154" s="61"/>
      <c r="DS154" s="61"/>
      <c r="DT154" s="61"/>
      <c r="DU154" s="61"/>
      <c r="DV154" s="61"/>
      <c r="DW154" s="61"/>
      <c r="DX154" s="61"/>
      <c r="DY154" s="61"/>
      <c r="DZ154" s="61"/>
      <c r="EA154" s="61"/>
      <c r="EB154" s="61"/>
      <c r="EC154" s="61"/>
    </row>
    <row r="155" spans="1:133">
      <c r="A155" s="121"/>
      <c r="B155" s="121"/>
      <c r="C155" s="106" t="s">
        <v>92</v>
      </c>
      <c r="D155" s="671">
        <v>6.7</v>
      </c>
      <c r="E155" s="671">
        <v>6.666666666666667</v>
      </c>
      <c r="F155" s="671">
        <v>7.2333333333333343</v>
      </c>
      <c r="G155" s="672">
        <v>7.4666666666666659</v>
      </c>
      <c r="H155" s="663">
        <v>7.6</v>
      </c>
      <c r="I155" s="644">
        <v>7.4</v>
      </c>
      <c r="J155" s="644">
        <v>7.5</v>
      </c>
      <c r="K155" s="645">
        <v>7.6</v>
      </c>
      <c r="L155" s="948">
        <v>7.4</v>
      </c>
      <c r="M155" s="410">
        <v>6.6</v>
      </c>
      <c r="N155" s="410">
        <v>7.5</v>
      </c>
      <c r="O155" s="846"/>
      <c r="P155" s="2407">
        <v>7.6</v>
      </c>
      <c r="Q155" s="304">
        <v>7.1</v>
      </c>
      <c r="R155" s="304">
        <v>7.03</v>
      </c>
      <c r="S155" s="319">
        <v>7.1</v>
      </c>
      <c r="T155" s="2854">
        <v>7.53</v>
      </c>
      <c r="U155" s="319">
        <v>7.17</v>
      </c>
      <c r="V155" s="319">
        <v>7.3</v>
      </c>
      <c r="W155" s="319">
        <v>7.5</v>
      </c>
      <c r="X155" s="767">
        <v>7.23</v>
      </c>
      <c r="Y155" s="319">
        <v>7.23</v>
      </c>
      <c r="Z155" s="319"/>
      <c r="AA155" s="319">
        <v>7.0333333333333341</v>
      </c>
      <c r="AB155" s="319"/>
      <c r="AC155" s="319"/>
      <c r="AD155" s="319"/>
      <c r="AE155" s="319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  <c r="DG155" s="61"/>
      <c r="DH155" s="61"/>
      <c r="DI155" s="61"/>
      <c r="DJ155" s="61"/>
      <c r="DK155" s="61"/>
      <c r="DL155" s="61"/>
      <c r="DM155" s="61"/>
      <c r="DN155" s="61"/>
      <c r="DO155" s="61"/>
      <c r="DP155" s="61"/>
      <c r="DQ155" s="61"/>
      <c r="DR155" s="61"/>
      <c r="DS155" s="61"/>
      <c r="DT155" s="61"/>
      <c r="DU155" s="61"/>
      <c r="DV155" s="61"/>
      <c r="DW155" s="61"/>
      <c r="DX155" s="61"/>
      <c r="DY155" s="61"/>
      <c r="DZ155" s="61"/>
      <c r="EA155" s="61"/>
      <c r="EB155" s="61"/>
      <c r="EC155" s="61"/>
    </row>
    <row r="156" spans="1:133">
      <c r="A156" s="121"/>
      <c r="B156" s="121"/>
      <c r="C156" s="106" t="s">
        <v>160</v>
      </c>
      <c r="D156" s="671">
        <v>6.7</v>
      </c>
      <c r="E156" s="671">
        <v>6.7666666666666666</v>
      </c>
      <c r="F156" s="671">
        <v>7.2333333333333334</v>
      </c>
      <c r="G156" s="672">
        <v>7.3666666666666671</v>
      </c>
      <c r="H156" s="663">
        <v>7.3</v>
      </c>
      <c r="I156" s="644">
        <v>7.3</v>
      </c>
      <c r="J156" s="644">
        <v>7.5</v>
      </c>
      <c r="K156" s="645">
        <v>7.6</v>
      </c>
      <c r="L156" s="948">
        <v>7.4</v>
      </c>
      <c r="M156" s="410">
        <v>6.7</v>
      </c>
      <c r="N156" s="410">
        <v>7.3</v>
      </c>
      <c r="O156" s="846"/>
      <c r="P156" s="2407">
        <v>7.1</v>
      </c>
      <c r="Q156" s="304">
        <v>7.1</v>
      </c>
      <c r="R156" s="304">
        <v>6.3</v>
      </c>
      <c r="S156" s="319">
        <v>7.2</v>
      </c>
      <c r="T156" s="2854">
        <v>7.03</v>
      </c>
      <c r="U156" s="319">
        <v>7.03</v>
      </c>
      <c r="V156" s="319">
        <v>7</v>
      </c>
      <c r="W156" s="319">
        <v>6.67</v>
      </c>
      <c r="X156" s="767">
        <v>6.83</v>
      </c>
      <c r="Y156" s="319">
        <v>6.87</v>
      </c>
      <c r="Z156" s="319"/>
      <c r="AA156" s="319">
        <v>7.6</v>
      </c>
      <c r="AB156" s="319"/>
      <c r="AC156" s="319"/>
      <c r="AD156" s="319"/>
      <c r="AE156" s="319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  <c r="CP156" s="61"/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  <c r="DG156" s="61"/>
      <c r="DH156" s="61"/>
      <c r="DI156" s="61"/>
      <c r="DJ156" s="61"/>
      <c r="DK156" s="61"/>
      <c r="DL156" s="61"/>
      <c r="DM156" s="61"/>
      <c r="DN156" s="61"/>
      <c r="DO156" s="61"/>
      <c r="DP156" s="61"/>
      <c r="DQ156" s="61"/>
      <c r="DR156" s="61"/>
      <c r="DS156" s="61"/>
      <c r="DT156" s="61"/>
      <c r="DU156" s="61"/>
      <c r="DV156" s="61"/>
      <c r="DW156" s="61"/>
      <c r="DX156" s="61"/>
      <c r="DY156" s="61"/>
      <c r="DZ156" s="61"/>
      <c r="EA156" s="61"/>
      <c r="EB156" s="61"/>
      <c r="EC156" s="61"/>
    </row>
    <row r="157" spans="1:133">
      <c r="A157" s="121"/>
      <c r="B157" s="121"/>
      <c r="C157" s="106" t="s">
        <v>161</v>
      </c>
      <c r="D157" s="671">
        <v>6.833333333333333</v>
      </c>
      <c r="E157" s="671">
        <v>6.7666666666666657</v>
      </c>
      <c r="F157" s="671">
        <v>7.333333333333333</v>
      </c>
      <c r="G157" s="672">
        <v>7.3</v>
      </c>
      <c r="H157" s="663">
        <v>7.1</v>
      </c>
      <c r="I157" s="644">
        <v>7.3</v>
      </c>
      <c r="J157" s="644">
        <v>7.5</v>
      </c>
      <c r="K157" s="645">
        <v>7.7</v>
      </c>
      <c r="L157" s="948">
        <v>7.5</v>
      </c>
      <c r="M157" s="410">
        <v>7.3</v>
      </c>
      <c r="N157" s="410">
        <v>7.5</v>
      </c>
      <c r="O157" s="846"/>
      <c r="P157" s="2291">
        <v>7.55</v>
      </c>
      <c r="Q157" s="304">
        <v>7.4669999999999996</v>
      </c>
      <c r="R157" s="304">
        <v>7.4</v>
      </c>
      <c r="S157" s="319">
        <v>7.4</v>
      </c>
      <c r="T157" s="2854">
        <v>7.43</v>
      </c>
      <c r="U157" s="319">
        <v>7.33</v>
      </c>
      <c r="V157" s="319">
        <v>7.1</v>
      </c>
      <c r="W157" s="319">
        <v>7.57</v>
      </c>
      <c r="X157" s="767">
        <v>7.7</v>
      </c>
      <c r="Y157" s="319">
        <v>7.6</v>
      </c>
      <c r="Z157" s="319"/>
      <c r="AA157" s="319">
        <v>7.75</v>
      </c>
      <c r="AB157" s="319"/>
      <c r="AC157" s="319"/>
      <c r="AD157" s="319"/>
      <c r="AE157" s="319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  <c r="CM157" s="61"/>
      <c r="CN157" s="61"/>
      <c r="CO157" s="61"/>
      <c r="CP157" s="61"/>
      <c r="CQ157" s="61"/>
      <c r="CR157" s="61"/>
      <c r="CS157" s="61"/>
      <c r="CT157" s="61"/>
      <c r="CU157" s="61"/>
      <c r="CV157" s="61"/>
      <c r="CW157" s="61"/>
      <c r="CX157" s="61"/>
      <c r="CY157" s="61"/>
      <c r="CZ157" s="61"/>
      <c r="DA157" s="61"/>
      <c r="DB157" s="61"/>
      <c r="DC157" s="61"/>
      <c r="DD157" s="61"/>
      <c r="DE157" s="61"/>
      <c r="DF157" s="61"/>
      <c r="DG157" s="61"/>
      <c r="DH157" s="61"/>
      <c r="DI157" s="61"/>
      <c r="DJ157" s="61"/>
      <c r="DK157" s="61"/>
      <c r="DL157" s="61"/>
      <c r="DM157" s="61"/>
      <c r="DN157" s="61"/>
      <c r="DO157" s="61"/>
      <c r="DP157" s="61"/>
      <c r="DQ157" s="61"/>
      <c r="DR157" s="61"/>
      <c r="DS157" s="61"/>
      <c r="DT157" s="61"/>
      <c r="DU157" s="61"/>
      <c r="DV157" s="61"/>
      <c r="DW157" s="61"/>
      <c r="DX157" s="61"/>
      <c r="DY157" s="61"/>
      <c r="DZ157" s="61"/>
      <c r="EA157" s="61"/>
      <c r="EB157" s="61"/>
      <c r="EC157" s="61"/>
    </row>
    <row r="158" spans="1:133">
      <c r="A158" s="121"/>
      <c r="B158" s="121"/>
      <c r="C158" s="106" t="s">
        <v>159</v>
      </c>
      <c r="D158" s="671">
        <v>7.2333333333333334</v>
      </c>
      <c r="E158" s="671">
        <v>7.0333333333333341</v>
      </c>
      <c r="F158" s="671">
        <v>7.6</v>
      </c>
      <c r="G158" s="672">
        <v>7.5666666666666664</v>
      </c>
      <c r="H158" s="663">
        <v>7.5</v>
      </c>
      <c r="I158" s="644">
        <v>7.9</v>
      </c>
      <c r="J158" s="644">
        <v>7.6</v>
      </c>
      <c r="K158" s="645">
        <v>7.7</v>
      </c>
      <c r="L158" s="948">
        <v>7.6</v>
      </c>
      <c r="M158" s="410">
        <v>7.6</v>
      </c>
      <c r="N158" s="410">
        <v>7.5</v>
      </c>
      <c r="O158" s="846"/>
      <c r="P158" s="2291">
        <v>7.5</v>
      </c>
      <c r="Q158" s="304">
        <v>5.0999999999999996</v>
      </c>
      <c r="R158" s="304">
        <v>7.33</v>
      </c>
      <c r="S158" s="319">
        <v>7.4</v>
      </c>
      <c r="T158" s="2854">
        <v>7.53</v>
      </c>
      <c r="U158" s="319">
        <v>7.67</v>
      </c>
      <c r="V158" s="319">
        <v>7.4</v>
      </c>
      <c r="W158" s="319">
        <v>7.7</v>
      </c>
      <c r="X158" s="767">
        <v>7.7</v>
      </c>
      <c r="Y158" s="319">
        <v>7.8</v>
      </c>
      <c r="Z158" s="319"/>
      <c r="AA158" s="319">
        <v>7.3666666666666671</v>
      </c>
      <c r="AB158" s="319"/>
      <c r="AC158" s="319"/>
      <c r="AD158" s="319"/>
      <c r="AE158" s="319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  <c r="CT158" s="61"/>
      <c r="CU158" s="61"/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  <c r="DG158" s="61"/>
      <c r="DH158" s="61"/>
      <c r="DI158" s="61"/>
      <c r="DJ158" s="61"/>
      <c r="DK158" s="61"/>
      <c r="DL158" s="61"/>
      <c r="DM158" s="61"/>
      <c r="DN158" s="61"/>
      <c r="DO158" s="61"/>
      <c r="DP158" s="61"/>
      <c r="DQ158" s="61"/>
      <c r="DR158" s="61"/>
      <c r="DS158" s="61"/>
      <c r="DT158" s="61"/>
      <c r="DU158" s="61"/>
      <c r="DV158" s="61"/>
      <c r="DW158" s="61"/>
      <c r="DX158" s="61"/>
      <c r="DY158" s="61"/>
      <c r="DZ158" s="61"/>
      <c r="EA158" s="61"/>
      <c r="EB158" s="61"/>
      <c r="EC158" s="61"/>
    </row>
    <row r="159" spans="1:133" ht="15" customHeight="1">
      <c r="A159" s="121"/>
      <c r="B159" s="121"/>
      <c r="C159" s="106" t="s">
        <v>89</v>
      </c>
      <c r="D159" s="671">
        <v>6.6333333333333329</v>
      </c>
      <c r="E159" s="671">
        <v>6.4666666666666659</v>
      </c>
      <c r="F159" s="671">
        <v>6.9666666666666659</v>
      </c>
      <c r="G159" s="672">
        <v>7</v>
      </c>
      <c r="H159" s="663">
        <v>7.2</v>
      </c>
      <c r="I159" s="644">
        <v>7.1</v>
      </c>
      <c r="J159" s="644">
        <v>6.9</v>
      </c>
      <c r="K159" s="645">
        <v>7.1</v>
      </c>
      <c r="L159" s="948">
        <v>7.2</v>
      </c>
      <c r="M159" s="410">
        <v>6.7</v>
      </c>
      <c r="N159" s="410">
        <v>7.1</v>
      </c>
      <c r="O159" s="846"/>
      <c r="P159" s="2291">
        <v>7.15</v>
      </c>
      <c r="Q159" s="304">
        <v>7.2</v>
      </c>
      <c r="R159" s="304">
        <v>7.1</v>
      </c>
      <c r="S159" s="319">
        <v>7.1</v>
      </c>
      <c r="T159" s="2854">
        <v>7.6</v>
      </c>
      <c r="U159" s="319">
        <v>7.17</v>
      </c>
      <c r="V159" s="319">
        <v>6.8</v>
      </c>
      <c r="W159" s="319">
        <v>7.43</v>
      </c>
      <c r="X159" s="767">
        <v>7.23</v>
      </c>
      <c r="Y159" s="319">
        <v>7.43</v>
      </c>
      <c r="Z159" s="319"/>
      <c r="AA159" s="319">
        <v>7.1333333333333329</v>
      </c>
      <c r="AB159" s="319"/>
      <c r="AC159" s="319"/>
      <c r="AD159" s="319"/>
      <c r="AE159" s="319"/>
      <c r="AF159" s="95"/>
      <c r="AG159" s="13"/>
      <c r="AH159" s="13"/>
      <c r="AI159" s="61"/>
      <c r="AJ159" s="61"/>
      <c r="AK159" s="61"/>
      <c r="AL159" s="61"/>
      <c r="AM159" s="95"/>
      <c r="AN159" s="70"/>
      <c r="AO159" s="70"/>
      <c r="AP159" s="13"/>
      <c r="AQ159" s="13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  <c r="CT159" s="61"/>
      <c r="CU159" s="61"/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  <c r="DG159" s="61"/>
      <c r="DH159" s="61"/>
      <c r="DI159" s="61"/>
      <c r="DJ159" s="61"/>
      <c r="DK159" s="61"/>
      <c r="DL159" s="61"/>
      <c r="DM159" s="61"/>
      <c r="DN159" s="61"/>
      <c r="DO159" s="61"/>
      <c r="DP159" s="61"/>
      <c r="DQ159" s="61"/>
      <c r="DR159" s="61"/>
      <c r="DS159" s="61"/>
      <c r="DT159" s="61"/>
      <c r="DU159" s="61"/>
      <c r="DV159" s="61"/>
      <c r="DW159" s="61"/>
      <c r="DX159" s="61"/>
      <c r="DY159" s="61"/>
      <c r="DZ159" s="61"/>
      <c r="EA159" s="61"/>
      <c r="EB159" s="61"/>
      <c r="EC159" s="61"/>
    </row>
    <row r="160" spans="1:133">
      <c r="A160" s="121"/>
      <c r="B160" s="121"/>
      <c r="C160" s="106" t="s">
        <v>163</v>
      </c>
      <c r="D160" s="1755">
        <v>6.9333333333333336</v>
      </c>
      <c r="E160" s="1755">
        <v>6.833333333333333</v>
      </c>
      <c r="F160" s="1755">
        <v>7.666666666666667</v>
      </c>
      <c r="G160" s="1756">
        <v>7.5666666666666673</v>
      </c>
      <c r="H160" s="1757">
        <v>7.6</v>
      </c>
      <c r="I160" s="10">
        <v>7.5</v>
      </c>
      <c r="J160" s="10">
        <v>7.7</v>
      </c>
      <c r="K160" s="1758">
        <v>7.6</v>
      </c>
      <c r="L160" s="393">
        <v>7.5</v>
      </c>
      <c r="M160" s="394">
        <v>7.3</v>
      </c>
      <c r="N160" s="394">
        <v>7.5</v>
      </c>
      <c r="O160" s="846"/>
      <c r="P160" s="2407">
        <v>7.4</v>
      </c>
      <c r="Q160" s="304">
        <v>7.633</v>
      </c>
      <c r="R160" s="304">
        <v>7.57</v>
      </c>
      <c r="S160" s="319">
        <v>7</v>
      </c>
      <c r="T160" s="2854">
        <v>7.1</v>
      </c>
      <c r="U160" s="319">
        <v>7.43</v>
      </c>
      <c r="V160" s="319">
        <v>7.3</v>
      </c>
      <c r="W160" s="319">
        <v>7.37</v>
      </c>
      <c r="X160" s="767">
        <v>7.6</v>
      </c>
      <c r="Y160" s="319">
        <v>7.63</v>
      </c>
      <c r="Z160" s="319"/>
      <c r="AA160" s="319">
        <v>7.15</v>
      </c>
      <c r="AB160" s="319"/>
      <c r="AC160" s="319"/>
      <c r="AD160" s="319"/>
      <c r="AE160" s="319"/>
      <c r="AF160" s="142"/>
      <c r="AG160" s="14"/>
      <c r="AH160" s="14"/>
      <c r="AI160" s="61"/>
      <c r="AJ160" s="61"/>
      <c r="AK160" s="61"/>
      <c r="AL160" s="28"/>
      <c r="AM160" s="142"/>
      <c r="AN160" s="142"/>
      <c r="AO160" s="142"/>
      <c r="AP160" s="14"/>
      <c r="AQ160" s="14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  <c r="CT160" s="61"/>
      <c r="CU160" s="61"/>
      <c r="CV160" s="61"/>
      <c r="CW160" s="61"/>
      <c r="CX160" s="61"/>
      <c r="CY160" s="61"/>
      <c r="CZ160" s="61"/>
      <c r="DA160" s="61"/>
      <c r="DB160" s="61"/>
      <c r="DC160" s="61"/>
      <c r="DD160" s="61"/>
      <c r="DE160" s="61"/>
      <c r="DF160" s="61"/>
      <c r="DG160" s="61"/>
      <c r="DH160" s="61"/>
      <c r="DI160" s="61"/>
      <c r="DJ160" s="61"/>
      <c r="DK160" s="61"/>
      <c r="DL160" s="61"/>
      <c r="DM160" s="61"/>
      <c r="DN160" s="61"/>
      <c r="DO160" s="61"/>
      <c r="DP160" s="61"/>
      <c r="DQ160" s="61"/>
      <c r="DR160" s="61"/>
      <c r="DS160" s="61"/>
      <c r="DT160" s="61"/>
      <c r="DU160" s="61"/>
      <c r="DV160" s="61"/>
      <c r="DW160" s="61"/>
      <c r="DX160" s="61"/>
      <c r="DY160" s="61"/>
      <c r="DZ160" s="61"/>
      <c r="EA160" s="61"/>
      <c r="EB160" s="61"/>
      <c r="EC160" s="61"/>
    </row>
    <row r="161" spans="1:133">
      <c r="A161" s="121"/>
      <c r="B161" s="121"/>
      <c r="C161" s="1717" t="s">
        <v>441</v>
      </c>
      <c r="D161" s="1759">
        <v>6.9</v>
      </c>
      <c r="E161" s="1759">
        <v>6.666666666666667</v>
      </c>
      <c r="F161" s="1759">
        <v>7.4666666666666659</v>
      </c>
      <c r="G161" s="1760">
        <v>7.3666666666666671</v>
      </c>
      <c r="H161" s="1761">
        <v>7.7</v>
      </c>
      <c r="I161" s="1762">
        <v>7.6</v>
      </c>
      <c r="J161" s="1762">
        <v>7.6</v>
      </c>
      <c r="K161" s="1763">
        <v>8.3000000000000007</v>
      </c>
      <c r="L161" s="1764">
        <v>7.9</v>
      </c>
      <c r="M161" s="1765"/>
      <c r="N161" s="1765"/>
      <c r="O161" s="846"/>
      <c r="P161" s="2291">
        <v>7.25</v>
      </c>
      <c r="Q161" s="304">
        <v>11.45</v>
      </c>
      <c r="R161" s="304">
        <v>7.13</v>
      </c>
      <c r="S161" s="319">
        <v>7.1</v>
      </c>
      <c r="T161" s="2854">
        <v>7.77</v>
      </c>
      <c r="U161" s="319">
        <v>7.5</v>
      </c>
      <c r="V161" s="319">
        <v>7.45</v>
      </c>
      <c r="W161" s="319">
        <v>7.97</v>
      </c>
      <c r="X161" s="767">
        <v>7.78</v>
      </c>
      <c r="Y161" s="319">
        <v>7.8</v>
      </c>
      <c r="Z161" s="319"/>
      <c r="AA161" s="319">
        <v>7.333333333333333</v>
      </c>
      <c r="AB161" s="319"/>
      <c r="AC161" s="319"/>
      <c r="AD161" s="319"/>
      <c r="AE161" s="319"/>
      <c r="AF161" s="142"/>
      <c r="AG161" s="14"/>
      <c r="AH161" s="14"/>
      <c r="AI161" s="61"/>
      <c r="AJ161" s="61"/>
      <c r="AK161" s="61"/>
      <c r="AL161" s="61"/>
      <c r="AM161" s="142"/>
      <c r="AN161" s="142"/>
      <c r="AO161" s="142"/>
      <c r="AP161" s="14"/>
      <c r="AQ161" s="14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  <c r="CT161" s="61"/>
      <c r="CU161" s="61"/>
      <c r="CV161" s="61"/>
      <c r="CW161" s="61"/>
      <c r="CX161" s="61"/>
      <c r="CY161" s="61"/>
      <c r="CZ161" s="61"/>
      <c r="DA161" s="61"/>
      <c r="DB161" s="61"/>
      <c r="DC161" s="61"/>
      <c r="DD161" s="61"/>
      <c r="DE161" s="61"/>
      <c r="DF161" s="61"/>
      <c r="DG161" s="61"/>
      <c r="DH161" s="61"/>
      <c r="DI161" s="61"/>
      <c r="DJ161" s="61"/>
      <c r="DK161" s="61"/>
      <c r="DL161" s="61"/>
      <c r="DM161" s="61"/>
      <c r="DN161" s="61"/>
      <c r="DO161" s="61"/>
      <c r="DP161" s="61"/>
      <c r="DQ161" s="61"/>
      <c r="DR161" s="61"/>
      <c r="DS161" s="61"/>
      <c r="DT161" s="61"/>
      <c r="DU161" s="61"/>
      <c r="DV161" s="61"/>
      <c r="DW161" s="61"/>
      <c r="DX161" s="61"/>
      <c r="DY161" s="61"/>
      <c r="DZ161" s="61"/>
      <c r="EA161" s="61"/>
      <c r="EB161" s="61"/>
      <c r="EC161" s="61"/>
    </row>
    <row r="162" spans="1:133" s="3452" customFormat="1">
      <c r="A162" s="121"/>
      <c r="B162" s="121"/>
      <c r="C162" s="1717" t="s">
        <v>442</v>
      </c>
      <c r="D162" s="1759"/>
      <c r="E162" s="1759"/>
      <c r="F162" s="1759"/>
      <c r="G162" s="1760"/>
      <c r="H162" s="1761"/>
      <c r="I162" s="1762"/>
      <c r="J162" s="1762"/>
      <c r="K162" s="1763"/>
      <c r="L162" s="1764"/>
      <c r="M162" s="1765"/>
      <c r="N162" s="1765"/>
      <c r="O162" s="846"/>
      <c r="P162" s="2291"/>
      <c r="Q162" s="304"/>
      <c r="R162" s="304"/>
      <c r="S162" s="319"/>
      <c r="T162" s="2854"/>
      <c r="U162" s="319"/>
      <c r="V162" s="319"/>
      <c r="W162" s="319"/>
      <c r="X162" s="767"/>
      <c r="Y162" s="319"/>
      <c r="Z162" s="319"/>
      <c r="AA162" s="319">
        <v>7.5</v>
      </c>
      <c r="AB162" s="319"/>
      <c r="AC162" s="319"/>
      <c r="AD162" s="319"/>
      <c r="AE162" s="319"/>
      <c r="AF162" s="142"/>
      <c r="AG162" s="14"/>
      <c r="AH162" s="14"/>
      <c r="AI162" s="61"/>
      <c r="AJ162" s="61"/>
      <c r="AK162" s="61"/>
      <c r="AL162" s="61"/>
      <c r="AM162" s="142"/>
      <c r="AN162" s="142"/>
      <c r="AO162" s="142"/>
      <c r="AP162" s="14"/>
      <c r="AQ162" s="14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/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  <c r="DG162" s="61"/>
      <c r="DH162" s="61"/>
      <c r="DI162" s="61"/>
      <c r="DJ162" s="61"/>
      <c r="DK162" s="61"/>
      <c r="DL162" s="61"/>
      <c r="DM162" s="61"/>
      <c r="DN162" s="61"/>
      <c r="DO162" s="61"/>
      <c r="DP162" s="61"/>
      <c r="DQ162" s="61"/>
      <c r="DR162" s="61"/>
      <c r="DS162" s="61"/>
      <c r="DT162" s="61"/>
      <c r="DU162" s="61"/>
      <c r="DV162" s="61"/>
      <c r="DW162" s="61"/>
      <c r="DX162" s="61"/>
      <c r="DY162" s="61"/>
      <c r="DZ162" s="61"/>
      <c r="EA162" s="61"/>
      <c r="EB162" s="61"/>
      <c r="EC162" s="61"/>
    </row>
    <row r="163" spans="1:133">
      <c r="A163" s="121"/>
      <c r="B163" s="121"/>
      <c r="C163" s="1717" t="s">
        <v>443</v>
      </c>
      <c r="D163" s="1759">
        <v>7.2666666666666666</v>
      </c>
      <c r="E163" s="1759">
        <v>7.1333333333333329</v>
      </c>
      <c r="F163" s="1759">
        <v>7.6</v>
      </c>
      <c r="G163" s="1760">
        <v>7.5666666666666664</v>
      </c>
      <c r="H163" s="1761">
        <v>7.6</v>
      </c>
      <c r="I163" s="1762">
        <v>7.6</v>
      </c>
      <c r="J163" s="1762">
        <v>7.9</v>
      </c>
      <c r="K163" s="1763">
        <v>7.6</v>
      </c>
      <c r="L163" s="1764">
        <v>7.6</v>
      </c>
      <c r="M163" s="1765"/>
      <c r="N163" s="1765"/>
      <c r="O163" s="846"/>
      <c r="P163" s="2407">
        <v>7.6</v>
      </c>
      <c r="Q163" s="304">
        <v>18.588889999999999</v>
      </c>
      <c r="R163" s="304">
        <v>7.07</v>
      </c>
      <c r="S163" s="319">
        <v>7.2</v>
      </c>
      <c r="T163" s="2854">
        <v>7.33</v>
      </c>
      <c r="U163" s="319">
        <v>7.67</v>
      </c>
      <c r="V163" s="319">
        <v>7.13</v>
      </c>
      <c r="W163" s="319">
        <v>7.71</v>
      </c>
      <c r="X163" s="767">
        <v>7.74</v>
      </c>
      <c r="Y163" s="319">
        <v>7.67</v>
      </c>
      <c r="Z163" s="319"/>
      <c r="AA163" s="319">
        <v>7.6000000000000005</v>
      </c>
      <c r="AB163" s="319"/>
      <c r="AC163" s="319"/>
      <c r="AD163" s="319"/>
      <c r="AE163" s="319"/>
      <c r="AF163" s="142"/>
      <c r="AG163" s="14"/>
      <c r="AH163" s="14"/>
      <c r="AI163" s="61"/>
      <c r="AJ163" s="61"/>
      <c r="AK163" s="61"/>
      <c r="AL163" s="61"/>
      <c r="AM163" s="142"/>
      <c r="AN163" s="142"/>
      <c r="AO163" s="142"/>
      <c r="AP163" s="14"/>
      <c r="AQ163" s="14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  <c r="CT163" s="61"/>
      <c r="CU163" s="61"/>
      <c r="CV163" s="61"/>
      <c r="CW163" s="61"/>
      <c r="CX163" s="61"/>
      <c r="CY163" s="61"/>
      <c r="CZ163" s="61"/>
      <c r="DA163" s="61"/>
      <c r="DB163" s="61"/>
      <c r="DC163" s="61"/>
      <c r="DD163" s="61"/>
      <c r="DE163" s="61"/>
      <c r="DF163" s="61"/>
      <c r="DG163" s="61"/>
      <c r="DH163" s="61"/>
      <c r="DI163" s="61"/>
      <c r="DJ163" s="61"/>
      <c r="DK163" s="61"/>
      <c r="DL163" s="61"/>
      <c r="DM163" s="61"/>
      <c r="DN163" s="61"/>
      <c r="DO163" s="61"/>
      <c r="DP163" s="61"/>
      <c r="DQ163" s="61"/>
      <c r="DR163" s="61"/>
      <c r="DS163" s="61"/>
      <c r="DT163" s="61"/>
      <c r="DU163" s="61"/>
      <c r="DV163" s="61"/>
      <c r="DW163" s="61"/>
      <c r="DX163" s="61"/>
      <c r="DY163" s="61"/>
      <c r="DZ163" s="61"/>
      <c r="EA163" s="61"/>
      <c r="EB163" s="61"/>
      <c r="EC163" s="61"/>
    </row>
    <row r="164" spans="1:133" s="3452" customFormat="1">
      <c r="A164" s="121"/>
      <c r="B164" s="121"/>
      <c r="C164" s="1717" t="s">
        <v>444</v>
      </c>
      <c r="D164" s="1759"/>
      <c r="E164" s="1759"/>
      <c r="F164" s="1759"/>
      <c r="G164" s="1760"/>
      <c r="H164" s="1761"/>
      <c r="I164" s="1762"/>
      <c r="J164" s="1762"/>
      <c r="K164" s="1763"/>
      <c r="L164" s="1764"/>
      <c r="M164" s="1765"/>
      <c r="N164" s="1765"/>
      <c r="O164" s="846"/>
      <c r="P164" s="2407"/>
      <c r="Q164" s="304"/>
      <c r="R164" s="304"/>
      <c r="S164" s="319"/>
      <c r="T164" s="2854"/>
      <c r="U164" s="319"/>
      <c r="V164" s="319"/>
      <c r="W164" s="319"/>
      <c r="X164" s="767"/>
      <c r="Y164" s="319"/>
      <c r="Z164" s="319"/>
      <c r="AA164" s="319">
        <v>7.5999999999999988</v>
      </c>
      <c r="AB164" s="319"/>
      <c r="AC164" s="319"/>
      <c r="AD164" s="319"/>
      <c r="AE164" s="319"/>
      <c r="AF164" s="142"/>
      <c r="AG164" s="14"/>
      <c r="AH164" s="14"/>
      <c r="AI164" s="61"/>
      <c r="AJ164" s="61"/>
      <c r="AK164" s="61"/>
      <c r="AL164" s="61"/>
      <c r="AM164" s="142"/>
      <c r="AN164" s="142"/>
      <c r="AO164" s="142"/>
      <c r="AP164" s="14"/>
      <c r="AQ164" s="14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  <c r="CT164" s="61"/>
      <c r="CU164" s="61"/>
      <c r="CV164" s="61"/>
      <c r="CW164" s="61"/>
      <c r="CX164" s="61"/>
      <c r="CY164" s="61"/>
      <c r="CZ164" s="61"/>
      <c r="DA164" s="61"/>
      <c r="DB164" s="61"/>
      <c r="DC164" s="61"/>
      <c r="DD164" s="61"/>
      <c r="DE164" s="61"/>
      <c r="DF164" s="61"/>
      <c r="DG164" s="61"/>
      <c r="DH164" s="61"/>
      <c r="DI164" s="61"/>
      <c r="DJ164" s="61"/>
      <c r="DK164" s="61"/>
      <c r="DL164" s="61"/>
      <c r="DM164" s="61"/>
      <c r="DN164" s="61"/>
      <c r="DO164" s="61"/>
      <c r="DP164" s="61"/>
      <c r="DQ164" s="61"/>
      <c r="DR164" s="61"/>
      <c r="DS164" s="61"/>
      <c r="DT164" s="61"/>
      <c r="DU164" s="61"/>
      <c r="DV164" s="61"/>
      <c r="DW164" s="61"/>
      <c r="DX164" s="61"/>
      <c r="DY164" s="61"/>
      <c r="DZ164" s="61"/>
      <c r="EA164" s="61"/>
      <c r="EB164" s="61"/>
      <c r="EC164" s="61"/>
    </row>
    <row r="165" spans="1:133" s="3452" customFormat="1">
      <c r="A165" s="121"/>
      <c r="B165" s="121"/>
      <c r="C165" s="1717" t="s">
        <v>445</v>
      </c>
      <c r="D165" s="1759"/>
      <c r="E165" s="1759"/>
      <c r="F165" s="1759"/>
      <c r="G165" s="1760"/>
      <c r="H165" s="1761"/>
      <c r="I165" s="1762"/>
      <c r="J165" s="1762"/>
      <c r="K165" s="1763"/>
      <c r="L165" s="1764"/>
      <c r="M165" s="1765"/>
      <c r="N165" s="1765"/>
      <c r="O165" s="846"/>
      <c r="P165" s="2407"/>
      <c r="Q165" s="304"/>
      <c r="R165" s="304"/>
      <c r="S165" s="319"/>
      <c r="T165" s="2854"/>
      <c r="U165" s="319"/>
      <c r="V165" s="319"/>
      <c r="W165" s="319"/>
      <c r="X165" s="767"/>
      <c r="Y165" s="319"/>
      <c r="Z165" s="319"/>
      <c r="AA165" s="319">
        <v>7.7666666666666666</v>
      </c>
      <c r="AB165" s="319"/>
      <c r="AC165" s="319"/>
      <c r="AD165" s="319"/>
      <c r="AE165" s="319"/>
      <c r="AF165" s="142"/>
      <c r="AG165" s="14"/>
      <c r="AH165" s="14"/>
      <c r="AI165" s="61"/>
      <c r="AJ165" s="61"/>
      <c r="AK165" s="61"/>
      <c r="AL165" s="61"/>
      <c r="AM165" s="142"/>
      <c r="AN165" s="142"/>
      <c r="AO165" s="142"/>
      <c r="AP165" s="14"/>
      <c r="AQ165" s="14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  <c r="CT165" s="61"/>
      <c r="CU165" s="61"/>
      <c r="CV165" s="61"/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  <c r="DG165" s="61"/>
      <c r="DH165" s="61"/>
      <c r="DI165" s="61"/>
      <c r="DJ165" s="61"/>
      <c r="DK165" s="61"/>
      <c r="DL165" s="61"/>
      <c r="DM165" s="61"/>
      <c r="DN165" s="61"/>
      <c r="DO165" s="61"/>
      <c r="DP165" s="61"/>
      <c r="DQ165" s="61"/>
      <c r="DR165" s="61"/>
      <c r="DS165" s="61"/>
      <c r="DT165" s="61"/>
      <c r="DU165" s="61"/>
      <c r="DV165" s="61"/>
      <c r="DW165" s="61"/>
      <c r="DX165" s="61"/>
      <c r="DY165" s="61"/>
      <c r="DZ165" s="61"/>
      <c r="EA165" s="61"/>
      <c r="EB165" s="61"/>
      <c r="EC165" s="61"/>
    </row>
    <row r="166" spans="1:133">
      <c r="A166" s="121"/>
      <c r="B166" s="121"/>
      <c r="C166" s="1717" t="s">
        <v>91</v>
      </c>
      <c r="D166" s="1759">
        <v>7.1</v>
      </c>
      <c r="E166" s="1759">
        <v>7.1</v>
      </c>
      <c r="F166" s="1759">
        <v>7.9666666666666659</v>
      </c>
      <c r="G166" s="1760">
        <v>8.0333333333333332</v>
      </c>
      <c r="H166" s="1761">
        <v>8</v>
      </c>
      <c r="I166" s="1762">
        <v>8.1999999999999993</v>
      </c>
      <c r="J166" s="1762">
        <v>8.1</v>
      </c>
      <c r="K166" s="1763">
        <v>7.9</v>
      </c>
      <c r="L166" s="1764">
        <v>7.5</v>
      </c>
      <c r="M166" s="1765"/>
      <c r="N166" s="1765"/>
      <c r="O166" s="846"/>
      <c r="P166" s="2291">
        <v>7.27</v>
      </c>
      <c r="Q166" s="304">
        <v>11.45</v>
      </c>
      <c r="R166" s="304">
        <v>7.57</v>
      </c>
      <c r="S166" s="319">
        <v>8</v>
      </c>
      <c r="T166" s="2854">
        <v>7.67</v>
      </c>
      <c r="U166" s="319">
        <v>7.57</v>
      </c>
      <c r="V166" s="319">
        <v>7.7</v>
      </c>
      <c r="W166" s="319">
        <v>7.75</v>
      </c>
      <c r="X166" s="767">
        <v>7.9</v>
      </c>
      <c r="Y166" s="319">
        <v>8</v>
      </c>
      <c r="Z166" s="319"/>
      <c r="AA166" s="319" t="e">
        <v>#DIV/0!</v>
      </c>
      <c r="AB166" s="319"/>
      <c r="AC166" s="319"/>
      <c r="AD166" s="319"/>
      <c r="AE166" s="319"/>
      <c r="AF166" s="95"/>
      <c r="AG166" s="14"/>
      <c r="AH166" s="14"/>
      <c r="AI166" s="61"/>
      <c r="AJ166" s="61"/>
      <c r="AK166" s="61"/>
      <c r="AL166" s="61"/>
      <c r="AM166" s="95"/>
      <c r="AN166" s="70"/>
      <c r="AO166" s="70"/>
      <c r="AP166" s="14"/>
      <c r="AQ166" s="14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  <c r="CT166" s="61"/>
      <c r="CU166" s="61"/>
      <c r="CV166" s="61"/>
      <c r="CW166" s="61"/>
      <c r="CX166" s="61"/>
      <c r="CY166" s="61"/>
      <c r="CZ166" s="61"/>
      <c r="DA166" s="61"/>
      <c r="DB166" s="61"/>
      <c r="DC166" s="61"/>
      <c r="DD166" s="61"/>
      <c r="DE166" s="61"/>
      <c r="DF166" s="61"/>
      <c r="DG166" s="61"/>
      <c r="DH166" s="61"/>
      <c r="DI166" s="61"/>
      <c r="DJ166" s="61"/>
      <c r="DK166" s="61"/>
      <c r="DL166" s="61"/>
      <c r="DM166" s="61"/>
      <c r="DN166" s="61"/>
      <c r="DO166" s="61"/>
      <c r="DP166" s="61"/>
      <c r="DQ166" s="61"/>
      <c r="DR166" s="61"/>
      <c r="DS166" s="61"/>
      <c r="DT166" s="61"/>
      <c r="DU166" s="61"/>
      <c r="DV166" s="61"/>
      <c r="DW166" s="61"/>
      <c r="DX166" s="61"/>
      <c r="DY166" s="61"/>
      <c r="DZ166" s="61"/>
      <c r="EA166" s="61"/>
      <c r="EB166" s="61"/>
      <c r="EC166" s="61"/>
    </row>
    <row r="167" spans="1:133" s="3269" customFormat="1">
      <c r="A167" s="121"/>
      <c r="B167" s="121"/>
      <c r="C167" s="1700" t="s">
        <v>409</v>
      </c>
      <c r="D167" s="1759"/>
      <c r="E167" s="1759"/>
      <c r="F167" s="1759"/>
      <c r="G167" s="1760"/>
      <c r="H167" s="1771"/>
      <c r="I167" s="1772"/>
      <c r="J167" s="1772"/>
      <c r="K167" s="1773"/>
      <c r="L167" s="1764"/>
      <c r="M167" s="1765"/>
      <c r="N167" s="1765"/>
      <c r="O167" s="846"/>
      <c r="P167" s="2291"/>
      <c r="Q167" s="304"/>
      <c r="R167" s="304"/>
      <c r="S167" s="319"/>
      <c r="T167" s="2854"/>
      <c r="U167" s="319"/>
      <c r="V167" s="319"/>
      <c r="W167" s="319"/>
      <c r="X167" s="767"/>
      <c r="Y167" s="319">
        <v>8</v>
      </c>
      <c r="Z167" s="319"/>
      <c r="AA167" s="319">
        <v>7.8</v>
      </c>
      <c r="AB167" s="319"/>
      <c r="AC167" s="319"/>
      <c r="AD167" s="319"/>
      <c r="AE167" s="319"/>
      <c r="AF167" s="95"/>
      <c r="AG167" s="14"/>
      <c r="AH167" s="14"/>
      <c r="AI167" s="61"/>
      <c r="AJ167" s="61"/>
      <c r="AK167" s="61"/>
      <c r="AL167" s="61"/>
      <c r="AM167" s="95"/>
      <c r="AN167" s="70"/>
      <c r="AO167" s="70"/>
      <c r="AP167" s="14"/>
      <c r="AQ167" s="14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  <c r="CT167" s="61"/>
      <c r="CU167" s="61"/>
      <c r="CV167" s="61"/>
      <c r="CW167" s="61"/>
      <c r="CX167" s="61"/>
      <c r="CY167" s="61"/>
      <c r="CZ167" s="61"/>
      <c r="DA167" s="61"/>
      <c r="DB167" s="61"/>
      <c r="DC167" s="61"/>
      <c r="DD167" s="61"/>
      <c r="DE167" s="61"/>
      <c r="DF167" s="61"/>
      <c r="DG167" s="61"/>
      <c r="DH167" s="61"/>
      <c r="DI167" s="61"/>
      <c r="DJ167" s="61"/>
      <c r="DK167" s="61"/>
      <c r="DL167" s="61"/>
      <c r="DM167" s="61"/>
      <c r="DN167" s="61"/>
      <c r="DO167" s="61"/>
      <c r="DP167" s="61"/>
      <c r="DQ167" s="61"/>
      <c r="DR167" s="61"/>
      <c r="DS167" s="61"/>
      <c r="DT167" s="61"/>
      <c r="DU167" s="61"/>
      <c r="DV167" s="61"/>
      <c r="DW167" s="61"/>
      <c r="DX167" s="61"/>
      <c r="DY167" s="61"/>
      <c r="DZ167" s="61"/>
      <c r="EA167" s="61"/>
      <c r="EB167" s="61"/>
      <c r="EC167" s="61"/>
    </row>
    <row r="168" spans="1:133" s="3269" customFormat="1">
      <c r="A168" s="121"/>
      <c r="B168" s="121"/>
      <c r="C168" s="1700" t="s">
        <v>410</v>
      </c>
      <c r="D168" s="1759"/>
      <c r="E168" s="1759"/>
      <c r="F168" s="1759"/>
      <c r="G168" s="1760"/>
      <c r="H168" s="1771"/>
      <c r="I168" s="1772"/>
      <c r="J168" s="1772"/>
      <c r="K168" s="1773"/>
      <c r="L168" s="1764"/>
      <c r="M168" s="1765"/>
      <c r="N168" s="1765"/>
      <c r="O168" s="846"/>
      <c r="P168" s="2291"/>
      <c r="Q168" s="304"/>
      <c r="R168" s="304"/>
      <c r="S168" s="319"/>
      <c r="T168" s="2854"/>
      <c r="U168" s="319"/>
      <c r="V168" s="319"/>
      <c r="W168" s="319"/>
      <c r="X168" s="767"/>
      <c r="Y168" s="319">
        <v>8.23</v>
      </c>
      <c r="Z168" s="319"/>
      <c r="AA168" s="319">
        <v>8.25</v>
      </c>
      <c r="AB168" s="319"/>
      <c r="AC168" s="319"/>
      <c r="AD168" s="319"/>
      <c r="AE168" s="319"/>
      <c r="AF168" s="95"/>
      <c r="AG168" s="14"/>
      <c r="AH168" s="14"/>
      <c r="AI168" s="61"/>
      <c r="AJ168" s="61"/>
      <c r="AK168" s="61"/>
      <c r="AL168" s="61"/>
      <c r="AM168" s="95"/>
      <c r="AN168" s="70"/>
      <c r="AO168" s="70"/>
      <c r="AP168" s="14"/>
      <c r="AQ168" s="14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  <c r="CT168" s="61"/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  <c r="DG168" s="61"/>
      <c r="DH168" s="61"/>
      <c r="DI168" s="61"/>
      <c r="DJ168" s="61"/>
      <c r="DK168" s="61"/>
      <c r="DL168" s="61"/>
      <c r="DM168" s="61"/>
      <c r="DN168" s="61"/>
      <c r="DO168" s="61"/>
      <c r="DP168" s="61"/>
      <c r="DQ168" s="61"/>
      <c r="DR168" s="61"/>
      <c r="DS168" s="61"/>
      <c r="DT168" s="61"/>
      <c r="DU168" s="61"/>
      <c r="DV168" s="61"/>
      <c r="DW168" s="61"/>
      <c r="DX168" s="61"/>
      <c r="DY168" s="61"/>
      <c r="DZ168" s="61"/>
      <c r="EA168" s="61"/>
      <c r="EB168" s="61"/>
      <c r="EC168" s="61"/>
    </row>
    <row r="169" spans="1:133" s="3269" customFormat="1">
      <c r="A169" s="121"/>
      <c r="B169" s="121"/>
      <c r="C169" s="1700" t="s">
        <v>411</v>
      </c>
      <c r="D169" s="1759"/>
      <c r="E169" s="1759"/>
      <c r="F169" s="1759"/>
      <c r="G169" s="1760"/>
      <c r="H169" s="1771"/>
      <c r="I169" s="1772"/>
      <c r="J169" s="1772"/>
      <c r="K169" s="1773"/>
      <c r="L169" s="1764"/>
      <c r="M169" s="1765"/>
      <c r="N169" s="1765"/>
      <c r="O169" s="846"/>
      <c r="P169" s="2291"/>
      <c r="Q169" s="304"/>
      <c r="R169" s="304"/>
      <c r="S169" s="319"/>
      <c r="T169" s="2854"/>
      <c r="U169" s="319"/>
      <c r="V169" s="319"/>
      <c r="W169" s="319"/>
      <c r="X169" s="767"/>
      <c r="Y169" s="319">
        <v>7.83</v>
      </c>
      <c r="Z169" s="319"/>
      <c r="AA169" s="319" t="e">
        <v>#DIV/0!</v>
      </c>
      <c r="AB169" s="319"/>
      <c r="AC169" s="319"/>
      <c r="AD169" s="319"/>
      <c r="AE169" s="319"/>
      <c r="AF169" s="95"/>
      <c r="AG169" s="14"/>
      <c r="AH169" s="14"/>
      <c r="AI169" s="61"/>
      <c r="AJ169" s="61"/>
      <c r="AK169" s="61"/>
      <c r="AL169" s="61"/>
      <c r="AM169" s="95"/>
      <c r="AN169" s="70"/>
      <c r="AO169" s="70"/>
      <c r="AP169" s="14"/>
      <c r="AQ169" s="14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  <c r="CT169" s="61"/>
      <c r="CU169" s="61"/>
      <c r="CV169" s="61"/>
      <c r="CW169" s="61"/>
      <c r="CX169" s="61"/>
      <c r="CY169" s="61"/>
      <c r="CZ169" s="61"/>
      <c r="DA169" s="61"/>
      <c r="DB169" s="61"/>
      <c r="DC169" s="61"/>
      <c r="DD169" s="61"/>
      <c r="DE169" s="61"/>
      <c r="DF169" s="61"/>
      <c r="DG169" s="61"/>
      <c r="DH169" s="61"/>
      <c r="DI169" s="61"/>
      <c r="DJ169" s="61"/>
      <c r="DK169" s="61"/>
      <c r="DL169" s="61"/>
      <c r="DM169" s="61"/>
      <c r="DN169" s="61"/>
      <c r="DO169" s="61"/>
      <c r="DP169" s="61"/>
      <c r="DQ169" s="61"/>
      <c r="DR169" s="61"/>
      <c r="DS169" s="61"/>
      <c r="DT169" s="61"/>
      <c r="DU169" s="61"/>
      <c r="DV169" s="61"/>
      <c r="DW169" s="61"/>
      <c r="DX169" s="61"/>
      <c r="DY169" s="61"/>
      <c r="DZ169" s="61"/>
      <c r="EA169" s="61"/>
      <c r="EB169" s="61"/>
      <c r="EC169" s="61"/>
    </row>
    <row r="170" spans="1:133">
      <c r="A170" s="121"/>
      <c r="B170" s="121"/>
      <c r="C170" s="99" t="s">
        <v>108</v>
      </c>
      <c r="D170" s="1755">
        <v>7</v>
      </c>
      <c r="E170" s="1755">
        <v>6.833333333333333</v>
      </c>
      <c r="F170" s="1755">
        <v>7.4</v>
      </c>
      <c r="G170" s="1756">
        <v>7.4666666666666659</v>
      </c>
      <c r="H170" s="1766" t="s">
        <v>82</v>
      </c>
      <c r="I170" s="1767" t="s">
        <v>82</v>
      </c>
      <c r="J170" s="1767" t="s">
        <v>82</v>
      </c>
      <c r="K170" s="1768" t="s">
        <v>82</v>
      </c>
      <c r="L170" s="393"/>
      <c r="M170" s="394">
        <v>7.1</v>
      </c>
      <c r="N170" s="394">
        <v>7.2</v>
      </c>
      <c r="O170" s="846"/>
      <c r="P170" s="2291">
        <v>7.17</v>
      </c>
      <c r="Q170" s="304">
        <v>7.2329999999999997</v>
      </c>
      <c r="R170" s="304">
        <v>7.57</v>
      </c>
      <c r="S170" s="319">
        <v>7.7</v>
      </c>
      <c r="T170" s="2854">
        <v>7.3</v>
      </c>
      <c r="U170" s="319">
        <v>7.6</v>
      </c>
      <c r="V170" s="319">
        <v>7.3</v>
      </c>
      <c r="W170" s="319">
        <v>7.33</v>
      </c>
      <c r="X170" s="767">
        <v>7.33</v>
      </c>
      <c r="Y170" s="319">
        <v>7.4</v>
      </c>
      <c r="Z170" s="319"/>
      <c r="AA170" s="319">
        <v>7.05</v>
      </c>
      <c r="AB170" s="319"/>
      <c r="AC170" s="319"/>
      <c r="AD170" s="319"/>
      <c r="AE170" s="319"/>
      <c r="AF170" s="164"/>
      <c r="AG170" s="14"/>
      <c r="AH170" s="14"/>
      <c r="AI170" s="61"/>
      <c r="AJ170" s="61"/>
      <c r="AK170" s="61"/>
      <c r="AL170" s="61"/>
      <c r="AM170" s="164"/>
      <c r="AN170" s="164"/>
      <c r="AO170" s="164"/>
      <c r="AP170" s="14"/>
      <c r="AQ170" s="14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  <c r="CT170" s="61"/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  <c r="DG170" s="61"/>
      <c r="DH170" s="61"/>
      <c r="DI170" s="61"/>
      <c r="DJ170" s="61"/>
      <c r="DK170" s="61"/>
      <c r="DL170" s="61"/>
      <c r="DM170" s="61"/>
      <c r="DN170" s="61"/>
      <c r="DO170" s="61"/>
      <c r="DP170" s="61"/>
      <c r="DQ170" s="61"/>
      <c r="DR170" s="61"/>
      <c r="DS170" s="61"/>
      <c r="DT170" s="61"/>
      <c r="DU170" s="61"/>
      <c r="DV170" s="61"/>
      <c r="DW170" s="61"/>
      <c r="DX170" s="61"/>
      <c r="DY170" s="61"/>
      <c r="DZ170" s="61"/>
      <c r="EA170" s="61"/>
      <c r="EB170" s="61"/>
      <c r="EC170" s="61"/>
    </row>
    <row r="171" spans="1:133" ht="15.75" thickBot="1">
      <c r="A171" s="121"/>
      <c r="B171" s="121"/>
      <c r="C171" s="1723" t="s">
        <v>446</v>
      </c>
      <c r="D171" s="1769">
        <v>6.9</v>
      </c>
      <c r="E171" s="1769">
        <v>6.6333333333333337</v>
      </c>
      <c r="F171" s="1769">
        <v>7.2</v>
      </c>
      <c r="G171" s="1770">
        <v>7.333333333333333</v>
      </c>
      <c r="H171" s="1771">
        <v>7.3</v>
      </c>
      <c r="I171" s="1772">
        <v>7.3</v>
      </c>
      <c r="J171" s="1772">
        <v>7.4</v>
      </c>
      <c r="K171" s="1773">
        <v>7.3</v>
      </c>
      <c r="L171" s="1764">
        <v>7</v>
      </c>
      <c r="M171" s="1765"/>
      <c r="N171" s="1765"/>
      <c r="O171" s="846"/>
      <c r="P171" s="2292">
        <v>7.57</v>
      </c>
      <c r="Q171" s="540"/>
      <c r="R171" s="540"/>
      <c r="S171" s="541">
        <v>6.8</v>
      </c>
      <c r="T171" s="2856">
        <v>6.75</v>
      </c>
      <c r="U171" s="541">
        <v>6.43</v>
      </c>
      <c r="V171" s="541">
        <v>7.15</v>
      </c>
      <c r="W171" s="541">
        <v>6.95</v>
      </c>
      <c r="X171" s="770">
        <v>7.38</v>
      </c>
      <c r="Y171" s="541">
        <v>7.33</v>
      </c>
      <c r="Z171" s="541"/>
      <c r="AA171" s="541">
        <v>6.8666666666666671</v>
      </c>
      <c r="AB171" s="541"/>
      <c r="AC171" s="541"/>
      <c r="AD171" s="541"/>
      <c r="AE171" s="541"/>
      <c r="AF171" s="164"/>
      <c r="AG171" s="14"/>
      <c r="AH171" s="14"/>
      <c r="AI171" s="61"/>
      <c r="AJ171" s="61"/>
      <c r="AK171" s="61"/>
      <c r="AL171" s="61"/>
      <c r="AM171" s="164"/>
      <c r="AN171" s="164"/>
      <c r="AO171" s="164"/>
      <c r="AP171" s="14"/>
      <c r="AQ171" s="14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  <c r="DG171" s="61"/>
      <c r="DH171" s="61"/>
      <c r="DI171" s="61"/>
      <c r="DJ171" s="61"/>
      <c r="DK171" s="61"/>
      <c r="DL171" s="61"/>
      <c r="DM171" s="61"/>
      <c r="DN171" s="61"/>
      <c r="DO171" s="61"/>
      <c r="DP171" s="61"/>
      <c r="DQ171" s="61"/>
      <c r="DR171" s="61"/>
      <c r="DS171" s="61"/>
      <c r="DT171" s="61"/>
      <c r="DU171" s="61"/>
      <c r="DV171" s="61"/>
      <c r="DW171" s="61"/>
      <c r="DX171" s="61"/>
      <c r="DY171" s="61"/>
      <c r="DZ171" s="61"/>
      <c r="EA171" s="61"/>
      <c r="EB171" s="61"/>
      <c r="EC171" s="61"/>
    </row>
    <row r="172" spans="1:133" s="3452" customFormat="1" ht="15.75" thickBot="1">
      <c r="A172" s="121"/>
      <c r="B172" s="121"/>
      <c r="C172" s="1723" t="s">
        <v>447</v>
      </c>
      <c r="D172" s="3464"/>
      <c r="E172" s="3464"/>
      <c r="F172" s="3464"/>
      <c r="G172" s="3464"/>
      <c r="H172" s="3455"/>
      <c r="I172" s="3455"/>
      <c r="J172" s="3455"/>
      <c r="K172" s="3455"/>
      <c r="L172" s="3456"/>
      <c r="M172" s="3456"/>
      <c r="N172" s="3456"/>
      <c r="O172" s="3465"/>
      <c r="P172" s="92"/>
      <c r="Q172" s="61"/>
      <c r="R172" s="61"/>
      <c r="S172" s="61"/>
      <c r="T172" s="3466"/>
      <c r="U172" s="61"/>
      <c r="V172" s="61"/>
      <c r="W172" s="61"/>
      <c r="X172" s="1058"/>
      <c r="Y172" s="61"/>
      <c r="Z172" s="61"/>
      <c r="AA172" s="61">
        <v>7.8</v>
      </c>
      <c r="AB172" s="61"/>
      <c r="AC172" s="61"/>
      <c r="AD172" s="61"/>
      <c r="AE172" s="61"/>
      <c r="AF172" s="164"/>
      <c r="AG172" s="14"/>
      <c r="AH172" s="14"/>
      <c r="AI172" s="61"/>
      <c r="AJ172" s="61"/>
      <c r="AK172" s="61"/>
      <c r="AL172" s="61"/>
      <c r="AM172" s="164"/>
      <c r="AN172" s="164"/>
      <c r="AO172" s="164"/>
      <c r="AP172" s="14"/>
      <c r="AQ172" s="14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  <c r="CT172" s="61"/>
      <c r="CU172" s="61"/>
      <c r="CV172" s="61"/>
      <c r="CW172" s="61"/>
      <c r="CX172" s="61"/>
      <c r="CY172" s="61"/>
      <c r="CZ172" s="61"/>
      <c r="DA172" s="61"/>
      <c r="DB172" s="61"/>
      <c r="DC172" s="61"/>
      <c r="DD172" s="61"/>
      <c r="DE172" s="61"/>
      <c r="DF172" s="61"/>
      <c r="DG172" s="61"/>
      <c r="DH172" s="61"/>
      <c r="DI172" s="61"/>
      <c r="DJ172" s="61"/>
      <c r="DK172" s="61"/>
      <c r="DL172" s="61"/>
      <c r="DM172" s="61"/>
      <c r="DN172" s="61"/>
      <c r="DO172" s="61"/>
      <c r="DP172" s="61"/>
      <c r="DQ172" s="61"/>
      <c r="DR172" s="61"/>
      <c r="DS172" s="61"/>
      <c r="DT172" s="61"/>
      <c r="DU172" s="61"/>
      <c r="DV172" s="61"/>
      <c r="DW172" s="61"/>
      <c r="DX172" s="61"/>
      <c r="DY172" s="61"/>
      <c r="DZ172" s="61"/>
      <c r="EA172" s="61"/>
      <c r="EB172" s="61"/>
      <c r="EC172" s="61"/>
    </row>
    <row r="173" spans="1:133" s="3452" customFormat="1" ht="15.75" thickBot="1">
      <c r="A173" s="121"/>
      <c r="B173" s="121"/>
      <c r="C173" s="1723" t="s">
        <v>434</v>
      </c>
      <c r="D173" s="3464"/>
      <c r="E173" s="3464"/>
      <c r="F173" s="3464"/>
      <c r="G173" s="3464"/>
      <c r="H173" s="3455"/>
      <c r="I173" s="3455"/>
      <c r="J173" s="3455"/>
      <c r="K173" s="3455"/>
      <c r="L173" s="3456"/>
      <c r="M173" s="3456"/>
      <c r="N173" s="3456"/>
      <c r="O173" s="3465"/>
      <c r="P173" s="92"/>
      <c r="Q173" s="61"/>
      <c r="R173" s="61"/>
      <c r="S173" s="61"/>
      <c r="T173" s="3466"/>
      <c r="U173" s="61"/>
      <c r="V173" s="61"/>
      <c r="W173" s="61"/>
      <c r="X173" s="1058"/>
      <c r="Y173" s="61"/>
      <c r="Z173" s="61"/>
      <c r="AA173" s="61">
        <v>7.35</v>
      </c>
      <c r="AB173" s="61"/>
      <c r="AC173" s="61"/>
      <c r="AD173" s="61"/>
      <c r="AE173" s="61"/>
      <c r="AF173" s="164"/>
      <c r="AG173" s="14"/>
      <c r="AH173" s="14"/>
      <c r="AI173" s="61"/>
      <c r="AJ173" s="61"/>
      <c r="AK173" s="61"/>
      <c r="AL173" s="61"/>
      <c r="AM173" s="164"/>
      <c r="AN173" s="164"/>
      <c r="AO173" s="164"/>
      <c r="AP173" s="14"/>
      <c r="AQ173" s="14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  <c r="DH173" s="61"/>
      <c r="DI173" s="61"/>
      <c r="DJ173" s="61"/>
      <c r="DK173" s="61"/>
      <c r="DL173" s="61"/>
      <c r="DM173" s="61"/>
      <c r="DN173" s="61"/>
      <c r="DO173" s="61"/>
      <c r="DP173" s="61"/>
      <c r="DQ173" s="61"/>
      <c r="DR173" s="61"/>
      <c r="DS173" s="61"/>
      <c r="DT173" s="61"/>
      <c r="DU173" s="61"/>
      <c r="DV173" s="61"/>
      <c r="DW173" s="61"/>
      <c r="DX173" s="61"/>
      <c r="DY173" s="61"/>
      <c r="DZ173" s="61"/>
      <c r="EA173" s="61"/>
      <c r="EB173" s="61"/>
      <c r="EC173" s="61"/>
    </row>
    <row r="174" spans="1:133">
      <c r="A174" s="114"/>
      <c r="B174" s="114">
        <f>SUM(B139:B171)</f>
        <v>0</v>
      </c>
      <c r="C174" s="775" t="s">
        <v>285</v>
      </c>
      <c r="D174" s="1025">
        <f>COUNTIFS(D136:D171,"&gt;=6",D136:D171,"&lt;=8.5")</f>
        <v>25</v>
      </c>
      <c r="E174" s="1025">
        <f t="shared" ref="E174:Q174" si="33">COUNTIFS(E136:E171,"&gt;=6",E136:E171,"&lt;=8.5")</f>
        <v>25</v>
      </c>
      <c r="F174" s="1025">
        <f t="shared" si="33"/>
        <v>25</v>
      </c>
      <c r="G174" s="1025">
        <f t="shared" si="33"/>
        <v>25</v>
      </c>
      <c r="H174" s="1025">
        <f t="shared" si="33"/>
        <v>26</v>
      </c>
      <c r="I174" s="1025">
        <f t="shared" si="33"/>
        <v>25</v>
      </c>
      <c r="J174" s="1025">
        <f t="shared" si="33"/>
        <v>26</v>
      </c>
      <c r="K174" s="1025">
        <f t="shared" si="33"/>
        <v>26</v>
      </c>
      <c r="L174" s="1025">
        <f t="shared" si="33"/>
        <v>23</v>
      </c>
      <c r="M174" s="1025">
        <f t="shared" si="33"/>
        <v>18</v>
      </c>
      <c r="N174" s="1025">
        <f t="shared" si="33"/>
        <v>19</v>
      </c>
      <c r="O174" s="1025">
        <f t="shared" si="33"/>
        <v>0</v>
      </c>
      <c r="P174" s="1025">
        <f t="shared" si="33"/>
        <v>25</v>
      </c>
      <c r="Q174" s="1025">
        <f t="shared" si="33"/>
        <v>16</v>
      </c>
      <c r="R174" s="1025">
        <f>COUNTIFS(R136:R171,"&gt;=6",R136:R171,"&lt;=8.5")</f>
        <v>24</v>
      </c>
      <c r="S174" s="1025">
        <f>COUNTIFS(S136:S171,"&gt;=6",S136:S171,"&lt;=8.5")</f>
        <v>25</v>
      </c>
      <c r="T174" s="1025">
        <f>COUNTIFS(T136:T171,"&gt;=6",T136:T171,"&lt;=8.5")</f>
        <v>25</v>
      </c>
      <c r="U174" s="1025">
        <f>COUNTIFS(U136:U171,"&gt;=6",U136:U171,"&lt;=8.5")</f>
        <v>24</v>
      </c>
      <c r="V174" s="1025">
        <f>COUNTIFS(V136:V171,"&gt;=6",V136:V171,"&lt;=8.5")</f>
        <v>25</v>
      </c>
      <c r="W174" s="1025">
        <f t="shared" ref="W174:Z174" si="34">COUNTIFS(W136:W171,"&gt;=6",W136:W171,"&lt;=8.5")</f>
        <v>26</v>
      </c>
      <c r="X174" s="1025">
        <f t="shared" si="34"/>
        <v>25</v>
      </c>
      <c r="Y174" s="1025">
        <f t="shared" si="34"/>
        <v>28</v>
      </c>
      <c r="Z174" s="1025">
        <f t="shared" si="34"/>
        <v>0</v>
      </c>
      <c r="AA174" s="1025">
        <f>COUNTIFS(AA136:AA173,"&gt;=6",AA136:AA173,"&lt;=8.5")</f>
        <v>34</v>
      </c>
      <c r="AB174" s="1025">
        <f t="shared" ref="AB174:AE174" si="35">COUNTIFS(AB136:AB173,"&gt;=6",AB136:AB173,"&lt;=8.5")</f>
        <v>0</v>
      </c>
      <c r="AC174" s="1025">
        <f t="shared" si="35"/>
        <v>0</v>
      </c>
      <c r="AD174" s="1025">
        <f t="shared" si="35"/>
        <v>0</v>
      </c>
      <c r="AE174" s="1025">
        <f t="shared" si="35"/>
        <v>0</v>
      </c>
      <c r="AF174" s="164"/>
      <c r="AG174" s="14"/>
      <c r="AH174" s="14"/>
      <c r="AI174" s="61"/>
      <c r="AJ174" s="61"/>
      <c r="AK174" s="61"/>
      <c r="AL174" s="61"/>
      <c r="AM174" s="164"/>
      <c r="AN174" s="164"/>
      <c r="AO174" s="164"/>
      <c r="AP174" s="14"/>
      <c r="AQ174" s="14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  <c r="DH174" s="61"/>
      <c r="DI174" s="61"/>
      <c r="DJ174" s="61"/>
      <c r="DK174" s="61"/>
      <c r="DL174" s="61"/>
      <c r="DM174" s="61"/>
      <c r="DN174" s="61"/>
      <c r="DO174" s="61"/>
      <c r="DP174" s="61"/>
      <c r="DQ174" s="61"/>
      <c r="DR174" s="61"/>
      <c r="DS174" s="61"/>
      <c r="DT174" s="61"/>
      <c r="DU174" s="61"/>
      <c r="DV174" s="61"/>
      <c r="DW174" s="61"/>
      <c r="DX174" s="61"/>
      <c r="DY174" s="61"/>
      <c r="DZ174" s="61"/>
      <c r="EA174" s="61"/>
      <c r="EB174" s="61"/>
      <c r="EC174" s="61"/>
    </row>
    <row r="175" spans="1:133" s="4" customFormat="1">
      <c r="A175" s="114"/>
      <c r="B175" s="114"/>
      <c r="C175" s="775" t="s">
        <v>287</v>
      </c>
      <c r="D175" s="1027">
        <f>COUNT(D136:D171)</f>
        <v>25</v>
      </c>
      <c r="E175" s="1027">
        <f t="shared" ref="E175:Q175" si="36">COUNT(E136:E171)</f>
        <v>25</v>
      </c>
      <c r="F175" s="1027">
        <f t="shared" si="36"/>
        <v>25</v>
      </c>
      <c r="G175" s="1027">
        <f t="shared" si="36"/>
        <v>25</v>
      </c>
      <c r="H175" s="1027">
        <f t="shared" si="36"/>
        <v>26</v>
      </c>
      <c r="I175" s="1027">
        <f t="shared" si="36"/>
        <v>25</v>
      </c>
      <c r="J175" s="1027">
        <f t="shared" si="36"/>
        <v>26</v>
      </c>
      <c r="K175" s="1027">
        <f t="shared" si="36"/>
        <v>26</v>
      </c>
      <c r="L175" s="1027">
        <f t="shared" si="36"/>
        <v>23</v>
      </c>
      <c r="M175" s="1027">
        <f t="shared" si="36"/>
        <v>18</v>
      </c>
      <c r="N175" s="1027">
        <f t="shared" si="36"/>
        <v>19</v>
      </c>
      <c r="O175" s="1027">
        <f t="shared" si="36"/>
        <v>0</v>
      </c>
      <c r="P175" s="1027">
        <f t="shared" si="36"/>
        <v>25</v>
      </c>
      <c r="Q175" s="1027">
        <f t="shared" si="36"/>
        <v>24</v>
      </c>
      <c r="R175" s="1027">
        <f>COUNT(R136:R171)</f>
        <v>24</v>
      </c>
      <c r="S175" s="1027">
        <f>COUNT(S136:S171)</f>
        <v>26</v>
      </c>
      <c r="T175" s="1027">
        <f>COUNT(T136:T171)</f>
        <v>25</v>
      </c>
      <c r="U175" s="1027">
        <f>COUNT(U136:U171)</f>
        <v>24</v>
      </c>
      <c r="V175" s="1027">
        <f>COUNT(V136:V171)</f>
        <v>25</v>
      </c>
      <c r="W175" s="1027">
        <f t="shared" ref="W175:Z175" si="37">COUNT(W136:W171)</f>
        <v>26</v>
      </c>
      <c r="X175" s="1027">
        <f t="shared" si="37"/>
        <v>25</v>
      </c>
      <c r="Y175" s="1027">
        <f t="shared" si="37"/>
        <v>28</v>
      </c>
      <c r="Z175" s="1027">
        <f t="shared" si="37"/>
        <v>0</v>
      </c>
      <c r="AA175" s="1027">
        <f>COUNT(AA136:AA173)</f>
        <v>34</v>
      </c>
      <c r="AB175" s="1027">
        <f t="shared" ref="AB175:AE175" si="38">COUNT(AB136:AB173)</f>
        <v>0</v>
      </c>
      <c r="AC175" s="1027">
        <f t="shared" si="38"/>
        <v>0</v>
      </c>
      <c r="AD175" s="1027">
        <f t="shared" si="38"/>
        <v>0</v>
      </c>
      <c r="AE175" s="1027">
        <f t="shared" si="38"/>
        <v>0</v>
      </c>
      <c r="BB175" s="83"/>
      <c r="BC175" s="83"/>
      <c r="BD175" s="83"/>
      <c r="BE175" s="83"/>
      <c r="BF175" s="83"/>
      <c r="BG175" s="83"/>
      <c r="BH175" s="83"/>
      <c r="BI175" s="83"/>
      <c r="BJ175" s="83"/>
      <c r="BK175" s="83"/>
      <c r="BL175" s="83"/>
      <c r="BM175" s="83"/>
      <c r="BN175" s="83"/>
      <c r="BO175" s="83"/>
      <c r="BP175" s="83"/>
      <c r="BQ175" s="83"/>
      <c r="BR175" s="83"/>
      <c r="BS175" s="83"/>
      <c r="BT175" s="83"/>
      <c r="BU175" s="83"/>
      <c r="BV175" s="83"/>
      <c r="CE175" s="83"/>
      <c r="CF175" s="83"/>
      <c r="CG175" s="83"/>
      <c r="CH175" s="83"/>
      <c r="CI175" s="83"/>
      <c r="CJ175" s="83"/>
      <c r="CK175" s="83"/>
      <c r="CL175" s="83"/>
      <c r="CM175" s="83"/>
      <c r="CN175" s="83"/>
      <c r="CO175" s="83"/>
      <c r="CP175" s="83"/>
      <c r="CQ175" s="83"/>
      <c r="CR175" s="83"/>
      <c r="CS175" s="83"/>
      <c r="CT175" s="83"/>
      <c r="CU175" s="83"/>
      <c r="CV175" s="83"/>
      <c r="CW175" s="83"/>
      <c r="CX175" s="83"/>
      <c r="CY175" s="83"/>
      <c r="CZ175" s="83"/>
      <c r="DA175" s="83"/>
    </row>
    <row r="176" spans="1:133" s="4" customFormat="1">
      <c r="A176" s="114"/>
      <c r="B176" s="114"/>
      <c r="C176" s="775" t="s">
        <v>286</v>
      </c>
      <c r="D176" s="1026">
        <f t="shared" ref="D176:T176" si="39">D174/D175</f>
        <v>1</v>
      </c>
      <c r="E176" s="1026">
        <f t="shared" si="39"/>
        <v>1</v>
      </c>
      <c r="F176" s="1026">
        <f t="shared" si="39"/>
        <v>1</v>
      </c>
      <c r="G176" s="1026">
        <f t="shared" si="39"/>
        <v>1</v>
      </c>
      <c r="H176" s="1026">
        <f t="shared" si="39"/>
        <v>1</v>
      </c>
      <c r="I176" s="1026">
        <f t="shared" si="39"/>
        <v>1</v>
      </c>
      <c r="J176" s="1026">
        <f t="shared" si="39"/>
        <v>1</v>
      </c>
      <c r="K176" s="1026">
        <f t="shared" si="39"/>
        <v>1</v>
      </c>
      <c r="L176" s="1026">
        <f t="shared" si="39"/>
        <v>1</v>
      </c>
      <c r="M176" s="1026">
        <f t="shared" si="39"/>
        <v>1</v>
      </c>
      <c r="N176" s="1026">
        <f t="shared" si="39"/>
        <v>1</v>
      </c>
      <c r="O176" s="1026" t="e">
        <f t="shared" si="39"/>
        <v>#DIV/0!</v>
      </c>
      <c r="P176" s="1026">
        <f t="shared" si="39"/>
        <v>1</v>
      </c>
      <c r="Q176" s="1026">
        <f t="shared" si="39"/>
        <v>0.66666666666666663</v>
      </c>
      <c r="R176" s="1026">
        <f t="shared" si="39"/>
        <v>1</v>
      </c>
      <c r="S176" s="1026">
        <f t="shared" si="39"/>
        <v>0.96153846153846156</v>
      </c>
      <c r="T176" s="1026">
        <f t="shared" si="39"/>
        <v>1</v>
      </c>
      <c r="U176" s="1026">
        <f t="shared" ref="U176" si="40">U174/U175</f>
        <v>1</v>
      </c>
      <c r="V176" s="1026">
        <f>V174/V175</f>
        <v>1</v>
      </c>
      <c r="W176" s="1026">
        <f t="shared" ref="W176:AA176" si="41">W174/W175</f>
        <v>1</v>
      </c>
      <c r="X176" s="1026">
        <f t="shared" si="41"/>
        <v>1</v>
      </c>
      <c r="Y176" s="1026">
        <f t="shared" si="41"/>
        <v>1</v>
      </c>
      <c r="Z176" s="1026" t="e">
        <f t="shared" si="41"/>
        <v>#DIV/0!</v>
      </c>
      <c r="AA176" s="1026">
        <f t="shared" si="41"/>
        <v>1</v>
      </c>
      <c r="AB176" s="1026" t="e">
        <f t="shared" ref="AB176:AE176" si="42">AB174/AB175</f>
        <v>#DIV/0!</v>
      </c>
      <c r="AC176" s="1026" t="e">
        <f t="shared" si="42"/>
        <v>#DIV/0!</v>
      </c>
      <c r="AD176" s="1026" t="e">
        <f t="shared" si="42"/>
        <v>#DIV/0!</v>
      </c>
      <c r="AE176" s="1026" t="e">
        <f t="shared" si="42"/>
        <v>#DIV/0!</v>
      </c>
      <c r="BB176" s="83"/>
      <c r="BC176" s="83"/>
      <c r="BD176" s="83"/>
      <c r="BE176" s="83"/>
      <c r="BF176" s="83"/>
      <c r="BG176" s="83"/>
      <c r="BH176" s="83"/>
      <c r="BI176" s="83"/>
      <c r="BJ176" s="83"/>
      <c r="BK176" s="83"/>
      <c r="BL176" s="83"/>
      <c r="BM176" s="83"/>
      <c r="BN176" s="83"/>
      <c r="BO176" s="83"/>
      <c r="BP176" s="83"/>
      <c r="BQ176" s="83"/>
      <c r="BR176" s="83"/>
      <c r="BS176" s="83"/>
      <c r="BT176" s="83"/>
      <c r="BU176" s="83"/>
      <c r="BV176" s="83"/>
      <c r="CE176" s="83"/>
      <c r="CF176" s="83"/>
      <c r="CG176" s="83"/>
      <c r="CH176" s="83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3"/>
      <c r="CW176" s="83"/>
      <c r="CX176" s="83"/>
      <c r="CY176" s="83"/>
      <c r="CZ176" s="83"/>
      <c r="DA176" s="83"/>
    </row>
    <row r="177" spans="1:133" s="4" customFormat="1">
      <c r="A177" s="121"/>
      <c r="B177" s="121"/>
      <c r="C177" s="123"/>
      <c r="D177" s="123"/>
      <c r="E177" s="123"/>
      <c r="F177" s="123"/>
      <c r="G177" s="123"/>
      <c r="H177" s="216"/>
      <c r="I177" s="216"/>
      <c r="J177" s="216"/>
      <c r="K177" s="216"/>
      <c r="L177" s="107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  <c r="X177" s="767"/>
      <c r="Y177" s="61"/>
      <c r="Z177" s="61"/>
      <c r="AA177" s="61"/>
      <c r="BB177" s="83"/>
      <c r="BC177" s="83"/>
      <c r="BD177" s="83"/>
      <c r="BE177" s="83"/>
      <c r="BF177" s="83"/>
      <c r="BG177" s="83"/>
      <c r="BH177" s="83"/>
      <c r="BI177" s="83"/>
      <c r="BJ177" s="83"/>
      <c r="BK177" s="83"/>
      <c r="BL177" s="83"/>
      <c r="BM177" s="83"/>
      <c r="BN177" s="83"/>
      <c r="BO177" s="83"/>
      <c r="BP177" s="83"/>
      <c r="BQ177" s="83"/>
      <c r="BR177" s="83"/>
      <c r="BS177" s="83"/>
      <c r="BT177" s="83"/>
      <c r="BU177" s="83"/>
      <c r="BV177" s="83"/>
      <c r="CE177" s="83"/>
      <c r="CF177" s="83"/>
      <c r="CG177" s="83"/>
      <c r="CH177" s="83"/>
      <c r="CI177" s="83"/>
      <c r="CJ177" s="83"/>
      <c r="CK177" s="83"/>
      <c r="CL177" s="83"/>
      <c r="CM177" s="83"/>
      <c r="CN177" s="83"/>
      <c r="CO177" s="83"/>
      <c r="CP177" s="83"/>
      <c r="CQ177" s="83"/>
      <c r="CR177" s="83"/>
      <c r="CS177" s="83"/>
      <c r="CT177" s="83"/>
      <c r="CU177" s="83"/>
      <c r="CV177" s="83"/>
      <c r="CW177" s="83"/>
      <c r="CX177" s="83"/>
      <c r="CY177" s="83"/>
      <c r="CZ177" s="83"/>
      <c r="DA177" s="83"/>
    </row>
    <row r="178" spans="1:133">
      <c r="A178" s="121"/>
      <c r="B178" s="121"/>
      <c r="C178" s="123"/>
      <c r="D178" s="123"/>
      <c r="E178" s="123"/>
      <c r="F178" s="123"/>
      <c r="G178" s="123"/>
      <c r="H178" s="216"/>
      <c r="I178" s="216"/>
      <c r="J178" s="216"/>
      <c r="K178" s="216"/>
      <c r="L178" s="107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  <c r="X178" s="767"/>
      <c r="Y178" s="61"/>
      <c r="Z178" s="61"/>
      <c r="AA178" s="61"/>
      <c r="AB178" s="61"/>
      <c r="AC178" s="61"/>
      <c r="AD178" s="164"/>
      <c r="AE178" s="164"/>
      <c r="AF178" s="164"/>
      <c r="AG178" s="14"/>
      <c r="AH178" s="14"/>
      <c r="AI178" s="61"/>
      <c r="AJ178" s="61"/>
      <c r="AK178" s="61"/>
      <c r="AL178" s="61"/>
      <c r="AM178" s="164"/>
      <c r="AN178" s="164"/>
      <c r="AO178" s="164"/>
      <c r="AP178" s="14"/>
      <c r="AQ178" s="14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/>
      <c r="CU178" s="61"/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  <c r="DG178" s="61"/>
      <c r="DH178" s="61"/>
      <c r="DI178" s="61"/>
      <c r="DJ178" s="61"/>
      <c r="DK178" s="61"/>
      <c r="DL178" s="61"/>
      <c r="DM178" s="61"/>
      <c r="DN178" s="61"/>
      <c r="DO178" s="61"/>
      <c r="DP178" s="61"/>
      <c r="DQ178" s="61"/>
      <c r="DR178" s="61"/>
      <c r="DS178" s="61"/>
      <c r="DT178" s="61"/>
      <c r="DU178" s="61"/>
      <c r="DV178" s="61"/>
      <c r="DW178" s="61"/>
      <c r="DX178" s="61"/>
      <c r="DY178" s="61"/>
      <c r="DZ178" s="61"/>
      <c r="EA178" s="61"/>
      <c r="EB178" s="61"/>
      <c r="EC178" s="61"/>
    </row>
    <row r="179" spans="1:133">
      <c r="A179" s="121"/>
      <c r="B179" s="121"/>
      <c r="C179" s="123"/>
      <c r="D179" s="123"/>
      <c r="E179" s="123"/>
      <c r="F179" s="3546" t="s">
        <v>229</v>
      </c>
      <c r="G179" s="3546"/>
      <c r="H179" s="3546"/>
      <c r="I179" s="3546"/>
      <c r="J179" s="107"/>
      <c r="K179" s="216"/>
      <c r="L179" s="107"/>
      <c r="M179" s="120"/>
      <c r="N179" s="3546" t="s">
        <v>229</v>
      </c>
      <c r="O179" s="3546"/>
      <c r="P179" s="3546"/>
      <c r="Q179" s="3546"/>
      <c r="R179" s="120"/>
      <c r="S179" s="120"/>
      <c r="T179" s="120"/>
      <c r="U179" s="120"/>
      <c r="V179" s="120"/>
      <c r="W179" s="120"/>
      <c r="X179" s="767"/>
      <c r="Y179" s="61"/>
      <c r="Z179" s="61"/>
      <c r="AA179" s="61"/>
      <c r="AB179" s="61"/>
      <c r="AC179" s="61"/>
      <c r="AD179" s="164"/>
      <c r="AE179" s="164"/>
      <c r="AF179" s="164"/>
      <c r="AG179" s="14"/>
      <c r="AH179" s="14"/>
      <c r="AI179" s="61"/>
      <c r="AJ179" s="61"/>
      <c r="AK179" s="61"/>
      <c r="AL179" s="61"/>
      <c r="AM179" s="164"/>
      <c r="AN179" s="164"/>
      <c r="AO179" s="164"/>
      <c r="AP179" s="14"/>
      <c r="AQ179" s="14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  <c r="DH179" s="61"/>
      <c r="DI179" s="61"/>
      <c r="DJ179" s="61"/>
      <c r="DK179" s="61"/>
      <c r="DL179" s="61"/>
      <c r="DM179" s="61"/>
      <c r="DN179" s="61"/>
      <c r="DO179" s="61"/>
      <c r="DP179" s="61"/>
      <c r="DQ179" s="61"/>
      <c r="DR179" s="61"/>
      <c r="DS179" s="61"/>
      <c r="DT179" s="61"/>
      <c r="DU179" s="61"/>
      <c r="DV179" s="61"/>
      <c r="DW179" s="61"/>
      <c r="DX179" s="61"/>
      <c r="DY179" s="61"/>
      <c r="DZ179" s="61"/>
      <c r="EA179" s="61"/>
      <c r="EB179" s="61"/>
      <c r="EC179" s="61"/>
    </row>
    <row r="180" spans="1:133" ht="15.75" thickBot="1">
      <c r="A180" s="121"/>
      <c r="B180" s="121"/>
      <c r="C180" s="123"/>
      <c r="D180" s="123"/>
      <c r="E180" s="123"/>
      <c r="F180" s="3546"/>
      <c r="G180" s="3546"/>
      <c r="H180" s="3546"/>
      <c r="I180" s="3546"/>
      <c r="J180" s="107"/>
      <c r="K180" s="216"/>
      <c r="L180" s="107"/>
      <c r="M180" s="120"/>
      <c r="N180" s="3546"/>
      <c r="O180" s="3546"/>
      <c r="P180" s="3546"/>
      <c r="Q180" s="3546"/>
      <c r="X180" s="767"/>
      <c r="Y180" s="61"/>
      <c r="Z180" s="61"/>
      <c r="AA180" s="61"/>
      <c r="AB180" s="61"/>
      <c r="AC180" s="61"/>
      <c r="AD180" s="164"/>
      <c r="AE180" s="164"/>
      <c r="AF180" s="164"/>
      <c r="AG180" s="14"/>
      <c r="AH180" s="14"/>
      <c r="AI180" s="61"/>
      <c r="AJ180" s="61"/>
      <c r="AK180" s="61"/>
      <c r="AL180" s="61"/>
      <c r="AM180" s="164"/>
      <c r="AN180" s="164"/>
      <c r="AO180" s="164"/>
      <c r="AP180" s="14"/>
      <c r="AQ180" s="14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/>
      <c r="CU180" s="61"/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  <c r="DG180" s="61"/>
      <c r="DH180" s="61"/>
      <c r="DI180" s="61"/>
      <c r="DJ180" s="61"/>
      <c r="DK180" s="61"/>
      <c r="DL180" s="61"/>
      <c r="DM180" s="61"/>
      <c r="DN180" s="61"/>
      <c r="DO180" s="61"/>
      <c r="DP180" s="61"/>
      <c r="DQ180" s="61"/>
      <c r="DR180" s="61"/>
      <c r="DS180" s="61"/>
      <c r="DT180" s="61"/>
      <c r="DU180" s="61"/>
      <c r="DV180" s="61"/>
      <c r="DW180" s="61"/>
      <c r="DX180" s="61"/>
      <c r="DY180" s="61"/>
      <c r="DZ180" s="61"/>
      <c r="EA180" s="61"/>
      <c r="EB180" s="61"/>
      <c r="EC180" s="61"/>
    </row>
    <row r="181" spans="1:133">
      <c r="A181" s="330"/>
      <c r="B181" s="330"/>
      <c r="C181" s="267" t="s">
        <v>217</v>
      </c>
      <c r="D181" s="270">
        <v>6</v>
      </c>
      <c r="E181" s="270">
        <v>6</v>
      </c>
      <c r="F181" s="270">
        <v>6</v>
      </c>
      <c r="G181" s="336">
        <v>6</v>
      </c>
      <c r="H181" s="339">
        <v>6</v>
      </c>
      <c r="I181" s="270">
        <v>6</v>
      </c>
      <c r="J181" s="270">
        <v>6</v>
      </c>
      <c r="K181" s="271">
        <v>6</v>
      </c>
      <c r="L181" s="339">
        <v>6</v>
      </c>
      <c r="M181" s="270">
        <v>6</v>
      </c>
      <c r="N181" s="270">
        <v>6</v>
      </c>
      <c r="O181" s="362">
        <v>6</v>
      </c>
      <c r="P181" s="347">
        <v>6</v>
      </c>
      <c r="Q181" s="270">
        <v>6</v>
      </c>
      <c r="R181" s="270">
        <v>6</v>
      </c>
      <c r="S181" s="362">
        <v>6</v>
      </c>
      <c r="T181" s="362">
        <v>6</v>
      </c>
      <c r="U181" s="362">
        <v>6</v>
      </c>
      <c r="V181" s="362">
        <v>6</v>
      </c>
      <c r="W181" s="362">
        <v>6</v>
      </c>
      <c r="X181" s="362">
        <v>6</v>
      </c>
      <c r="Y181" s="362">
        <v>6</v>
      </c>
      <c r="Z181" s="362">
        <v>6</v>
      </c>
      <c r="AA181" s="362">
        <v>6.5</v>
      </c>
      <c r="AB181" s="362">
        <v>6.5</v>
      </c>
      <c r="AC181" s="362">
        <v>6.5</v>
      </c>
      <c r="AD181" s="362">
        <v>6.5</v>
      </c>
      <c r="AE181" s="362">
        <v>6.5</v>
      </c>
      <c r="AF181" s="164"/>
      <c r="AG181" s="14"/>
      <c r="AH181" s="14"/>
      <c r="AI181" s="61"/>
      <c r="AJ181" s="61"/>
      <c r="AK181" s="61"/>
      <c r="AL181" s="61"/>
      <c r="AM181" s="164"/>
      <c r="AN181" s="164"/>
      <c r="AO181" s="164"/>
      <c r="AP181" s="14"/>
      <c r="AQ181" s="14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/>
      <c r="CU181" s="61"/>
      <c r="CV181" s="61"/>
      <c r="CW181" s="61"/>
      <c r="CX181" s="61"/>
      <c r="CY181" s="61"/>
      <c r="CZ181" s="61"/>
      <c r="DA181" s="61"/>
      <c r="DB181" s="61"/>
      <c r="DC181" s="61"/>
      <c r="DD181" s="61"/>
      <c r="DE181" s="61"/>
      <c r="DF181" s="61"/>
      <c r="DG181" s="61"/>
      <c r="DH181" s="61"/>
      <c r="DI181" s="61"/>
      <c r="DJ181" s="61"/>
      <c r="DK181" s="61"/>
      <c r="DL181" s="61"/>
      <c r="DM181" s="61"/>
      <c r="DN181" s="61"/>
      <c r="DO181" s="61"/>
      <c r="DP181" s="61"/>
      <c r="DQ181" s="61"/>
      <c r="DR181" s="61"/>
      <c r="DS181" s="61"/>
      <c r="DT181" s="61"/>
      <c r="DU181" s="61"/>
      <c r="DV181" s="61"/>
      <c r="DW181" s="61"/>
      <c r="DX181" s="61"/>
      <c r="DY181" s="61"/>
      <c r="DZ181" s="61"/>
      <c r="EA181" s="61"/>
      <c r="EB181" s="61"/>
      <c r="EC181" s="61"/>
    </row>
    <row r="182" spans="1:133" ht="15.75" thickBot="1">
      <c r="A182" s="330"/>
      <c r="B182" s="330"/>
      <c r="C182" s="273" t="s">
        <v>218</v>
      </c>
      <c r="D182" s="272">
        <v>8.5</v>
      </c>
      <c r="E182" s="272">
        <v>8.5</v>
      </c>
      <c r="F182" s="272">
        <v>8.5</v>
      </c>
      <c r="G182" s="377">
        <v>8.5</v>
      </c>
      <c r="H182" s="378">
        <v>8.5</v>
      </c>
      <c r="I182" s="272">
        <v>8.5</v>
      </c>
      <c r="J182" s="272">
        <v>8.5</v>
      </c>
      <c r="K182" s="379">
        <v>8.5</v>
      </c>
      <c r="L182" s="378">
        <v>8.5</v>
      </c>
      <c r="M182" s="272">
        <v>8.5</v>
      </c>
      <c r="N182" s="272">
        <v>8.5</v>
      </c>
      <c r="O182" s="391">
        <v>8.5</v>
      </c>
      <c r="P182" s="392">
        <v>8.5</v>
      </c>
      <c r="Q182" s="272">
        <v>8.5</v>
      </c>
      <c r="R182" s="272">
        <v>8.5</v>
      </c>
      <c r="S182" s="391">
        <v>8.5</v>
      </c>
      <c r="T182" s="391">
        <v>8.5</v>
      </c>
      <c r="U182" s="391">
        <v>8.5</v>
      </c>
      <c r="V182" s="391">
        <v>8.5</v>
      </c>
      <c r="W182" s="391">
        <v>8.5</v>
      </c>
      <c r="X182" s="391">
        <v>8.5</v>
      </c>
      <c r="Y182" s="391">
        <v>8.5</v>
      </c>
      <c r="Z182" s="391">
        <v>8.5</v>
      </c>
      <c r="AA182" s="391">
        <v>9</v>
      </c>
      <c r="AB182" s="391">
        <v>9</v>
      </c>
      <c r="AC182" s="391">
        <v>9</v>
      </c>
      <c r="AD182" s="391">
        <v>9</v>
      </c>
      <c r="AE182" s="391">
        <v>9</v>
      </c>
      <c r="AF182" s="164"/>
      <c r="AG182" s="163"/>
      <c r="AH182" s="61"/>
      <c r="AI182" s="61"/>
      <c r="AJ182" s="61"/>
      <c r="AK182" s="61"/>
      <c r="AL182" s="61"/>
      <c r="AM182" s="164"/>
      <c r="AN182" s="164"/>
      <c r="AO182" s="164"/>
      <c r="AP182" s="163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/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  <c r="DG182" s="61"/>
      <c r="DH182" s="61"/>
      <c r="DI182" s="61"/>
      <c r="DJ182" s="61"/>
      <c r="DK182" s="61"/>
      <c r="DL182" s="61"/>
      <c r="DM182" s="61"/>
      <c r="DN182" s="61"/>
      <c r="DO182" s="61"/>
      <c r="DP182" s="61"/>
      <c r="DQ182" s="61"/>
      <c r="DR182" s="61"/>
      <c r="DS182" s="61"/>
      <c r="DT182" s="61"/>
      <c r="DU182" s="61"/>
      <c r="DV182" s="61"/>
      <c r="DW182" s="61"/>
      <c r="DX182" s="61"/>
      <c r="DY182" s="61"/>
      <c r="DZ182" s="61"/>
      <c r="EA182" s="61"/>
      <c r="EB182" s="61"/>
      <c r="EC182" s="61"/>
    </row>
    <row r="183" spans="1:133">
      <c r="A183" s="123"/>
      <c r="B183" s="123"/>
      <c r="C183" s="105" t="s">
        <v>152</v>
      </c>
      <c r="D183" s="1818">
        <v>6.833333333333333</v>
      </c>
      <c r="E183" s="1818">
        <v>7.833333333333333</v>
      </c>
      <c r="F183" s="1818">
        <v>7.8666666666666663</v>
      </c>
      <c r="G183" s="1819">
        <v>8.1999999999999993</v>
      </c>
      <c r="H183" s="1825">
        <v>8.6</v>
      </c>
      <c r="I183" s="1826">
        <v>8.1999999999999993</v>
      </c>
      <c r="J183" s="1826">
        <v>8.6</v>
      </c>
      <c r="K183" s="1827">
        <v>8.6999999999999993</v>
      </c>
      <c r="L183" s="1828">
        <v>8.1999999999999993</v>
      </c>
      <c r="M183" s="1829">
        <v>9</v>
      </c>
      <c r="N183" s="1829">
        <v>7.6</v>
      </c>
      <c r="O183" s="482"/>
      <c r="P183" s="830">
        <v>8.07</v>
      </c>
      <c r="Q183" s="387">
        <v>8.6329999999999991</v>
      </c>
      <c r="R183" s="387">
        <v>7.57</v>
      </c>
      <c r="S183" s="388">
        <v>7.8</v>
      </c>
      <c r="T183" s="2852">
        <v>8.3000000000000007</v>
      </c>
      <c r="U183" s="388">
        <v>7.97</v>
      </c>
      <c r="V183" s="388">
        <v>8.6999999999999993</v>
      </c>
      <c r="W183" s="388">
        <v>8.23</v>
      </c>
      <c r="X183" s="785">
        <v>7.9</v>
      </c>
      <c r="Y183" s="388">
        <v>8.8000000000000007</v>
      </c>
      <c r="Z183" s="388"/>
      <c r="AA183" s="388">
        <v>7.9</v>
      </c>
      <c r="AB183" s="388"/>
      <c r="AC183" s="388"/>
      <c r="AD183" s="388"/>
      <c r="AE183" s="388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/>
      <c r="CH183" s="61"/>
      <c r="CI183" s="61"/>
      <c r="CJ183" s="61"/>
      <c r="CK183" s="61"/>
      <c r="CL183" s="61"/>
      <c r="CM183" s="61"/>
      <c r="CN183" s="61"/>
      <c r="CO183" s="61"/>
      <c r="CP183" s="61"/>
      <c r="CQ183" s="61"/>
      <c r="CR183" s="61"/>
      <c r="CS183" s="61"/>
      <c r="CT183" s="61"/>
      <c r="CU183" s="61"/>
      <c r="CV183" s="61"/>
      <c r="CW183" s="61"/>
      <c r="CX183" s="61"/>
      <c r="CY183" s="61"/>
      <c r="CZ183" s="61"/>
      <c r="DA183" s="61"/>
      <c r="DB183" s="61"/>
      <c r="DC183" s="61"/>
      <c r="DD183" s="61"/>
      <c r="DE183" s="61"/>
      <c r="DF183" s="61"/>
      <c r="DG183" s="61"/>
      <c r="DH183" s="61"/>
      <c r="DI183" s="61"/>
      <c r="DJ183" s="61"/>
      <c r="DK183" s="61"/>
      <c r="DL183" s="61"/>
      <c r="DM183" s="61"/>
      <c r="DN183" s="61"/>
      <c r="DO183" s="61"/>
      <c r="DP183" s="61"/>
      <c r="DQ183" s="61"/>
      <c r="DR183" s="61"/>
      <c r="DS183" s="61"/>
      <c r="DT183" s="61"/>
      <c r="DU183" s="61"/>
      <c r="DV183" s="61"/>
      <c r="DW183" s="61"/>
      <c r="DX183" s="61"/>
      <c r="DY183" s="61"/>
      <c r="DZ183" s="61"/>
      <c r="EA183" s="61"/>
      <c r="EB183" s="61"/>
      <c r="EC183" s="61"/>
    </row>
    <row r="184" spans="1:133">
      <c r="A184" s="123"/>
      <c r="B184" s="123"/>
      <c r="C184" s="106" t="s">
        <v>153</v>
      </c>
      <c r="D184" s="1755">
        <v>7.3666666666666671</v>
      </c>
      <c r="E184" s="1755">
        <v>7.6</v>
      </c>
      <c r="F184" s="1755">
        <v>7.7</v>
      </c>
      <c r="G184" s="1756">
        <v>8.3666666666666671</v>
      </c>
      <c r="H184" s="1821">
        <v>8.3000000000000007</v>
      </c>
      <c r="I184" s="42">
        <v>8.6</v>
      </c>
      <c r="J184" s="42">
        <v>8.6999999999999993</v>
      </c>
      <c r="K184" s="641">
        <v>8.8000000000000007</v>
      </c>
      <c r="L184" s="393">
        <v>8.1</v>
      </c>
      <c r="M184" s="394">
        <v>8.8000000000000007</v>
      </c>
      <c r="N184" s="394">
        <v>8.1999999999999993</v>
      </c>
      <c r="O184" s="411"/>
      <c r="P184" s="370">
        <v>8.1300000000000008</v>
      </c>
      <c r="Q184" s="760">
        <v>8.6329999999999991</v>
      </c>
      <c r="R184" s="833">
        <v>7.8</v>
      </c>
      <c r="S184" s="758">
        <v>7.7</v>
      </c>
      <c r="T184" s="2857">
        <v>8.23</v>
      </c>
      <c r="U184" s="758">
        <v>7.93</v>
      </c>
      <c r="V184" s="758">
        <v>8.6</v>
      </c>
      <c r="W184" s="758">
        <v>8.5299999999999994</v>
      </c>
      <c r="X184" s="786">
        <v>8.17</v>
      </c>
      <c r="Y184" s="758">
        <v>8.83</v>
      </c>
      <c r="Z184" s="758"/>
      <c r="AA184" s="758">
        <v>8.5500000000000007</v>
      </c>
      <c r="AB184" s="758"/>
      <c r="AC184" s="758"/>
      <c r="AD184" s="758"/>
      <c r="AE184" s="758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/>
      <c r="CH184" s="61"/>
      <c r="CI184" s="61"/>
      <c r="CJ184" s="61"/>
      <c r="CK184" s="61"/>
      <c r="CL184" s="61"/>
      <c r="CM184" s="61"/>
      <c r="CN184" s="61"/>
      <c r="CO184" s="61"/>
      <c r="CP184" s="61"/>
      <c r="CQ184" s="61"/>
      <c r="CR184" s="61"/>
      <c r="CS184" s="61"/>
      <c r="CT184" s="61"/>
      <c r="CU184" s="61"/>
      <c r="CV184" s="61"/>
      <c r="CW184" s="61"/>
      <c r="CX184" s="61"/>
      <c r="CY184" s="61"/>
      <c r="CZ184" s="61"/>
      <c r="DA184" s="61"/>
      <c r="DB184" s="61"/>
      <c r="DC184" s="61"/>
      <c r="DD184" s="61"/>
      <c r="DE184" s="61"/>
      <c r="DF184" s="61"/>
      <c r="DG184" s="61"/>
      <c r="DH184" s="61"/>
      <c r="DI184" s="61"/>
      <c r="DJ184" s="61"/>
      <c r="DK184" s="61"/>
      <c r="DL184" s="61"/>
      <c r="DM184" s="61"/>
      <c r="DN184" s="61"/>
      <c r="DO184" s="61"/>
      <c r="DP184" s="61"/>
      <c r="DQ184" s="61"/>
      <c r="DR184" s="61"/>
      <c r="DS184" s="61"/>
      <c r="DT184" s="61"/>
      <c r="DU184" s="61"/>
      <c r="DV184" s="61"/>
      <c r="DW184" s="61"/>
      <c r="DX184" s="61"/>
      <c r="DY184" s="61"/>
      <c r="DZ184" s="61"/>
      <c r="EA184" s="61"/>
      <c r="EB184" s="61"/>
      <c r="EC184" s="61"/>
    </row>
    <row r="185" spans="1:133">
      <c r="A185" s="123"/>
      <c r="B185" s="123"/>
      <c r="C185" s="75" t="s">
        <v>150</v>
      </c>
      <c r="D185" s="1755">
        <v>7.4</v>
      </c>
      <c r="E185" s="1755">
        <v>7.8666666666666671</v>
      </c>
      <c r="F185" s="1755">
        <v>8.1333333333333329</v>
      </c>
      <c r="G185" s="1756">
        <v>8.4333333333333336</v>
      </c>
      <c r="H185" s="1821">
        <v>8.4</v>
      </c>
      <c r="I185" s="42">
        <v>8.4</v>
      </c>
      <c r="J185" s="42">
        <v>8.5</v>
      </c>
      <c r="K185" s="641">
        <v>8.9</v>
      </c>
      <c r="L185" s="393">
        <v>7.9</v>
      </c>
      <c r="M185" s="394">
        <v>8.9</v>
      </c>
      <c r="N185" s="394">
        <v>8.9</v>
      </c>
      <c r="O185" s="485"/>
      <c r="P185" s="834">
        <v>7.93</v>
      </c>
      <c r="Q185" s="400">
        <v>8.8866999999999994</v>
      </c>
      <c r="R185" s="400">
        <v>7.6</v>
      </c>
      <c r="S185" s="759">
        <v>7.9</v>
      </c>
      <c r="T185" s="759">
        <v>8.17</v>
      </c>
      <c r="U185" s="759">
        <v>8.1300000000000008</v>
      </c>
      <c r="V185" s="759">
        <v>8.9</v>
      </c>
      <c r="W185" s="759">
        <v>8.1300000000000008</v>
      </c>
      <c r="X185" s="786">
        <v>7.9</v>
      </c>
      <c r="Y185" s="759">
        <v>8.8699999999999992</v>
      </c>
      <c r="Z185" s="759"/>
      <c r="AA185" s="759">
        <v>8.65</v>
      </c>
      <c r="AB185" s="759"/>
      <c r="AC185" s="759"/>
      <c r="AD185" s="759"/>
      <c r="AE185" s="759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/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  <c r="DG185" s="61"/>
      <c r="DH185" s="61"/>
      <c r="DI185" s="61"/>
      <c r="DJ185" s="61"/>
      <c r="DK185" s="61"/>
      <c r="DL185" s="61"/>
      <c r="DM185" s="61"/>
      <c r="DN185" s="61"/>
      <c r="DO185" s="61"/>
      <c r="DP185" s="61"/>
      <c r="DQ185" s="61"/>
      <c r="DR185" s="61"/>
      <c r="DS185" s="61"/>
      <c r="DT185" s="61"/>
      <c r="DU185" s="61"/>
      <c r="DV185" s="61"/>
      <c r="DW185" s="61"/>
      <c r="DX185" s="61"/>
      <c r="DY185" s="61"/>
      <c r="DZ185" s="61"/>
      <c r="EA185" s="61"/>
      <c r="EB185" s="61"/>
      <c r="EC185" s="61"/>
    </row>
    <row r="186" spans="1:133">
      <c r="A186" s="123"/>
      <c r="B186" s="123"/>
      <c r="C186" s="75" t="s">
        <v>149</v>
      </c>
      <c r="D186" s="1755">
        <v>7.4666666666666659</v>
      </c>
      <c r="E186" s="1755">
        <v>7.7333333333333343</v>
      </c>
      <c r="F186" s="1755">
        <v>7.9333333333333327</v>
      </c>
      <c r="G186" s="1756">
        <v>8.1</v>
      </c>
      <c r="H186" s="1821">
        <v>8.6</v>
      </c>
      <c r="I186" s="42">
        <v>8.1999999999999993</v>
      </c>
      <c r="J186" s="42">
        <v>8.1999999999999993</v>
      </c>
      <c r="K186" s="641">
        <v>8.6</v>
      </c>
      <c r="L186" s="393">
        <v>7.9</v>
      </c>
      <c r="M186" s="394">
        <v>8.6999999999999993</v>
      </c>
      <c r="N186" s="394">
        <v>7.9</v>
      </c>
      <c r="O186" s="411"/>
      <c r="P186" s="834">
        <v>8.07</v>
      </c>
      <c r="Q186" s="400">
        <v>9.3000000000000007</v>
      </c>
      <c r="R186" s="400">
        <v>7.6</v>
      </c>
      <c r="S186" s="759">
        <v>7.8</v>
      </c>
      <c r="T186" s="759">
        <v>8.33</v>
      </c>
      <c r="U186" s="759">
        <v>8</v>
      </c>
      <c r="V186" s="759">
        <v>8.6</v>
      </c>
      <c r="W186" s="759">
        <v>7.97</v>
      </c>
      <c r="X186" s="786">
        <v>8.23</v>
      </c>
      <c r="Y186" s="759">
        <v>8.6999999999999993</v>
      </c>
      <c r="Z186" s="759"/>
      <c r="AA186" s="759">
        <v>8.1</v>
      </c>
      <c r="AB186" s="759"/>
      <c r="AC186" s="759"/>
      <c r="AD186" s="759"/>
      <c r="AE186" s="759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/>
      <c r="CU186" s="61"/>
      <c r="CV186" s="61"/>
      <c r="CW186" s="61"/>
      <c r="CX186" s="61"/>
      <c r="CY186" s="61"/>
      <c r="CZ186" s="61"/>
      <c r="DA186" s="61"/>
      <c r="DB186" s="61"/>
      <c r="DC186" s="61"/>
      <c r="DD186" s="61"/>
      <c r="DE186" s="61"/>
      <c r="DF186" s="61"/>
      <c r="DG186" s="61"/>
      <c r="DH186" s="61"/>
      <c r="DI186" s="61"/>
      <c r="DJ186" s="61"/>
      <c r="DK186" s="61"/>
      <c r="DL186" s="61"/>
      <c r="DM186" s="61"/>
      <c r="DN186" s="61"/>
      <c r="DO186" s="61"/>
      <c r="DP186" s="61"/>
      <c r="DQ186" s="61"/>
      <c r="DR186" s="61"/>
      <c r="DS186" s="61"/>
      <c r="DT186" s="61"/>
      <c r="DU186" s="61"/>
      <c r="DV186" s="61"/>
      <c r="DW186" s="61"/>
      <c r="DX186" s="61"/>
      <c r="DY186" s="61"/>
      <c r="DZ186" s="61"/>
      <c r="EA186" s="61"/>
      <c r="EB186" s="61"/>
      <c r="EC186" s="61"/>
    </row>
    <row r="187" spans="1:133">
      <c r="A187" s="123"/>
      <c r="B187" s="123"/>
      <c r="C187" s="75" t="s">
        <v>151</v>
      </c>
      <c r="D187" s="1755">
        <v>7.5333333333333341</v>
      </c>
      <c r="E187" s="1755">
        <v>7.7</v>
      </c>
      <c r="F187" s="1755">
        <v>8.0333333333333332</v>
      </c>
      <c r="G187" s="1756">
        <v>8.1666666666666661</v>
      </c>
      <c r="H187" s="1821">
        <v>8.1999999999999993</v>
      </c>
      <c r="I187" s="42">
        <v>8.6</v>
      </c>
      <c r="J187" s="42">
        <v>7.9</v>
      </c>
      <c r="K187" s="641">
        <v>8.6</v>
      </c>
      <c r="L187" s="393">
        <v>8</v>
      </c>
      <c r="M187" s="394">
        <v>8.5</v>
      </c>
      <c r="N187" s="394">
        <v>9.1</v>
      </c>
      <c r="O187" s="411"/>
      <c r="P187" s="834">
        <v>8.1999999999999993</v>
      </c>
      <c r="Q187" s="400">
        <v>8.8000000000000007</v>
      </c>
      <c r="R187" s="400">
        <v>7.5</v>
      </c>
      <c r="S187" s="759">
        <v>7.8</v>
      </c>
      <c r="T187" s="759">
        <v>8.1300000000000008</v>
      </c>
      <c r="U187" s="759">
        <v>8.07</v>
      </c>
      <c r="V187" s="759">
        <v>8.6999999999999993</v>
      </c>
      <c r="W187" s="759">
        <v>8.17</v>
      </c>
      <c r="X187" s="786">
        <v>7.83</v>
      </c>
      <c r="Y187" s="759">
        <v>8.73</v>
      </c>
      <c r="Z187" s="759"/>
      <c r="AA187" s="759">
        <v>8.5</v>
      </c>
      <c r="AB187" s="759"/>
      <c r="AC187" s="759"/>
      <c r="AD187" s="759"/>
      <c r="AE187" s="759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/>
      <c r="CU187" s="61"/>
      <c r="CV187" s="61"/>
      <c r="CW187" s="61"/>
      <c r="CX187" s="61"/>
      <c r="CY187" s="61"/>
      <c r="CZ187" s="61"/>
      <c r="DA187" s="61"/>
      <c r="DB187" s="61"/>
      <c r="DC187" s="61"/>
      <c r="DD187" s="61"/>
      <c r="DE187" s="61"/>
      <c r="DF187" s="61"/>
      <c r="DG187" s="61"/>
      <c r="DH187" s="61"/>
      <c r="DI187" s="61"/>
      <c r="DJ187" s="61"/>
      <c r="DK187" s="61"/>
      <c r="DL187" s="61"/>
      <c r="DM187" s="61"/>
      <c r="DN187" s="61"/>
      <c r="DO187" s="61"/>
      <c r="DP187" s="61"/>
      <c r="DQ187" s="61"/>
      <c r="DR187" s="61"/>
      <c r="DS187" s="61"/>
      <c r="DT187" s="61"/>
      <c r="DU187" s="61"/>
      <c r="DV187" s="61"/>
      <c r="DW187" s="61"/>
      <c r="DX187" s="61"/>
      <c r="DY187" s="61"/>
      <c r="DZ187" s="61"/>
      <c r="EA187" s="61"/>
      <c r="EB187" s="61"/>
      <c r="EC187" s="61"/>
    </row>
    <row r="188" spans="1:133">
      <c r="A188" s="123"/>
      <c r="B188" s="123"/>
      <c r="C188" s="106" t="s">
        <v>273</v>
      </c>
      <c r="D188" s="10"/>
      <c r="E188" s="10"/>
      <c r="F188" s="10"/>
      <c r="G188" s="1758"/>
      <c r="H188" s="1821">
        <v>8.6</v>
      </c>
      <c r="I188" s="42">
        <v>8.3000000000000007</v>
      </c>
      <c r="J188" s="42">
        <v>8.9</v>
      </c>
      <c r="K188" s="641">
        <v>8.8000000000000007</v>
      </c>
      <c r="L188" s="393">
        <v>8.1</v>
      </c>
      <c r="M188" s="394">
        <v>9</v>
      </c>
      <c r="N188" s="394">
        <v>9</v>
      </c>
      <c r="O188" s="411"/>
      <c r="P188" s="370">
        <v>8.23</v>
      </c>
      <c r="Q188" s="760">
        <v>8.8670000000000009</v>
      </c>
      <c r="R188" s="833">
        <v>7.95</v>
      </c>
      <c r="S188" s="759">
        <v>7.6</v>
      </c>
      <c r="T188" s="759">
        <v>8.3699999999999992</v>
      </c>
      <c r="U188" s="759">
        <v>8.1300000000000008</v>
      </c>
      <c r="V188" s="759">
        <v>8.6</v>
      </c>
      <c r="W188" s="759">
        <v>8.0299999999999994</v>
      </c>
      <c r="X188" s="786">
        <v>7.97</v>
      </c>
      <c r="Y188" s="759">
        <v>9.17</v>
      </c>
      <c r="Z188" s="759"/>
      <c r="AA188" s="759">
        <v>8.6999999999999993</v>
      </c>
      <c r="AB188" s="759"/>
      <c r="AC188" s="759"/>
      <c r="AD188" s="759"/>
      <c r="AE188" s="759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/>
      <c r="CU188" s="61"/>
      <c r="CV188" s="61"/>
      <c r="CW188" s="61"/>
      <c r="CX188" s="61"/>
      <c r="CY188" s="61"/>
      <c r="CZ188" s="61"/>
      <c r="DA188" s="61"/>
      <c r="DB188" s="61"/>
      <c r="DC188" s="61"/>
      <c r="DD188" s="61"/>
      <c r="DE188" s="61"/>
      <c r="DF188" s="61"/>
      <c r="DG188" s="61"/>
      <c r="DH188" s="61"/>
      <c r="DI188" s="61"/>
      <c r="DJ188" s="61"/>
      <c r="DK188" s="61"/>
      <c r="DL188" s="61"/>
      <c r="DM188" s="61"/>
      <c r="DN188" s="61"/>
      <c r="DO188" s="61"/>
      <c r="DP188" s="61"/>
      <c r="DQ188" s="61"/>
      <c r="DR188" s="61"/>
      <c r="DS188" s="61"/>
      <c r="DT188" s="61"/>
      <c r="DU188" s="61"/>
      <c r="DV188" s="61"/>
      <c r="DW188" s="61"/>
      <c r="DX188" s="61"/>
      <c r="DY188" s="61"/>
      <c r="DZ188" s="61"/>
      <c r="EA188" s="61"/>
      <c r="EB188" s="61"/>
      <c r="EC188" s="61"/>
    </row>
    <row r="189" spans="1:133">
      <c r="A189" s="123"/>
      <c r="B189" s="123"/>
      <c r="C189" s="106" t="s">
        <v>274</v>
      </c>
      <c r="D189" s="10"/>
      <c r="E189" s="10"/>
      <c r="F189" s="10"/>
      <c r="G189" s="1758"/>
      <c r="H189" s="1821">
        <v>8.5</v>
      </c>
      <c r="I189" s="42">
        <v>8.6</v>
      </c>
      <c r="J189" s="42">
        <v>8.8000000000000007</v>
      </c>
      <c r="K189" s="641">
        <v>8.8000000000000007</v>
      </c>
      <c r="L189" s="393">
        <v>8.1999999999999993</v>
      </c>
      <c r="M189" s="394">
        <v>8.8000000000000007</v>
      </c>
      <c r="N189" s="394">
        <v>9.1</v>
      </c>
      <c r="O189" s="411"/>
      <c r="P189" s="2404">
        <v>7.77</v>
      </c>
      <c r="Q189" s="2639">
        <v>8.9670000000000005</v>
      </c>
      <c r="R189" s="824">
        <v>7.83</v>
      </c>
      <c r="S189" s="759">
        <v>7.5</v>
      </c>
      <c r="T189" s="759">
        <v>8.4</v>
      </c>
      <c r="U189" s="759">
        <v>8.07</v>
      </c>
      <c r="V189" s="759">
        <v>8.3000000000000007</v>
      </c>
      <c r="W189" s="759">
        <v>8.27</v>
      </c>
      <c r="X189" s="786">
        <v>8.1</v>
      </c>
      <c r="Y189" s="759">
        <v>8.67</v>
      </c>
      <c r="Z189" s="759"/>
      <c r="AA189" s="759">
        <v>8.8000000000000007</v>
      </c>
      <c r="AB189" s="759"/>
      <c r="AC189" s="759"/>
      <c r="AD189" s="759"/>
      <c r="AE189" s="759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/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  <c r="DG189" s="61"/>
      <c r="DH189" s="61"/>
      <c r="DI189" s="61"/>
      <c r="DJ189" s="61"/>
      <c r="DK189" s="61"/>
      <c r="DL189" s="61"/>
      <c r="DM189" s="61"/>
      <c r="DN189" s="61"/>
      <c r="DO189" s="61"/>
      <c r="DP189" s="61"/>
      <c r="DQ189" s="61"/>
      <c r="DR189" s="61"/>
      <c r="DS189" s="61"/>
      <c r="DT189" s="61"/>
      <c r="DU189" s="61"/>
      <c r="DV189" s="61"/>
      <c r="DW189" s="61"/>
      <c r="DX189" s="61"/>
      <c r="DY189" s="61"/>
      <c r="DZ189" s="61"/>
      <c r="EA189" s="61"/>
      <c r="EB189" s="61"/>
      <c r="EC189" s="61"/>
    </row>
    <row r="190" spans="1:133">
      <c r="A190" s="123"/>
      <c r="B190" s="123"/>
      <c r="C190" s="75" t="s">
        <v>275</v>
      </c>
      <c r="D190" s="10"/>
      <c r="E190" s="10"/>
      <c r="F190" s="10"/>
      <c r="G190" s="1830"/>
      <c r="H190" s="1821">
        <v>8.4</v>
      </c>
      <c r="I190" s="42">
        <v>8.6999999999999993</v>
      </c>
      <c r="J190" s="42">
        <v>8.9</v>
      </c>
      <c r="K190" s="641">
        <v>8.9</v>
      </c>
      <c r="L190" s="393">
        <v>8.1</v>
      </c>
      <c r="M190" s="394">
        <v>9</v>
      </c>
      <c r="N190" s="394">
        <v>8.5</v>
      </c>
      <c r="O190" s="411"/>
      <c r="P190" s="2125">
        <v>8.1</v>
      </c>
      <c r="Q190" s="2639">
        <v>8.7330000000000005</v>
      </c>
      <c r="R190" s="835">
        <v>7.7</v>
      </c>
      <c r="S190" s="759">
        <v>7.6</v>
      </c>
      <c r="T190" s="759">
        <v>8.5</v>
      </c>
      <c r="U190" s="759">
        <v>8.1</v>
      </c>
      <c r="V190" s="759">
        <v>8.5</v>
      </c>
      <c r="W190" s="759">
        <v>8.1</v>
      </c>
      <c r="X190" s="786">
        <v>8.1300000000000008</v>
      </c>
      <c r="Y190" s="759">
        <v>8.4700000000000006</v>
      </c>
      <c r="Z190" s="759"/>
      <c r="AA190" s="759">
        <v>8.3000000000000007</v>
      </c>
      <c r="AB190" s="759"/>
      <c r="AC190" s="759"/>
      <c r="AD190" s="759"/>
      <c r="AE190" s="759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/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  <c r="DG190" s="61"/>
      <c r="DH190" s="61"/>
      <c r="DI190" s="61"/>
      <c r="DJ190" s="61"/>
      <c r="DK190" s="61"/>
      <c r="DL190" s="61"/>
      <c r="DM190" s="61"/>
      <c r="DN190" s="61"/>
      <c r="DO190" s="61"/>
      <c r="DP190" s="61"/>
      <c r="DQ190" s="61"/>
      <c r="DR190" s="61"/>
      <c r="DS190" s="61"/>
      <c r="DT190" s="61"/>
      <c r="DU190" s="61"/>
      <c r="DV190" s="61"/>
      <c r="DW190" s="61"/>
      <c r="DX190" s="61"/>
      <c r="DY190" s="61"/>
      <c r="DZ190" s="61"/>
      <c r="EA190" s="61"/>
      <c r="EB190" s="61"/>
      <c r="EC190" s="61"/>
    </row>
    <row r="191" spans="1:133" ht="15.75" thickBot="1">
      <c r="A191" s="123"/>
      <c r="B191" s="123"/>
      <c r="C191" s="76" t="s">
        <v>276</v>
      </c>
      <c r="D191" s="1822"/>
      <c r="E191" s="1822"/>
      <c r="F191" s="1822"/>
      <c r="G191" s="1831"/>
      <c r="H191" s="1832">
        <v>8.5</v>
      </c>
      <c r="I191" s="1833">
        <v>8.6</v>
      </c>
      <c r="J191" s="1833">
        <v>8.5</v>
      </c>
      <c r="K191" s="1834">
        <v>8.6999999999999993</v>
      </c>
      <c r="L191" s="393">
        <v>8</v>
      </c>
      <c r="M191" s="394">
        <v>9.1999999999999993</v>
      </c>
      <c r="N191" s="394">
        <v>9</v>
      </c>
      <c r="O191" s="411"/>
      <c r="P191" s="2405">
        <v>8.1999999999999993</v>
      </c>
      <c r="Q191" s="2640">
        <v>8.9670000000000005</v>
      </c>
      <c r="R191" s="2755">
        <v>7.83</v>
      </c>
      <c r="S191" s="826">
        <v>7.8</v>
      </c>
      <c r="T191" s="826">
        <v>8.4700000000000006</v>
      </c>
      <c r="U191" s="826">
        <v>7.9</v>
      </c>
      <c r="V191" s="826">
        <v>8.9</v>
      </c>
      <c r="W191" s="826">
        <v>8.3000000000000007</v>
      </c>
      <c r="X191" s="770">
        <v>8.1</v>
      </c>
      <c r="Y191" s="826">
        <v>8.5299999999999994</v>
      </c>
      <c r="Z191" s="826"/>
      <c r="AA191" s="826">
        <v>8.1</v>
      </c>
      <c r="AB191" s="826"/>
      <c r="AC191" s="826"/>
      <c r="AD191" s="826"/>
      <c r="AE191" s="826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/>
      <c r="CI191" s="61"/>
      <c r="CJ191" s="61"/>
      <c r="CK191" s="61"/>
      <c r="CL191" s="61"/>
      <c r="CM191" s="61"/>
      <c r="CN191" s="61"/>
      <c r="CO191" s="61"/>
      <c r="CP191" s="61"/>
      <c r="CQ191" s="61"/>
      <c r="CR191" s="61"/>
      <c r="CS191" s="61"/>
      <c r="CT191" s="61"/>
      <c r="CU191" s="61"/>
      <c r="CV191" s="61"/>
      <c r="CW191" s="61"/>
      <c r="CX191" s="61"/>
      <c r="CY191" s="61"/>
      <c r="CZ191" s="61"/>
      <c r="DA191" s="61"/>
      <c r="DB191" s="61"/>
      <c r="DC191" s="61"/>
      <c r="DD191" s="61"/>
      <c r="DE191" s="61"/>
      <c r="DF191" s="61"/>
      <c r="DG191" s="61"/>
      <c r="DH191" s="61"/>
      <c r="DI191" s="61"/>
      <c r="DJ191" s="61"/>
      <c r="DK191" s="61"/>
      <c r="DL191" s="61"/>
      <c r="DM191" s="61"/>
      <c r="DN191" s="61"/>
      <c r="DO191" s="61"/>
      <c r="DP191" s="61"/>
      <c r="DQ191" s="61"/>
      <c r="DR191" s="61"/>
      <c r="DS191" s="61"/>
      <c r="DT191" s="61"/>
      <c r="DU191" s="61"/>
      <c r="DV191" s="61"/>
      <c r="DW191" s="61"/>
      <c r="DX191" s="61"/>
      <c r="DY191" s="61"/>
      <c r="DZ191" s="61"/>
      <c r="EA191" s="61"/>
      <c r="EB191" s="61"/>
      <c r="EC191" s="61"/>
    </row>
    <row r="192" spans="1:133">
      <c r="A192" s="114"/>
      <c r="B192" s="114">
        <f>SUM(B160:B191)</f>
        <v>0</v>
      </c>
      <c r="C192" s="775" t="s">
        <v>285</v>
      </c>
      <c r="D192" s="1025">
        <f>COUNTIFS(D183:D191,"&gt;=6",D183:D191,"&lt;=8.5")</f>
        <v>5</v>
      </c>
      <c r="E192" s="1025">
        <f t="shared" ref="E192:Q192" si="43">COUNTIFS(E183:E191,"&gt;=6",E183:E191,"&lt;=8.5")</f>
        <v>5</v>
      </c>
      <c r="F192" s="1025">
        <f t="shared" si="43"/>
        <v>5</v>
      </c>
      <c r="G192" s="1025">
        <f t="shared" si="43"/>
        <v>5</v>
      </c>
      <c r="H192" s="1025">
        <f t="shared" si="43"/>
        <v>6</v>
      </c>
      <c r="I192" s="1025">
        <f t="shared" si="43"/>
        <v>4</v>
      </c>
      <c r="J192" s="1025">
        <f t="shared" si="43"/>
        <v>4</v>
      </c>
      <c r="K192" s="1025">
        <f t="shared" si="43"/>
        <v>0</v>
      </c>
      <c r="L192" s="1025">
        <f t="shared" si="43"/>
        <v>9</v>
      </c>
      <c r="M192" s="1025">
        <f t="shared" si="43"/>
        <v>1</v>
      </c>
      <c r="N192" s="1025">
        <f t="shared" si="43"/>
        <v>4</v>
      </c>
      <c r="O192" s="1025">
        <f t="shared" si="43"/>
        <v>0</v>
      </c>
      <c r="P192" s="1025">
        <f t="shared" si="43"/>
        <v>9</v>
      </c>
      <c r="Q192" s="1025">
        <f t="shared" si="43"/>
        <v>0</v>
      </c>
      <c r="R192" s="1025">
        <f>COUNTIFS(R183:R191,"&gt;=6",R183:R191,"&lt;=8.5")</f>
        <v>9</v>
      </c>
      <c r="S192" s="1025">
        <f>COUNTIFS(S183:S191,"&gt;=6",S183:S191,"&lt;=8.5")</f>
        <v>9</v>
      </c>
      <c r="T192" s="1025">
        <f>COUNTIFS(T183:T191,"&gt;=6",T183:T191,"&lt;=8.5")</f>
        <v>9</v>
      </c>
      <c r="U192" s="1025">
        <f>COUNTIFS(U183:U191,"&gt;=6",U183:U191,"&lt;=8.5")</f>
        <v>9</v>
      </c>
      <c r="V192" s="1025">
        <f t="shared" ref="V192:Z192" si="44">COUNTIFS(V183:V191,"&gt;=6",V183:V191,"&lt;=8.5")</f>
        <v>2</v>
      </c>
      <c r="W192" s="1025">
        <f t="shared" si="44"/>
        <v>8</v>
      </c>
      <c r="X192" s="1025">
        <f t="shared" si="44"/>
        <v>9</v>
      </c>
      <c r="Y192" s="1025">
        <f t="shared" si="44"/>
        <v>1</v>
      </c>
      <c r="Z192" s="1025">
        <f t="shared" si="44"/>
        <v>0</v>
      </c>
      <c r="AA192" s="1025">
        <f>COUNTIFS(AA183:AA191,"&gt;=6.5",AA183:AA191,"&lt;=9")</f>
        <v>9</v>
      </c>
      <c r="AB192" s="1025">
        <f t="shared" ref="AB192:AE192" si="45">COUNTIFS(AB183:AB191,"&gt;=6.5",AB183:AB191,"&lt;=9")</f>
        <v>0</v>
      </c>
      <c r="AC192" s="1025">
        <f t="shared" si="45"/>
        <v>0</v>
      </c>
      <c r="AD192" s="1025">
        <f t="shared" si="45"/>
        <v>0</v>
      </c>
      <c r="AE192" s="1025">
        <f t="shared" si="45"/>
        <v>0</v>
      </c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/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  <c r="DG192" s="61"/>
      <c r="DH192" s="61"/>
      <c r="DI192" s="61"/>
      <c r="DJ192" s="61"/>
      <c r="DK192" s="61"/>
      <c r="DL192" s="61"/>
      <c r="DM192" s="61"/>
      <c r="DN192" s="61"/>
      <c r="DO192" s="61"/>
      <c r="DP192" s="61"/>
      <c r="DQ192" s="61"/>
      <c r="DR192" s="61"/>
      <c r="DS192" s="61"/>
      <c r="DT192" s="61"/>
      <c r="DU192" s="61"/>
      <c r="DV192" s="61"/>
      <c r="DW192" s="61"/>
      <c r="DX192" s="61"/>
      <c r="DY192" s="61"/>
      <c r="DZ192" s="61"/>
      <c r="EA192" s="61"/>
      <c r="EB192" s="61"/>
      <c r="EC192" s="61"/>
    </row>
    <row r="193" spans="1:133">
      <c r="A193" s="114"/>
      <c r="B193" s="114"/>
      <c r="C193" s="775" t="s">
        <v>287</v>
      </c>
      <c r="D193" s="1027">
        <f>COUNT(D183:D191)</f>
        <v>5</v>
      </c>
      <c r="E193" s="1027">
        <f t="shared" ref="E193:Q193" si="46">COUNT(E183:E191)</f>
        <v>5</v>
      </c>
      <c r="F193" s="1027">
        <f t="shared" si="46"/>
        <v>5</v>
      </c>
      <c r="G193" s="1027">
        <f t="shared" si="46"/>
        <v>5</v>
      </c>
      <c r="H193" s="1027">
        <f t="shared" si="46"/>
        <v>9</v>
      </c>
      <c r="I193" s="1027">
        <f t="shared" si="46"/>
        <v>9</v>
      </c>
      <c r="J193" s="1027">
        <f t="shared" si="46"/>
        <v>9</v>
      </c>
      <c r="K193" s="1027">
        <f t="shared" si="46"/>
        <v>9</v>
      </c>
      <c r="L193" s="1027">
        <f t="shared" si="46"/>
        <v>9</v>
      </c>
      <c r="M193" s="1027">
        <f t="shared" si="46"/>
        <v>9</v>
      </c>
      <c r="N193" s="1027">
        <f t="shared" si="46"/>
        <v>9</v>
      </c>
      <c r="O193" s="1027">
        <f t="shared" si="46"/>
        <v>0</v>
      </c>
      <c r="P193" s="1027">
        <f t="shared" si="46"/>
        <v>9</v>
      </c>
      <c r="Q193" s="1027">
        <f t="shared" si="46"/>
        <v>9</v>
      </c>
      <c r="R193" s="1027">
        <f>COUNT(R183:R191)</f>
        <v>9</v>
      </c>
      <c r="S193" s="1027">
        <f>COUNT(S183:S191)</f>
        <v>9</v>
      </c>
      <c r="T193" s="1027">
        <f>COUNT(T183:T191)</f>
        <v>9</v>
      </c>
      <c r="U193" s="1027">
        <f>COUNT(U183:U191)</f>
        <v>9</v>
      </c>
      <c r="V193" s="1027">
        <f t="shared" ref="V193:AA193" si="47">COUNT(V183:V191)</f>
        <v>9</v>
      </c>
      <c r="W193" s="1027">
        <f t="shared" si="47"/>
        <v>9</v>
      </c>
      <c r="X193" s="1027">
        <f t="shared" si="47"/>
        <v>9</v>
      </c>
      <c r="Y193" s="1027">
        <f t="shared" si="47"/>
        <v>9</v>
      </c>
      <c r="Z193" s="1027">
        <f t="shared" si="47"/>
        <v>0</v>
      </c>
      <c r="AA193" s="1027">
        <f t="shared" si="47"/>
        <v>9</v>
      </c>
      <c r="AB193" s="1027">
        <f t="shared" ref="AB193:AE193" si="48">COUNT(AB183:AB191)</f>
        <v>0</v>
      </c>
      <c r="AC193" s="1027">
        <f t="shared" si="48"/>
        <v>0</v>
      </c>
      <c r="AD193" s="1027">
        <f t="shared" si="48"/>
        <v>0</v>
      </c>
      <c r="AE193" s="1027">
        <f t="shared" si="48"/>
        <v>0</v>
      </c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  <c r="CR193" s="61"/>
      <c r="CS193" s="61"/>
      <c r="CT193" s="61"/>
      <c r="CU193" s="61"/>
      <c r="CV193" s="61"/>
      <c r="CW193" s="61"/>
      <c r="CX193" s="61"/>
      <c r="CY193" s="61"/>
      <c r="CZ193" s="61"/>
      <c r="DA193" s="61"/>
      <c r="DB193" s="61"/>
      <c r="DC193" s="61"/>
      <c r="DD193" s="61"/>
      <c r="DE193" s="61"/>
      <c r="DF193" s="61"/>
      <c r="DG193" s="61"/>
      <c r="DH193" s="61"/>
      <c r="DI193" s="61"/>
      <c r="DJ193" s="61"/>
      <c r="DK193" s="61"/>
      <c r="DL193" s="61"/>
      <c r="DM193" s="61"/>
      <c r="DN193" s="61"/>
      <c r="DO193" s="61"/>
      <c r="DP193" s="61"/>
      <c r="DQ193" s="61"/>
      <c r="DR193" s="61"/>
      <c r="DS193" s="61"/>
      <c r="DT193" s="61"/>
      <c r="DU193" s="61"/>
      <c r="DV193" s="61"/>
      <c r="DW193" s="61"/>
      <c r="DX193" s="61"/>
      <c r="DY193" s="61"/>
      <c r="DZ193" s="61"/>
      <c r="EA193" s="61"/>
      <c r="EB193" s="61"/>
      <c r="EC193" s="61"/>
    </row>
    <row r="194" spans="1:133">
      <c r="A194" s="114"/>
      <c r="B194" s="114"/>
      <c r="C194" s="775" t="s">
        <v>286</v>
      </c>
      <c r="D194" s="1026">
        <f t="shared" ref="D194:T194" si="49">D192/D193</f>
        <v>1</v>
      </c>
      <c r="E194" s="1026">
        <f t="shared" si="49"/>
        <v>1</v>
      </c>
      <c r="F194" s="1026">
        <f t="shared" si="49"/>
        <v>1</v>
      </c>
      <c r="G194" s="1026">
        <f t="shared" si="49"/>
        <v>1</v>
      </c>
      <c r="H194" s="1026">
        <f t="shared" si="49"/>
        <v>0.66666666666666663</v>
      </c>
      <c r="I194" s="1026">
        <f t="shared" si="49"/>
        <v>0.44444444444444442</v>
      </c>
      <c r="J194" s="1026">
        <f t="shared" si="49"/>
        <v>0.44444444444444442</v>
      </c>
      <c r="K194" s="1026">
        <f t="shared" si="49"/>
        <v>0</v>
      </c>
      <c r="L194" s="1026">
        <f t="shared" si="49"/>
        <v>1</v>
      </c>
      <c r="M194" s="1026">
        <f t="shared" si="49"/>
        <v>0.1111111111111111</v>
      </c>
      <c r="N194" s="1026">
        <f t="shared" si="49"/>
        <v>0.44444444444444442</v>
      </c>
      <c r="O194" s="1026" t="e">
        <f t="shared" si="49"/>
        <v>#DIV/0!</v>
      </c>
      <c r="P194" s="1026">
        <f t="shared" si="49"/>
        <v>1</v>
      </c>
      <c r="Q194" s="1026">
        <f t="shared" si="49"/>
        <v>0</v>
      </c>
      <c r="R194" s="1026">
        <f t="shared" si="49"/>
        <v>1</v>
      </c>
      <c r="S194" s="1026">
        <f t="shared" si="49"/>
        <v>1</v>
      </c>
      <c r="T194" s="1026">
        <f t="shared" si="49"/>
        <v>1</v>
      </c>
      <c r="U194" s="1026">
        <f t="shared" ref="U194" si="50">U192/U193</f>
        <v>1</v>
      </c>
      <c r="V194" s="1026"/>
      <c r="W194" s="1026"/>
      <c r="X194" s="786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  <c r="CR194" s="61"/>
      <c r="CS194" s="61"/>
      <c r="CT194" s="61"/>
      <c r="CU194" s="61"/>
      <c r="CV194" s="61"/>
      <c r="CW194" s="61"/>
      <c r="CX194" s="61"/>
      <c r="CY194" s="61"/>
      <c r="CZ194" s="61"/>
      <c r="DA194" s="61"/>
      <c r="DB194" s="61"/>
      <c r="DC194" s="61"/>
      <c r="DD194" s="61"/>
      <c r="DE194" s="61"/>
      <c r="DF194" s="61"/>
      <c r="DG194" s="61"/>
      <c r="DH194" s="61"/>
      <c r="DI194" s="61"/>
      <c r="DJ194" s="61"/>
      <c r="DK194" s="61"/>
      <c r="DL194" s="61"/>
      <c r="DM194" s="61"/>
      <c r="DN194" s="61"/>
      <c r="DO194" s="61"/>
      <c r="DP194" s="61"/>
      <c r="DQ194" s="61"/>
      <c r="DR194" s="61"/>
      <c r="DS194" s="61"/>
      <c r="DT194" s="61"/>
      <c r="DU194" s="61"/>
      <c r="DV194" s="61"/>
      <c r="DW194" s="61"/>
      <c r="DX194" s="61"/>
      <c r="DY194" s="61"/>
      <c r="DZ194" s="61"/>
      <c r="EA194" s="61"/>
      <c r="EB194" s="61"/>
      <c r="EC194" s="61"/>
    </row>
    <row r="195" spans="1:133">
      <c r="A195" s="123"/>
      <c r="B195" s="123"/>
      <c r="C195" s="117"/>
      <c r="D195" s="110"/>
      <c r="E195" s="110"/>
      <c r="F195" s="110"/>
      <c r="G195" s="110"/>
      <c r="H195" s="110"/>
      <c r="I195" s="111"/>
      <c r="J195" s="110"/>
      <c r="K195" s="112"/>
      <c r="L195" s="107"/>
      <c r="M195" s="120"/>
      <c r="N195" s="120"/>
      <c r="O195" s="120"/>
      <c r="P195" s="303"/>
      <c r="Q195" s="303"/>
      <c r="R195" s="303"/>
      <c r="S195" s="302"/>
      <c r="T195" s="302"/>
      <c r="U195" s="302"/>
      <c r="V195" s="302"/>
      <c r="W195" s="302"/>
      <c r="X195" s="786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61"/>
      <c r="CJ195" s="61"/>
      <c r="CK195" s="61"/>
      <c r="CL195" s="61"/>
      <c r="CM195" s="61"/>
      <c r="CN195" s="61"/>
      <c r="CO195" s="61"/>
      <c r="CP195" s="61"/>
      <c r="CQ195" s="61"/>
      <c r="CR195" s="61"/>
      <c r="CS195" s="61"/>
      <c r="CT195" s="61"/>
      <c r="CU195" s="61"/>
      <c r="CV195" s="61"/>
      <c r="CW195" s="61"/>
      <c r="CX195" s="61"/>
      <c r="CY195" s="61"/>
      <c r="CZ195" s="61"/>
      <c r="DA195" s="61"/>
      <c r="DB195" s="61"/>
      <c r="DC195" s="61"/>
      <c r="DD195" s="61"/>
      <c r="DE195" s="61"/>
      <c r="DF195" s="61"/>
      <c r="DG195" s="61"/>
      <c r="DH195" s="61"/>
      <c r="DI195" s="61"/>
      <c r="DJ195" s="61"/>
      <c r="DK195" s="61"/>
      <c r="DL195" s="61"/>
      <c r="DM195" s="61"/>
      <c r="DN195" s="61"/>
      <c r="DO195" s="61"/>
      <c r="DP195" s="61"/>
      <c r="DQ195" s="61"/>
      <c r="DR195" s="61"/>
      <c r="DS195" s="61"/>
      <c r="DT195" s="61"/>
      <c r="DU195" s="61"/>
      <c r="DV195" s="61"/>
      <c r="DW195" s="61"/>
      <c r="DX195" s="61"/>
      <c r="DY195" s="61"/>
      <c r="DZ195" s="61"/>
      <c r="EA195" s="61"/>
      <c r="EB195" s="61"/>
      <c r="EC195" s="61"/>
    </row>
    <row r="196" spans="1:133">
      <c r="A196" s="123"/>
      <c r="B196" s="123"/>
      <c r="C196" s="117"/>
      <c r="D196" s="110"/>
      <c r="E196" s="110"/>
      <c r="F196" s="3546" t="s">
        <v>227</v>
      </c>
      <c r="G196" s="3546"/>
      <c r="H196" s="3546"/>
      <c r="I196" s="3546"/>
      <c r="J196" s="107"/>
      <c r="K196" s="112"/>
      <c r="L196" s="107"/>
      <c r="M196" s="120"/>
      <c r="N196" s="3546" t="s">
        <v>227</v>
      </c>
      <c r="O196" s="3546"/>
      <c r="P196" s="3546"/>
      <c r="Q196" s="3546"/>
      <c r="R196" s="303"/>
      <c r="S196" s="302"/>
      <c r="T196" s="302"/>
      <c r="U196" s="302"/>
      <c r="V196" s="302"/>
      <c r="W196" s="302"/>
      <c r="X196" s="786"/>
      <c r="Y196" s="61"/>
      <c r="Z196" s="61"/>
      <c r="AA196" s="61"/>
      <c r="AB196" s="61"/>
      <c r="AC196" s="61"/>
      <c r="AD196" s="70"/>
      <c r="AE196" s="70"/>
      <c r="AF196" s="70"/>
      <c r="AG196" s="86"/>
      <c r="AH196" s="13"/>
      <c r="AI196" s="13"/>
      <c r="AJ196" s="61"/>
      <c r="AK196" s="61"/>
      <c r="AL196" s="61"/>
      <c r="AM196" s="70"/>
      <c r="AN196" s="70"/>
      <c r="AO196" s="86"/>
      <c r="AP196" s="13"/>
      <c r="AQ196" s="13"/>
      <c r="AR196" s="61"/>
      <c r="AS196" s="61"/>
      <c r="AT196" s="61"/>
      <c r="AU196" s="61"/>
      <c r="AV196" s="86"/>
      <c r="AW196" s="86"/>
      <c r="AX196" s="86"/>
      <c r="AY196" s="13"/>
      <c r="AZ196" s="13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/>
      <c r="CI196" s="61"/>
      <c r="CJ196" s="61"/>
      <c r="CK196" s="61"/>
      <c r="CL196" s="61"/>
      <c r="CM196" s="61"/>
      <c r="CN196" s="61"/>
      <c r="CO196" s="61"/>
      <c r="CP196" s="61"/>
      <c r="CQ196" s="61"/>
      <c r="CR196" s="61"/>
      <c r="CS196" s="61"/>
      <c r="CT196" s="61"/>
      <c r="CU196" s="61"/>
      <c r="CV196" s="61"/>
      <c r="CW196" s="61"/>
      <c r="CX196" s="61"/>
      <c r="CY196" s="61"/>
      <c r="CZ196" s="61"/>
      <c r="DA196" s="61"/>
      <c r="DB196" s="61"/>
      <c r="DC196" s="61"/>
      <c r="DD196" s="61"/>
      <c r="DE196" s="61"/>
      <c r="DF196" s="61"/>
      <c r="DG196" s="61"/>
      <c r="DH196" s="61"/>
      <c r="DI196" s="61"/>
      <c r="DJ196" s="61"/>
      <c r="DK196" s="61"/>
      <c r="DL196" s="61"/>
      <c r="DM196" s="61"/>
      <c r="DN196" s="61"/>
      <c r="DO196" s="61"/>
      <c r="DP196" s="61"/>
      <c r="DQ196" s="61"/>
      <c r="DR196" s="61"/>
      <c r="DS196" s="61"/>
      <c r="DT196" s="61"/>
      <c r="DU196" s="61"/>
      <c r="DV196" s="61"/>
      <c r="DW196" s="61"/>
      <c r="DX196" s="61"/>
      <c r="DY196" s="61"/>
      <c r="DZ196" s="61"/>
      <c r="EA196" s="61"/>
      <c r="EB196" s="61"/>
      <c r="EC196" s="61"/>
    </row>
    <row r="197" spans="1:133" s="4" customFormat="1" ht="15.75" thickBot="1">
      <c r="A197" s="123"/>
      <c r="B197" s="123"/>
      <c r="C197" s="117"/>
      <c r="D197" s="110"/>
      <c r="E197" s="110"/>
      <c r="F197" s="3546"/>
      <c r="G197" s="3546"/>
      <c r="H197" s="3546"/>
      <c r="I197" s="3546"/>
      <c r="J197" s="107"/>
      <c r="K197" s="112"/>
      <c r="L197" s="107"/>
      <c r="M197" s="120"/>
      <c r="N197" s="3546"/>
      <c r="O197" s="3546"/>
      <c r="P197" s="3546"/>
      <c r="Q197" s="3546"/>
      <c r="R197" s="303"/>
      <c r="S197" s="302"/>
      <c r="T197" s="302"/>
      <c r="U197" s="302"/>
      <c r="V197" s="302"/>
      <c r="W197" s="302"/>
      <c r="X197" s="786"/>
      <c r="Y197" s="61"/>
      <c r="Z197" s="61"/>
      <c r="AA197" s="61"/>
      <c r="BB197" s="83"/>
      <c r="BC197" s="83"/>
      <c r="BD197" s="83"/>
      <c r="BE197" s="83"/>
      <c r="BF197" s="83"/>
      <c r="BG197" s="83"/>
      <c r="BH197" s="83"/>
      <c r="BI197" s="83"/>
      <c r="BJ197" s="83"/>
      <c r="BK197" s="83"/>
      <c r="BL197" s="83"/>
      <c r="BM197" s="83"/>
      <c r="BN197" s="83"/>
      <c r="BO197" s="83"/>
      <c r="BP197" s="83"/>
      <c r="BQ197" s="83"/>
      <c r="BR197" s="83"/>
      <c r="BS197" s="83"/>
      <c r="BT197" s="83"/>
      <c r="BU197" s="83"/>
      <c r="BV197" s="83"/>
      <c r="CE197" s="83"/>
      <c r="CF197" s="83"/>
      <c r="CG197" s="83"/>
      <c r="CH197" s="83"/>
      <c r="CI197" s="83"/>
      <c r="CJ197" s="83"/>
      <c r="CK197" s="83"/>
      <c r="CL197" s="83"/>
      <c r="CM197" s="83"/>
      <c r="CN197" s="83"/>
      <c r="CO197" s="83"/>
      <c r="CP197" s="83"/>
      <c r="CQ197" s="83"/>
      <c r="CR197" s="83"/>
      <c r="CS197" s="83"/>
      <c r="CT197" s="83"/>
      <c r="CU197" s="83"/>
      <c r="CV197" s="83"/>
      <c r="CW197" s="83"/>
      <c r="CX197" s="83"/>
      <c r="CY197" s="83"/>
      <c r="CZ197" s="83"/>
      <c r="DA197" s="83"/>
    </row>
    <row r="198" spans="1:133" s="4" customFormat="1">
      <c r="A198" s="123"/>
      <c r="B198" s="123"/>
      <c r="C198" s="267" t="s">
        <v>217</v>
      </c>
      <c r="D198" s="270">
        <v>6</v>
      </c>
      <c r="E198" s="270">
        <v>6</v>
      </c>
      <c r="F198" s="270">
        <v>6</v>
      </c>
      <c r="G198" s="336">
        <v>6</v>
      </c>
      <c r="H198" s="339">
        <v>6</v>
      </c>
      <c r="I198" s="270">
        <v>6</v>
      </c>
      <c r="J198" s="270">
        <v>6</v>
      </c>
      <c r="K198" s="271">
        <v>6</v>
      </c>
      <c r="L198" s="339">
        <v>6</v>
      </c>
      <c r="M198" s="270">
        <v>6</v>
      </c>
      <c r="N198" s="270">
        <v>6</v>
      </c>
      <c r="O198" s="362">
        <v>6</v>
      </c>
      <c r="P198" s="347">
        <v>6</v>
      </c>
      <c r="Q198" s="270">
        <v>6</v>
      </c>
      <c r="R198" s="270">
        <v>6</v>
      </c>
      <c r="S198" s="362">
        <v>6</v>
      </c>
      <c r="T198" s="362">
        <v>6</v>
      </c>
      <c r="U198" s="362">
        <v>6</v>
      </c>
      <c r="V198" s="362">
        <v>6</v>
      </c>
      <c r="W198" s="362">
        <v>6</v>
      </c>
      <c r="X198" s="767"/>
      <c r="Y198" s="61"/>
      <c r="Z198" s="61"/>
      <c r="AA198" s="61"/>
      <c r="BB198" s="83"/>
      <c r="BC198" s="83"/>
      <c r="BD198" s="83"/>
      <c r="BE198" s="83"/>
      <c r="BF198" s="83"/>
      <c r="BG198" s="83"/>
      <c r="BH198" s="83"/>
      <c r="BI198" s="83"/>
      <c r="BJ198" s="83"/>
      <c r="BK198" s="83"/>
      <c r="BL198" s="83"/>
      <c r="BM198" s="83"/>
      <c r="BN198" s="83"/>
      <c r="BO198" s="83"/>
      <c r="BP198" s="83"/>
      <c r="BQ198" s="83"/>
      <c r="BR198" s="83"/>
      <c r="BS198" s="83"/>
      <c r="BT198" s="83"/>
      <c r="BU198" s="83"/>
      <c r="BV198" s="83"/>
      <c r="CE198" s="83"/>
      <c r="CF198" s="83"/>
      <c r="CG198" s="83"/>
      <c r="CH198" s="83"/>
      <c r="CI198" s="83"/>
      <c r="CJ198" s="83"/>
      <c r="CK198" s="83"/>
      <c r="CL198" s="83"/>
      <c r="CM198" s="83"/>
      <c r="CN198" s="83"/>
      <c r="CO198" s="83"/>
      <c r="CP198" s="83"/>
      <c r="CQ198" s="83"/>
      <c r="CR198" s="83"/>
      <c r="CS198" s="83"/>
      <c r="CT198" s="83"/>
      <c r="CU198" s="83"/>
      <c r="CV198" s="83"/>
      <c r="CW198" s="83"/>
      <c r="CX198" s="83"/>
      <c r="CY198" s="83"/>
      <c r="CZ198" s="83"/>
      <c r="DA198" s="83"/>
    </row>
    <row r="199" spans="1:133" s="4" customFormat="1" ht="15.75" thickBot="1">
      <c r="A199" s="328"/>
      <c r="B199" s="328"/>
      <c r="C199" s="273" t="s">
        <v>218</v>
      </c>
      <c r="D199" s="272">
        <v>8.5</v>
      </c>
      <c r="E199" s="272">
        <v>8.5</v>
      </c>
      <c r="F199" s="272">
        <v>8.5</v>
      </c>
      <c r="G199" s="377">
        <v>8.5</v>
      </c>
      <c r="H199" s="378">
        <v>8.5</v>
      </c>
      <c r="I199" s="272">
        <v>8.5</v>
      </c>
      <c r="J199" s="272">
        <v>8.5</v>
      </c>
      <c r="K199" s="379">
        <v>8.5</v>
      </c>
      <c r="L199" s="378">
        <v>8.5</v>
      </c>
      <c r="M199" s="272">
        <v>8.5</v>
      </c>
      <c r="N199" s="272">
        <v>8.5</v>
      </c>
      <c r="O199" s="391">
        <v>8.5</v>
      </c>
      <c r="P199" s="392">
        <v>8.5</v>
      </c>
      <c r="Q199" s="272">
        <v>8.5</v>
      </c>
      <c r="R199" s="272">
        <v>8.5</v>
      </c>
      <c r="S199" s="391">
        <v>8.5</v>
      </c>
      <c r="T199" s="391">
        <v>8.5</v>
      </c>
      <c r="U199" s="391">
        <v>8.5</v>
      </c>
      <c r="V199" s="391">
        <v>8.5</v>
      </c>
      <c r="W199" s="391">
        <v>8.5</v>
      </c>
      <c r="X199" s="767"/>
      <c r="Y199" s="61"/>
      <c r="Z199" s="61"/>
      <c r="AA199" s="61"/>
      <c r="BB199" s="83"/>
      <c r="BC199" s="83"/>
      <c r="BD199" s="83"/>
      <c r="BE199" s="83"/>
      <c r="BF199" s="83"/>
      <c r="BG199" s="83"/>
      <c r="BH199" s="83"/>
      <c r="BI199" s="83"/>
      <c r="BJ199" s="83"/>
      <c r="BK199" s="83"/>
      <c r="BL199" s="83"/>
      <c r="BM199" s="83"/>
      <c r="BN199" s="83"/>
      <c r="BO199" s="83"/>
      <c r="BP199" s="83"/>
      <c r="BQ199" s="83"/>
      <c r="BR199" s="83"/>
      <c r="BS199" s="83"/>
      <c r="BT199" s="83"/>
      <c r="BU199" s="83"/>
      <c r="BV199" s="83"/>
      <c r="CE199" s="83"/>
      <c r="CF199" s="83"/>
      <c r="CG199" s="83"/>
      <c r="CH199" s="83"/>
      <c r="CI199" s="83"/>
      <c r="CJ199" s="83"/>
      <c r="CK199" s="83"/>
      <c r="CL199" s="83"/>
      <c r="CM199" s="83"/>
      <c r="CN199" s="83"/>
      <c r="CO199" s="83"/>
      <c r="CP199" s="83"/>
      <c r="CQ199" s="83"/>
      <c r="CR199" s="83"/>
      <c r="CS199" s="83"/>
      <c r="CT199" s="83"/>
      <c r="CU199" s="83"/>
      <c r="CV199" s="83"/>
      <c r="CW199" s="83"/>
      <c r="CX199" s="83"/>
      <c r="CY199" s="83"/>
      <c r="CZ199" s="83"/>
      <c r="DA199" s="83"/>
    </row>
    <row r="200" spans="1:133">
      <c r="A200" s="328"/>
      <c r="B200" s="328"/>
      <c r="C200" s="368" t="s">
        <v>116</v>
      </c>
      <c r="D200" s="480">
        <v>6.53</v>
      </c>
      <c r="E200" s="480">
        <v>7.1449999999999996</v>
      </c>
      <c r="F200" s="480">
        <v>7.2650000000000006</v>
      </c>
      <c r="G200" s="488">
        <v>7.9000000000000012</v>
      </c>
      <c r="H200" s="479">
        <v>5.46</v>
      </c>
      <c r="I200" s="480">
        <v>7.0466666666666704</v>
      </c>
      <c r="J200" s="676">
        <v>7.59</v>
      </c>
      <c r="K200" s="728">
        <v>7.4033333333333333</v>
      </c>
      <c r="L200" s="739">
        <v>7.419999999999999</v>
      </c>
      <c r="M200" s="398">
        <v>7.04</v>
      </c>
      <c r="N200" s="738">
        <v>7.17</v>
      </c>
      <c r="O200" s="830"/>
      <c r="P200" s="830"/>
      <c r="Q200" s="387">
        <v>7</v>
      </c>
      <c r="R200" s="1829">
        <v>7.35</v>
      </c>
      <c r="S200" s="388"/>
      <c r="T200" s="388">
        <v>7.27</v>
      </c>
      <c r="U200" s="388">
        <v>6.95</v>
      </c>
      <c r="V200" s="388"/>
      <c r="W200" s="3088">
        <v>7.22</v>
      </c>
      <c r="X200" s="61">
        <v>7.41</v>
      </c>
      <c r="Y200" s="61"/>
      <c r="Z200" s="61"/>
      <c r="AA200" s="61"/>
      <c r="AB200" s="61"/>
      <c r="AC200" s="61"/>
      <c r="AD200" s="43"/>
      <c r="AE200" s="43"/>
      <c r="AF200" s="43"/>
      <c r="AG200" s="43"/>
      <c r="AH200" s="14"/>
      <c r="AI200" s="14"/>
      <c r="AJ200" s="61"/>
      <c r="AK200" s="61"/>
      <c r="AL200" s="61"/>
      <c r="AM200" s="43"/>
      <c r="AN200" s="43"/>
      <c r="AO200" s="43"/>
      <c r="AP200" s="14"/>
      <c r="AQ200" s="14"/>
      <c r="AR200" s="61"/>
      <c r="AS200" s="61"/>
      <c r="AT200" s="61"/>
      <c r="AU200" s="61"/>
      <c r="AV200" s="43"/>
      <c r="AW200" s="43"/>
      <c r="AX200" s="43"/>
      <c r="AY200" s="14"/>
      <c r="AZ200" s="14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/>
      <c r="CV200" s="61"/>
      <c r="CW200" s="61"/>
      <c r="CX200" s="61"/>
      <c r="CY200" s="61"/>
      <c r="CZ200" s="61"/>
      <c r="DA200" s="61"/>
      <c r="DB200" s="61"/>
      <c r="DC200" s="61"/>
      <c r="DD200" s="61"/>
      <c r="DE200" s="61"/>
      <c r="DF200" s="61"/>
      <c r="DG200" s="61"/>
      <c r="DH200" s="61"/>
      <c r="DI200" s="61"/>
      <c r="DJ200" s="61"/>
      <c r="DK200" s="61"/>
      <c r="DL200" s="61"/>
      <c r="DM200" s="61"/>
      <c r="DN200" s="61"/>
      <c r="DO200" s="61"/>
      <c r="DP200" s="61"/>
      <c r="DQ200" s="61"/>
      <c r="DR200" s="61"/>
      <c r="DS200" s="61"/>
      <c r="DT200" s="61"/>
      <c r="DU200" s="61"/>
      <c r="DV200" s="61"/>
      <c r="DW200" s="61"/>
      <c r="DX200" s="61"/>
      <c r="DY200" s="61"/>
      <c r="DZ200" s="61"/>
      <c r="EA200" s="61"/>
      <c r="EB200" s="61"/>
      <c r="EC200" s="61"/>
    </row>
    <row r="201" spans="1:133">
      <c r="A201" s="123"/>
      <c r="B201" s="123"/>
      <c r="C201" s="101" t="s">
        <v>124</v>
      </c>
      <c r="D201" s="484">
        <v>7.22</v>
      </c>
      <c r="E201" s="484">
        <v>6.9349999999999996</v>
      </c>
      <c r="F201" s="484">
        <v>7.18</v>
      </c>
      <c r="G201" s="489">
        <v>7.81</v>
      </c>
      <c r="H201" s="483">
        <v>5.6349999999999998</v>
      </c>
      <c r="I201" s="484">
        <v>6.6033333333333344</v>
      </c>
      <c r="J201" s="676">
        <v>7.1733333333333329</v>
      </c>
      <c r="K201" s="728">
        <v>6.9633333333333338</v>
      </c>
      <c r="L201" s="729">
        <v>7.1166666666666671</v>
      </c>
      <c r="M201" s="394">
        <v>7.25</v>
      </c>
      <c r="N201" s="410">
        <v>7.02</v>
      </c>
      <c r="O201" s="370"/>
      <c r="P201" s="370"/>
      <c r="Q201" s="304">
        <v>7.51</v>
      </c>
      <c r="R201" s="394">
        <v>7.49</v>
      </c>
      <c r="S201" s="319"/>
      <c r="T201" s="319">
        <v>7.4</v>
      </c>
      <c r="U201" s="319">
        <v>7.47</v>
      </c>
      <c r="V201" s="319"/>
      <c r="W201" s="3092">
        <v>7.45</v>
      </c>
      <c r="X201" s="61">
        <v>7.43</v>
      </c>
      <c r="Y201" s="61"/>
      <c r="Z201" s="61"/>
      <c r="AA201" s="61"/>
      <c r="AB201" s="61"/>
      <c r="AC201" s="61"/>
      <c r="AD201" s="43"/>
      <c r="AE201" s="43"/>
      <c r="AF201" s="43"/>
      <c r="AG201" s="43"/>
      <c r="AH201" s="14"/>
      <c r="AI201" s="14"/>
      <c r="AJ201" s="61"/>
      <c r="AK201" s="61"/>
      <c r="AL201" s="61"/>
      <c r="AM201" s="43"/>
      <c r="AN201" s="43"/>
      <c r="AO201" s="43"/>
      <c r="AP201" s="14"/>
      <c r="AQ201" s="14"/>
      <c r="AR201" s="61"/>
      <c r="AS201" s="61"/>
      <c r="AT201" s="61"/>
      <c r="AU201" s="61"/>
      <c r="AV201" s="43"/>
      <c r="AW201" s="43"/>
      <c r="AX201" s="43"/>
      <c r="AY201" s="14"/>
      <c r="AZ201" s="14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  <c r="CS201" s="61"/>
      <c r="CT201" s="61"/>
      <c r="CU201" s="61"/>
      <c r="CV201" s="61"/>
      <c r="CW201" s="61"/>
      <c r="CX201" s="61"/>
      <c r="CY201" s="61"/>
      <c r="CZ201" s="61"/>
      <c r="DA201" s="61"/>
      <c r="DB201" s="61"/>
      <c r="DC201" s="61"/>
      <c r="DD201" s="61"/>
      <c r="DE201" s="61"/>
      <c r="DF201" s="61"/>
      <c r="DG201" s="61"/>
      <c r="DH201" s="61"/>
      <c r="DI201" s="61"/>
      <c r="DJ201" s="61"/>
      <c r="DK201" s="61"/>
      <c r="DL201" s="61"/>
      <c r="DM201" s="61"/>
      <c r="DN201" s="61"/>
      <c r="DO201" s="61"/>
      <c r="DP201" s="61"/>
      <c r="DQ201" s="61"/>
      <c r="DR201" s="61"/>
      <c r="DS201" s="61"/>
      <c r="DT201" s="61"/>
      <c r="DU201" s="61"/>
      <c r="DV201" s="61"/>
      <c r="DW201" s="61"/>
      <c r="DX201" s="61"/>
      <c r="DY201" s="61"/>
      <c r="DZ201" s="61"/>
      <c r="EA201" s="61"/>
      <c r="EB201" s="61"/>
      <c r="EC201" s="61"/>
    </row>
    <row r="202" spans="1:133" s="4" customFormat="1">
      <c r="A202" s="123"/>
      <c r="B202" s="123"/>
      <c r="C202" s="102" t="s">
        <v>118</v>
      </c>
      <c r="D202" s="484">
        <v>7.28</v>
      </c>
      <c r="E202" s="484">
        <v>6.7949999999999999</v>
      </c>
      <c r="F202" s="484">
        <v>7.4649999999999999</v>
      </c>
      <c r="G202" s="489">
        <v>7.9233333333333329</v>
      </c>
      <c r="H202" s="483">
        <v>5.79</v>
      </c>
      <c r="I202" s="484">
        <v>7.22</v>
      </c>
      <c r="J202" s="676">
        <v>7.6233333333333322</v>
      </c>
      <c r="K202" s="728">
        <v>7.5133333333333328</v>
      </c>
      <c r="L202" s="729">
        <v>7.583333333333333</v>
      </c>
      <c r="M202" s="394">
        <v>7.19</v>
      </c>
      <c r="N202" s="410">
        <v>7.04</v>
      </c>
      <c r="O202" s="370"/>
      <c r="P202" s="370"/>
      <c r="Q202" s="304">
        <v>7.13</v>
      </c>
      <c r="R202" s="394">
        <v>7.44</v>
      </c>
      <c r="S202" s="319"/>
      <c r="T202" s="319">
        <v>7.14</v>
      </c>
      <c r="U202" s="319">
        <v>7.05</v>
      </c>
      <c r="V202" s="319"/>
      <c r="W202" s="3088">
        <v>7.28</v>
      </c>
      <c r="X202" s="4">
        <v>7.52</v>
      </c>
      <c r="Y202" s="61"/>
      <c r="Z202" s="61"/>
      <c r="AA202" s="61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  <c r="AR202" s="83"/>
      <c r="AS202" s="83"/>
      <c r="AT202" s="83"/>
      <c r="AU202" s="83"/>
      <c r="AV202" s="83"/>
      <c r="AW202" s="83"/>
      <c r="AX202" s="83"/>
      <c r="AY202" s="83"/>
      <c r="AZ202" s="83"/>
      <c r="BE202" s="83"/>
      <c r="BF202" s="83"/>
      <c r="BG202" s="83"/>
      <c r="BH202" s="83"/>
      <c r="BI202" s="83"/>
      <c r="BJ202" s="83"/>
      <c r="BK202" s="83"/>
      <c r="BL202" s="83"/>
      <c r="BM202" s="83"/>
    </row>
    <row r="203" spans="1:133" s="4" customFormat="1">
      <c r="A203" s="123"/>
      <c r="B203" s="123"/>
      <c r="C203" s="102" t="s">
        <v>113</v>
      </c>
      <c r="D203" s="484">
        <v>7.29</v>
      </c>
      <c r="E203" s="484">
        <v>7.1550000000000002</v>
      </c>
      <c r="F203" s="484">
        <v>7.3250000000000002</v>
      </c>
      <c r="G203" s="489">
        <v>7.956666666666667</v>
      </c>
      <c r="H203" s="483">
        <v>5.03</v>
      </c>
      <c r="I203" s="484">
        <v>7.1533333333333333</v>
      </c>
      <c r="J203" s="676">
        <v>7.4899999999999993</v>
      </c>
      <c r="K203" s="728">
        <v>7.3499999999999988</v>
      </c>
      <c r="L203" s="729">
        <v>7.3</v>
      </c>
      <c r="M203" s="394">
        <v>7.1</v>
      </c>
      <c r="N203" s="410">
        <v>7.04</v>
      </c>
      <c r="O203" s="370"/>
      <c r="P203" s="370"/>
      <c r="Q203" s="304">
        <v>7.02</v>
      </c>
      <c r="R203" s="394">
        <v>7.35</v>
      </c>
      <c r="S203" s="319"/>
      <c r="T203" s="319">
        <v>7.38</v>
      </c>
      <c r="U203" s="319">
        <v>6.97</v>
      </c>
      <c r="V203" s="319"/>
      <c r="W203" s="3092">
        <v>7.23</v>
      </c>
      <c r="X203" s="4">
        <v>7.19</v>
      </c>
      <c r="Y203" s="61"/>
      <c r="Z203" s="61"/>
      <c r="AA203" s="61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E203" s="83"/>
      <c r="BF203" s="83"/>
      <c r="BG203" s="83"/>
      <c r="BH203" s="83"/>
      <c r="BI203" s="83"/>
      <c r="BJ203" s="83"/>
      <c r="BK203" s="83"/>
      <c r="BL203" s="83"/>
      <c r="BM203" s="83"/>
    </row>
    <row r="204" spans="1:133" s="4" customFormat="1">
      <c r="A204" s="123"/>
      <c r="B204" s="123"/>
      <c r="C204" s="101" t="s">
        <v>123</v>
      </c>
      <c r="D204" s="484">
        <v>7.04</v>
      </c>
      <c r="E204" s="484">
        <v>7.0650000000000004</v>
      </c>
      <c r="F204" s="484">
        <v>7.21</v>
      </c>
      <c r="G204" s="489">
        <v>7.836666666666666</v>
      </c>
      <c r="H204" s="483">
        <v>4.5250000000000004</v>
      </c>
      <c r="I204" s="484">
        <v>6.7866666666666662</v>
      </c>
      <c r="J204" s="676">
        <v>7.2199999999999989</v>
      </c>
      <c r="K204" s="728">
        <v>6.9833333333333343</v>
      </c>
      <c r="L204" s="729">
        <v>7.1499999999999995</v>
      </c>
      <c r="M204" s="394">
        <v>7.16</v>
      </c>
      <c r="N204" s="410">
        <v>6.88</v>
      </c>
      <c r="O204" s="370"/>
      <c r="P204" s="370"/>
      <c r="Q204" s="304">
        <v>7.17</v>
      </c>
      <c r="R204" s="394">
        <v>7.34</v>
      </c>
      <c r="S204" s="319"/>
      <c r="T204" s="319">
        <v>7.14</v>
      </c>
      <c r="U204" s="319">
        <v>7.1</v>
      </c>
      <c r="V204" s="319"/>
      <c r="W204" s="3092">
        <v>7.02</v>
      </c>
      <c r="X204" s="4">
        <v>6.99</v>
      </c>
      <c r="Y204" s="61"/>
      <c r="Z204" s="61"/>
      <c r="AA204" s="61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  <c r="AS204" s="83"/>
      <c r="AT204" s="83"/>
      <c r="AU204" s="83"/>
      <c r="AV204" s="83"/>
      <c r="AW204" s="83"/>
      <c r="AX204" s="83"/>
      <c r="AY204" s="83"/>
      <c r="AZ204" s="83"/>
      <c r="BE204" s="83"/>
      <c r="BF204" s="83"/>
      <c r="BG204" s="83"/>
      <c r="BH204" s="83"/>
      <c r="BI204" s="83"/>
      <c r="BJ204" s="83"/>
      <c r="BK204" s="83"/>
      <c r="BL204" s="83"/>
      <c r="BM204" s="83"/>
    </row>
    <row r="205" spans="1:133" s="1096" customFormat="1">
      <c r="A205" s="123"/>
      <c r="B205" s="123"/>
      <c r="C205" s="101" t="s">
        <v>120</v>
      </c>
      <c r="D205" s="484">
        <v>6.98</v>
      </c>
      <c r="E205" s="484">
        <v>6.9</v>
      </c>
      <c r="F205" s="484">
        <v>7.15</v>
      </c>
      <c r="G205" s="489">
        <v>7.6633333333333331</v>
      </c>
      <c r="H205" s="483">
        <v>4.0949999999999998</v>
      </c>
      <c r="I205" s="484">
        <v>6.8133333333333326</v>
      </c>
      <c r="J205" s="676">
        <v>7.2433333333333332</v>
      </c>
      <c r="K205" s="728">
        <v>7.05</v>
      </c>
      <c r="L205" s="729">
        <v>7.126666666666666</v>
      </c>
      <c r="M205" s="394">
        <v>7.12</v>
      </c>
      <c r="N205" s="410">
        <v>6.94</v>
      </c>
      <c r="O205" s="370"/>
      <c r="P205" s="370"/>
      <c r="Q205" s="304">
        <v>7.07</v>
      </c>
      <c r="R205" s="394">
        <v>7.29</v>
      </c>
      <c r="S205" s="319"/>
      <c r="T205" s="319">
        <v>7.09</v>
      </c>
      <c r="U205" s="319">
        <v>7.01</v>
      </c>
      <c r="V205" s="319"/>
      <c r="W205" s="3092">
        <v>7.08</v>
      </c>
      <c r="X205" s="4">
        <v>7.08</v>
      </c>
      <c r="Y205" s="61"/>
      <c r="Z205" s="61"/>
      <c r="AA205" s="61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BE205" s="61"/>
      <c r="BF205" s="61"/>
      <c r="BG205" s="61"/>
      <c r="BH205" s="61"/>
      <c r="BI205" s="61"/>
      <c r="BJ205" s="61"/>
      <c r="BK205" s="61"/>
      <c r="BL205" s="61"/>
      <c r="BM205" s="61"/>
    </row>
    <row r="206" spans="1:133" s="1106" customFormat="1">
      <c r="A206" s="123"/>
      <c r="B206" s="123"/>
      <c r="C206" s="101" t="s">
        <v>122</v>
      </c>
      <c r="D206" s="484">
        <v>6.95</v>
      </c>
      <c r="E206" s="484">
        <v>6.98</v>
      </c>
      <c r="F206" s="484">
        <v>6.99</v>
      </c>
      <c r="G206" s="489">
        <v>7.1166666666666671</v>
      </c>
      <c r="H206" s="483">
        <v>5.6466666666666656</v>
      </c>
      <c r="I206" s="484">
        <v>7.1566666666666663</v>
      </c>
      <c r="J206" s="676">
        <v>7.22</v>
      </c>
      <c r="K206" s="728">
        <v>6.98</v>
      </c>
      <c r="L206" s="729">
        <v>7.0866666666666669</v>
      </c>
      <c r="M206" s="394">
        <v>7.37</v>
      </c>
      <c r="N206" s="410">
        <v>7.07</v>
      </c>
      <c r="O206" s="370"/>
      <c r="P206" s="370"/>
      <c r="Q206" s="304">
        <v>7.13</v>
      </c>
      <c r="R206" s="394">
        <v>7</v>
      </c>
      <c r="S206" s="319"/>
      <c r="T206" s="319">
        <v>7.2</v>
      </c>
      <c r="U206" s="319">
        <v>7.04</v>
      </c>
      <c r="V206" s="319"/>
      <c r="W206" s="3092">
        <v>6.7</v>
      </c>
      <c r="X206" s="4">
        <v>7.08</v>
      </c>
      <c r="Y206" s="61"/>
      <c r="Z206" s="61"/>
      <c r="AA206" s="61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BE206" s="61"/>
      <c r="BF206" s="61"/>
      <c r="BG206" s="61"/>
      <c r="BH206" s="61"/>
      <c r="BI206" s="61"/>
      <c r="BJ206" s="61"/>
      <c r="BK206" s="61"/>
      <c r="BL206" s="61"/>
      <c r="BM206" s="61"/>
    </row>
    <row r="207" spans="1:133" s="1096" customFormat="1">
      <c r="A207" s="123"/>
      <c r="B207" s="123"/>
      <c r="C207" s="101" t="s">
        <v>114</v>
      </c>
      <c r="D207" s="484">
        <v>6.91</v>
      </c>
      <c r="E207" s="484">
        <v>6.8550000000000004</v>
      </c>
      <c r="F207" s="484">
        <v>7.1750000000000007</v>
      </c>
      <c r="G207" s="489">
        <v>7.7166666666666659</v>
      </c>
      <c r="H207" s="483">
        <v>7.206666666666667</v>
      </c>
      <c r="I207" s="484">
        <v>7.2233333333333336</v>
      </c>
      <c r="J207" s="676">
        <v>7.1333333333333337</v>
      </c>
      <c r="K207" s="728">
        <v>7.2700000000000005</v>
      </c>
      <c r="L207" s="729">
        <v>7.2866666666666662</v>
      </c>
      <c r="M207" s="394">
        <v>7.37</v>
      </c>
      <c r="N207" s="410">
        <v>7.05</v>
      </c>
      <c r="O207" s="370"/>
      <c r="P207" s="370"/>
      <c r="Q207" s="304">
        <v>7.51</v>
      </c>
      <c r="R207" s="394">
        <v>7.26</v>
      </c>
      <c r="S207" s="319"/>
      <c r="T207" s="319">
        <v>7.24</v>
      </c>
      <c r="U207" s="319">
        <v>7.32</v>
      </c>
      <c r="V207" s="319"/>
      <c r="W207" s="3092">
        <v>6.88</v>
      </c>
      <c r="X207" s="4">
        <v>7.41</v>
      </c>
      <c r="Y207" s="61"/>
      <c r="Z207" s="61"/>
      <c r="AA207" s="61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BE207" s="61"/>
      <c r="BF207" s="61"/>
      <c r="BG207" s="61"/>
      <c r="BH207" s="61"/>
      <c r="BI207" s="61"/>
      <c r="BJ207" s="61"/>
      <c r="BK207" s="61"/>
      <c r="BL207" s="61"/>
      <c r="BM207" s="61"/>
    </row>
    <row r="208" spans="1:133" s="1096" customFormat="1">
      <c r="A208" s="123"/>
      <c r="B208" s="123"/>
      <c r="C208" s="103" t="s">
        <v>115</v>
      </c>
      <c r="D208" s="484">
        <v>7.16</v>
      </c>
      <c r="E208" s="484">
        <v>6.9749999999999996</v>
      </c>
      <c r="F208" s="484">
        <v>7.1400000000000006</v>
      </c>
      <c r="G208" s="489">
        <v>7.3500000000000005</v>
      </c>
      <c r="H208" s="483">
        <v>6.1966666666666663</v>
      </c>
      <c r="I208" s="484">
        <v>7.3299999999999992</v>
      </c>
      <c r="J208" s="676">
        <v>7.333333333333333</v>
      </c>
      <c r="K208" s="728">
        <v>7.3733333333333322</v>
      </c>
      <c r="L208" s="729">
        <v>7.2433333333333323</v>
      </c>
      <c r="M208" s="394">
        <v>7.21</v>
      </c>
      <c r="N208" s="410">
        <v>7.17</v>
      </c>
      <c r="O208" s="370"/>
      <c r="P208" s="370"/>
      <c r="Q208" s="304">
        <v>7.21</v>
      </c>
      <c r="R208" s="394">
        <v>7.26</v>
      </c>
      <c r="S208" s="319"/>
      <c r="T208" s="319">
        <v>7.52</v>
      </c>
      <c r="U208" s="319">
        <v>7.23</v>
      </c>
      <c r="V208" s="319"/>
      <c r="W208" s="3092">
        <v>6.92</v>
      </c>
      <c r="X208" s="4">
        <v>7.35</v>
      </c>
      <c r="Y208" s="61"/>
      <c r="Z208" s="61"/>
      <c r="AA208" s="61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</row>
    <row r="209" spans="1:48" s="1106" customFormat="1">
      <c r="A209" s="123"/>
      <c r="B209" s="123"/>
      <c r="C209" s="101" t="s">
        <v>112</v>
      </c>
      <c r="D209" s="484">
        <v>7.02</v>
      </c>
      <c r="E209" s="484">
        <v>6.45</v>
      </c>
      <c r="F209" s="484">
        <v>7.0649999999999995</v>
      </c>
      <c r="G209" s="489">
        <v>8.07</v>
      </c>
      <c r="H209" s="483">
        <v>8.9566666666666652</v>
      </c>
      <c r="I209" s="484">
        <v>7.123333333333334</v>
      </c>
      <c r="J209" s="676">
        <v>7.0933333333333337</v>
      </c>
      <c r="K209" s="728">
        <v>7.1466666666666674</v>
      </c>
      <c r="L209" s="729">
        <v>7.2899999999999991</v>
      </c>
      <c r="M209" s="394">
        <v>7.88</v>
      </c>
      <c r="N209" s="410">
        <v>7.24</v>
      </c>
      <c r="O209" s="370"/>
      <c r="P209" s="370"/>
      <c r="Q209" s="304">
        <v>7.52</v>
      </c>
      <c r="R209" s="394">
        <v>7.33</v>
      </c>
      <c r="S209" s="319"/>
      <c r="T209" s="319">
        <v>7.33</v>
      </c>
      <c r="U209" s="319">
        <v>7.64</v>
      </c>
      <c r="V209" s="319"/>
      <c r="W209" s="3092">
        <v>6.83</v>
      </c>
      <c r="X209" s="4">
        <v>7.15</v>
      </c>
      <c r="Y209" s="61"/>
      <c r="Z209" s="61"/>
      <c r="AA209" s="61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</row>
    <row r="210" spans="1:48" s="1096" customFormat="1">
      <c r="A210" s="123"/>
      <c r="B210" s="123"/>
      <c r="C210" s="102" t="s">
        <v>187</v>
      </c>
      <c r="D210" s="484">
        <v>7.07</v>
      </c>
      <c r="E210" s="484">
        <v>7.1349999999999998</v>
      </c>
      <c r="F210" s="484">
        <v>7.07</v>
      </c>
      <c r="G210" s="489">
        <v>7.6533333333333333</v>
      </c>
      <c r="H210" s="483">
        <v>6.1000000000000005</v>
      </c>
      <c r="I210" s="484">
        <v>7.3066666666666658</v>
      </c>
      <c r="J210" s="676">
        <v>7.5366666666666662</v>
      </c>
      <c r="K210" s="728">
        <v>7.3233333333333333</v>
      </c>
      <c r="L210" s="729">
        <v>7.4066666666666663</v>
      </c>
      <c r="M210" s="394">
        <v>7.57</v>
      </c>
      <c r="N210" s="410">
        <v>7.17</v>
      </c>
      <c r="O210" s="370"/>
      <c r="P210" s="370"/>
      <c r="Q210" s="304">
        <v>7.22</v>
      </c>
      <c r="R210" s="394">
        <v>7.17</v>
      </c>
      <c r="S210" s="319"/>
      <c r="T210" s="319">
        <v>7.29</v>
      </c>
      <c r="U210" s="319" t="s">
        <v>278</v>
      </c>
      <c r="V210" s="319"/>
      <c r="W210" s="3092">
        <v>6.92</v>
      </c>
      <c r="X210" s="4">
        <v>6.84</v>
      </c>
      <c r="Y210" s="61"/>
      <c r="Z210" s="61"/>
      <c r="AA210" s="61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</row>
    <row r="211" spans="1:48" s="1096" customFormat="1">
      <c r="A211" s="123"/>
      <c r="B211" s="123"/>
      <c r="C211" s="101" t="s">
        <v>117</v>
      </c>
      <c r="D211" s="484">
        <v>7.3</v>
      </c>
      <c r="E211" s="484">
        <v>7.2450000000000001</v>
      </c>
      <c r="F211" s="484">
        <v>7.1449999999999996</v>
      </c>
      <c r="G211" s="489">
        <v>7.4666666666666659</v>
      </c>
      <c r="H211" s="483">
        <v>7.086666666666666</v>
      </c>
      <c r="I211" s="484">
        <v>7.1166666666666663</v>
      </c>
      <c r="J211" s="676">
        <v>7.2166666666666659</v>
      </c>
      <c r="K211" s="728">
        <v>7.23</v>
      </c>
      <c r="L211" s="729">
        <v>7.1933333333333325</v>
      </c>
      <c r="M211" s="394">
        <v>7.26</v>
      </c>
      <c r="N211" s="410">
        <v>7.06</v>
      </c>
      <c r="O211" s="370"/>
      <c r="P211" s="370"/>
      <c r="Q211" s="304">
        <v>7.27</v>
      </c>
      <c r="R211" s="394">
        <v>7.22</v>
      </c>
      <c r="S211" s="319"/>
      <c r="T211" s="319">
        <v>7.36</v>
      </c>
      <c r="U211" s="319">
        <v>7.12</v>
      </c>
      <c r="V211" s="319"/>
      <c r="W211" s="3092">
        <v>6.88</v>
      </c>
      <c r="X211" s="4">
        <v>7.29</v>
      </c>
      <c r="Y211" s="61"/>
      <c r="Z211" s="61"/>
      <c r="AA211" s="61"/>
    </row>
    <row r="212" spans="1:48" s="1106" customFormat="1">
      <c r="A212" s="123"/>
      <c r="B212" s="123"/>
      <c r="C212" s="101" t="s">
        <v>121</v>
      </c>
      <c r="D212" s="484">
        <v>7.02</v>
      </c>
      <c r="E212" s="484">
        <v>6.9649999999999999</v>
      </c>
      <c r="F212" s="484">
        <v>7.0150000000000006</v>
      </c>
      <c r="G212" s="489">
        <v>7.126666666666666</v>
      </c>
      <c r="H212" s="483">
        <v>5.55</v>
      </c>
      <c r="I212" s="484">
        <v>6.94</v>
      </c>
      <c r="J212" s="676">
        <v>7.1466666666666674</v>
      </c>
      <c r="K212" s="728">
        <v>7.13</v>
      </c>
      <c r="L212" s="729">
        <v>7.0766666666666671</v>
      </c>
      <c r="M212" s="394">
        <v>7.4</v>
      </c>
      <c r="N212" s="410">
        <v>6.94</v>
      </c>
      <c r="O212" s="370"/>
      <c r="P212" s="370"/>
      <c r="Q212" s="304">
        <v>7.18</v>
      </c>
      <c r="R212" s="394">
        <v>7.06</v>
      </c>
      <c r="S212" s="319"/>
      <c r="T212" s="319">
        <v>7.3</v>
      </c>
      <c r="U212" s="319">
        <v>7.19</v>
      </c>
      <c r="V212" s="319"/>
      <c r="W212" s="3092">
        <v>6.7</v>
      </c>
      <c r="X212" s="4">
        <v>7.07</v>
      </c>
      <c r="Y212" s="13"/>
      <c r="Z212" s="61"/>
      <c r="AA212" s="61"/>
    </row>
    <row r="213" spans="1:48" s="1096" customFormat="1" ht="15.75" thickBot="1">
      <c r="A213" s="123"/>
      <c r="B213" s="123"/>
      <c r="C213" s="104" t="s">
        <v>119</v>
      </c>
      <c r="D213" s="490">
        <v>6.64</v>
      </c>
      <c r="E213" s="490">
        <v>7.0949999999999998</v>
      </c>
      <c r="F213" s="490">
        <v>7.1050000000000004</v>
      </c>
      <c r="G213" s="491">
        <v>7.82</v>
      </c>
      <c r="H213" s="492">
        <v>4.82</v>
      </c>
      <c r="I213" s="490">
        <v>6.8999999999999995</v>
      </c>
      <c r="J213" s="676">
        <v>7.5266666666666664</v>
      </c>
      <c r="K213" s="728">
        <v>7.3133333333333335</v>
      </c>
      <c r="L213" s="730">
        <v>7.2133333333333338</v>
      </c>
      <c r="M213" s="973">
        <v>7.14</v>
      </c>
      <c r="N213" s="661">
        <v>7.05</v>
      </c>
      <c r="O213" s="836"/>
      <c r="P213" s="836"/>
      <c r="Q213" s="837">
        <v>6.94</v>
      </c>
      <c r="R213" s="2851">
        <v>7.13</v>
      </c>
      <c r="S213" s="838"/>
      <c r="T213" s="838">
        <v>7.01</v>
      </c>
      <c r="U213" s="838">
        <v>7.03</v>
      </c>
      <c r="V213" s="838"/>
      <c r="W213" s="3092">
        <v>6.9</v>
      </c>
      <c r="X213" s="4">
        <v>7.03</v>
      </c>
      <c r="Y213" s="4"/>
      <c r="Z213" s="4"/>
      <c r="AA213" s="4"/>
    </row>
    <row r="214" spans="1:48" s="1096" customFormat="1">
      <c r="A214" s="114"/>
      <c r="B214" s="114">
        <f>SUM(B190:B213)</f>
        <v>0</v>
      </c>
      <c r="C214" s="775" t="s">
        <v>285</v>
      </c>
      <c r="D214" s="1025">
        <f>COUNTIFS(D200:D213,"&gt;=6",D200:D213,"&lt;=8.5")</f>
        <v>14</v>
      </c>
      <c r="E214" s="1025">
        <f t="shared" ref="E214:Q214" si="51">COUNTIFS(E200:E213,"&gt;=6",E200:E213,"&lt;=8.5")</f>
        <v>14</v>
      </c>
      <c r="F214" s="1025">
        <f t="shared" si="51"/>
        <v>14</v>
      </c>
      <c r="G214" s="1025">
        <f t="shared" si="51"/>
        <v>14</v>
      </c>
      <c r="H214" s="1025">
        <f t="shared" si="51"/>
        <v>4</v>
      </c>
      <c r="I214" s="1025">
        <f t="shared" si="51"/>
        <v>14</v>
      </c>
      <c r="J214" s="1025">
        <f t="shared" si="51"/>
        <v>14</v>
      </c>
      <c r="K214" s="1025">
        <f t="shared" si="51"/>
        <v>14</v>
      </c>
      <c r="L214" s="1025">
        <f t="shared" si="51"/>
        <v>14</v>
      </c>
      <c r="M214" s="1025">
        <f t="shared" si="51"/>
        <v>14</v>
      </c>
      <c r="N214" s="1025">
        <f t="shared" si="51"/>
        <v>14</v>
      </c>
      <c r="O214" s="1025">
        <f>COUNTIFS(O200:O213,"&gt;=6",O200:O213,"&lt;=8.5")</f>
        <v>0</v>
      </c>
      <c r="P214" s="1025">
        <f t="shared" si="51"/>
        <v>0</v>
      </c>
      <c r="Q214" s="1025">
        <f t="shared" si="51"/>
        <v>14</v>
      </c>
      <c r="R214" s="1025">
        <f t="shared" ref="R214:W214" si="52">COUNTIFS(R200:R213,"&gt;=6",R200:R213,"&lt;=8.5")</f>
        <v>14</v>
      </c>
      <c r="S214" s="1025">
        <f t="shared" si="52"/>
        <v>0</v>
      </c>
      <c r="T214" s="1025">
        <f t="shared" si="52"/>
        <v>14</v>
      </c>
      <c r="U214" s="1025">
        <f t="shared" si="52"/>
        <v>13</v>
      </c>
      <c r="V214" s="1025">
        <f t="shared" si="52"/>
        <v>0</v>
      </c>
      <c r="W214" s="1025">
        <f t="shared" si="52"/>
        <v>14</v>
      </c>
      <c r="X214" s="1025">
        <f>COUNTIFS(TSS!X139:X152,"&gt;=6",TSS!X139:X152,"&lt;=8.5")</f>
        <v>0</v>
      </c>
      <c r="Y214" s="1025">
        <f>COUNTIFS(Y200:Y213,"&gt;=6",Y200:Y213,"&lt;=8.5")</f>
        <v>0</v>
      </c>
      <c r="Z214" s="1025">
        <f>COUNTIFS(Z200:Z213,"&gt;=6",Z200:Z213,"&lt;=8.5")</f>
        <v>0</v>
      </c>
      <c r="AA214" s="1025">
        <f>COUNTIFS(AA200:AA213,"&gt;=6",AA200:AA213,"&lt;=8.5")</f>
        <v>0</v>
      </c>
    </row>
    <row r="215" spans="1:48" s="1106" customFormat="1">
      <c r="A215" s="114"/>
      <c r="B215" s="114"/>
      <c r="C215" s="775" t="s">
        <v>287</v>
      </c>
      <c r="D215" s="1027">
        <f>COUNT(D200:D213)</f>
        <v>14</v>
      </c>
      <c r="E215" s="1027">
        <f t="shared" ref="E215:Q215" si="53">COUNT(E200:E213)</f>
        <v>14</v>
      </c>
      <c r="F215" s="1027">
        <f t="shared" si="53"/>
        <v>14</v>
      </c>
      <c r="G215" s="1027">
        <f t="shared" si="53"/>
        <v>14</v>
      </c>
      <c r="H215" s="1027">
        <f t="shared" si="53"/>
        <v>14</v>
      </c>
      <c r="I215" s="1027">
        <f t="shared" si="53"/>
        <v>14</v>
      </c>
      <c r="J215" s="1027">
        <f t="shared" si="53"/>
        <v>14</v>
      </c>
      <c r="K215" s="1027">
        <f t="shared" si="53"/>
        <v>14</v>
      </c>
      <c r="L215" s="1027">
        <f t="shared" si="53"/>
        <v>14</v>
      </c>
      <c r="M215" s="1027">
        <f t="shared" si="53"/>
        <v>14</v>
      </c>
      <c r="N215" s="1027">
        <f t="shared" si="53"/>
        <v>14</v>
      </c>
      <c r="O215" s="1027">
        <f>COUNT(O200:O213)</f>
        <v>0</v>
      </c>
      <c r="P215" s="1027">
        <f t="shared" si="53"/>
        <v>0</v>
      </c>
      <c r="Q215" s="1027">
        <f t="shared" si="53"/>
        <v>14</v>
      </c>
      <c r="R215" s="1027">
        <f t="shared" ref="R215:W215" si="54">COUNT(R200:R213)</f>
        <v>14</v>
      </c>
      <c r="S215" s="1027">
        <f t="shared" si="54"/>
        <v>0</v>
      </c>
      <c r="T215" s="1027">
        <f t="shared" si="54"/>
        <v>14</v>
      </c>
      <c r="U215" s="1027">
        <f t="shared" si="54"/>
        <v>13</v>
      </c>
      <c r="V215" s="1027">
        <f t="shared" si="54"/>
        <v>0</v>
      </c>
      <c r="W215" s="1027">
        <f t="shared" si="54"/>
        <v>14</v>
      </c>
      <c r="X215" s="1027">
        <f>COUNT(TSS!X139:X152)</f>
        <v>14</v>
      </c>
      <c r="Y215" s="1027">
        <f>COUNT(Y200:Y213)</f>
        <v>0</v>
      </c>
      <c r="Z215" s="1027">
        <f>COUNT(Z200:Z213)</f>
        <v>0</v>
      </c>
      <c r="AA215" s="1027">
        <f>COUNT(AA200:AA213)</f>
        <v>0</v>
      </c>
    </row>
    <row r="216" spans="1:48" s="1096" customFormat="1">
      <c r="A216" s="114"/>
      <c r="B216" s="114"/>
      <c r="C216" s="775" t="s">
        <v>286</v>
      </c>
      <c r="D216" s="1026">
        <f t="shared" ref="D216:S216" si="55">D214/D215</f>
        <v>1</v>
      </c>
      <c r="E216" s="1026">
        <f t="shared" si="55"/>
        <v>1</v>
      </c>
      <c r="F216" s="1026">
        <f t="shared" si="55"/>
        <v>1</v>
      </c>
      <c r="G216" s="1026">
        <f t="shared" si="55"/>
        <v>1</v>
      </c>
      <c r="H216" s="1026">
        <f t="shared" si="55"/>
        <v>0.2857142857142857</v>
      </c>
      <c r="I216" s="1026">
        <f t="shared" si="55"/>
        <v>1</v>
      </c>
      <c r="J216" s="1026">
        <f t="shared" si="55"/>
        <v>1</v>
      </c>
      <c r="K216" s="1026">
        <f t="shared" si="55"/>
        <v>1</v>
      </c>
      <c r="L216" s="1026">
        <f t="shared" si="55"/>
        <v>1</v>
      </c>
      <c r="M216" s="1026">
        <f t="shared" si="55"/>
        <v>1</v>
      </c>
      <c r="N216" s="1026">
        <f t="shared" si="55"/>
        <v>1</v>
      </c>
      <c r="O216" s="1026" t="e">
        <f t="shared" si="55"/>
        <v>#DIV/0!</v>
      </c>
      <c r="P216" s="1026" t="e">
        <f t="shared" si="55"/>
        <v>#DIV/0!</v>
      </c>
      <c r="Q216" s="1026">
        <f t="shared" si="55"/>
        <v>1</v>
      </c>
      <c r="R216" s="1026">
        <f t="shared" si="55"/>
        <v>1</v>
      </c>
      <c r="S216" s="1026" t="e">
        <f t="shared" si="55"/>
        <v>#DIV/0!</v>
      </c>
      <c r="T216" s="1026">
        <f t="shared" ref="T216:AA216" si="56">T214/T215</f>
        <v>1</v>
      </c>
      <c r="U216" s="1026">
        <f t="shared" si="56"/>
        <v>1</v>
      </c>
      <c r="V216" s="1026" t="e">
        <f t="shared" si="56"/>
        <v>#DIV/0!</v>
      </c>
      <c r="W216" s="1026">
        <f t="shared" si="56"/>
        <v>1</v>
      </c>
      <c r="X216" s="1026">
        <f t="shared" si="56"/>
        <v>0</v>
      </c>
      <c r="Y216" s="1026" t="e">
        <f t="shared" si="56"/>
        <v>#DIV/0!</v>
      </c>
      <c r="Z216" s="1026" t="e">
        <f t="shared" si="56"/>
        <v>#DIV/0!</v>
      </c>
      <c r="AA216" s="1026" t="e">
        <f t="shared" si="56"/>
        <v>#DIV/0!</v>
      </c>
    </row>
    <row r="217" spans="1:48" s="1096" customFormat="1">
      <c r="A217" s="771"/>
      <c r="B217" s="771"/>
      <c r="C217" s="771"/>
      <c r="D217" s="771"/>
      <c r="E217" s="771"/>
      <c r="F217" s="771"/>
      <c r="G217" s="771"/>
      <c r="H217" s="771"/>
      <c r="I217" s="771"/>
      <c r="J217" s="771"/>
      <c r="K217" s="771"/>
      <c r="L217" s="771"/>
      <c r="M217" s="771"/>
      <c r="N217" s="771"/>
      <c r="O217" s="771"/>
      <c r="P217" s="788"/>
      <c r="Q217" s="788"/>
      <c r="R217" s="788"/>
      <c r="S217" s="788"/>
      <c r="T217" s="2850"/>
      <c r="U217" s="2850"/>
      <c r="V217" s="2850"/>
      <c r="W217" s="2850"/>
      <c r="X217" s="14"/>
      <c r="Y217" s="14"/>
      <c r="Z217" s="61"/>
      <c r="AA217" s="61"/>
    </row>
    <row r="218" spans="1:48" s="1106" customFormat="1">
      <c r="A218"/>
      <c r="B218" s="965"/>
      <c r="C218"/>
      <c r="D218"/>
      <c r="E218"/>
      <c r="F218"/>
      <c r="G218"/>
      <c r="H218"/>
      <c r="I218"/>
      <c r="J218"/>
      <c r="K218"/>
      <c r="L218"/>
      <c r="M218" s="61"/>
      <c r="N218" s="61"/>
      <c r="O218" s="61"/>
      <c r="P218" s="43"/>
      <c r="Q218" s="43"/>
      <c r="R218" s="2423"/>
      <c r="S218" s="2423"/>
      <c r="T218" s="2838"/>
      <c r="U218" s="2838"/>
      <c r="V218" s="2838"/>
      <c r="W218" s="2838"/>
      <c r="X218" s="2424"/>
      <c r="Y218" s="4"/>
      <c r="Z218" s="4"/>
      <c r="AA218" s="4"/>
    </row>
    <row r="219" spans="1:48" s="1096" customFormat="1">
      <c r="A219" s="3535" t="s">
        <v>291</v>
      </c>
      <c r="B219" s="3535" t="s">
        <v>301</v>
      </c>
      <c r="C219" s="3535" t="s">
        <v>284</v>
      </c>
      <c r="D219" s="2422" t="s">
        <v>285</v>
      </c>
      <c r="E219" s="2423"/>
      <c r="F219" s="2423"/>
      <c r="G219" s="2423"/>
      <c r="H219" s="2423"/>
      <c r="I219" s="2423"/>
      <c r="J219" s="2423"/>
      <c r="K219" s="2423"/>
      <c r="L219" s="2423"/>
      <c r="M219" s="2423"/>
      <c r="N219" s="2423"/>
      <c r="O219" s="2423"/>
      <c r="P219" s="2423"/>
      <c r="Q219" s="2423"/>
      <c r="R219" s="2999"/>
      <c r="S219" s="2999"/>
      <c r="T219" s="2999"/>
      <c r="U219" s="2999"/>
      <c r="V219" s="2999"/>
      <c r="W219" s="2999"/>
      <c r="X219" s="3000"/>
      <c r="Y219" s="4"/>
      <c r="Z219" s="4"/>
      <c r="AA219" s="4"/>
    </row>
    <row r="220" spans="1:48" s="1096" customFormat="1">
      <c r="A220" s="3536"/>
      <c r="B220" s="3536"/>
      <c r="C220" s="3536"/>
      <c r="D220" s="3532">
        <v>2011</v>
      </c>
      <c r="E220" s="3533"/>
      <c r="F220" s="3533"/>
      <c r="G220" s="3534"/>
      <c r="H220" s="3532">
        <v>2012</v>
      </c>
      <c r="I220" s="3533"/>
      <c r="J220" s="3533"/>
      <c r="K220" s="3534"/>
      <c r="L220" s="3532">
        <v>2013</v>
      </c>
      <c r="M220" s="3533"/>
      <c r="N220" s="3533"/>
      <c r="O220" s="3534"/>
      <c r="P220" s="3532">
        <v>2014</v>
      </c>
      <c r="Q220" s="3533"/>
      <c r="R220" s="3533"/>
      <c r="S220" s="3534"/>
      <c r="T220" s="3532">
        <v>2015</v>
      </c>
      <c r="U220" s="3533"/>
      <c r="V220" s="3533"/>
      <c r="W220" s="3534"/>
      <c r="X220" s="3592">
        <v>2016</v>
      </c>
      <c r="Y220" s="3593"/>
      <c r="Z220" s="3593"/>
      <c r="AA220" s="3593"/>
      <c r="AB220" s="3592">
        <v>2017</v>
      </c>
      <c r="AC220" s="3593"/>
      <c r="AD220" s="3593"/>
      <c r="AE220" s="3593"/>
    </row>
    <row r="221" spans="1:48" s="1106" customFormat="1">
      <c r="A221" s="3537"/>
      <c r="B221" s="3537"/>
      <c r="C221" s="3537"/>
      <c r="D221" s="1100" t="s">
        <v>2</v>
      </c>
      <c r="E221" s="1100" t="s">
        <v>3</v>
      </c>
      <c r="F221" s="1100" t="s">
        <v>4</v>
      </c>
      <c r="G221" s="1100" t="s">
        <v>5</v>
      </c>
      <c r="H221" s="1100" t="s">
        <v>2</v>
      </c>
      <c r="I221" s="1100" t="s">
        <v>3</v>
      </c>
      <c r="J221" s="1100" t="s">
        <v>4</v>
      </c>
      <c r="K221" s="1100" t="s">
        <v>5</v>
      </c>
      <c r="L221" s="1100" t="s">
        <v>2</v>
      </c>
      <c r="M221" s="1100" t="s">
        <v>3</v>
      </c>
      <c r="N221" s="1100" t="s">
        <v>4</v>
      </c>
      <c r="O221" s="1100" t="s">
        <v>5</v>
      </c>
      <c r="P221" s="1100" t="s">
        <v>2</v>
      </c>
      <c r="Q221" s="1100" t="s">
        <v>3</v>
      </c>
      <c r="R221" s="1100" t="s">
        <v>4</v>
      </c>
      <c r="S221" s="1100" t="s">
        <v>5</v>
      </c>
      <c r="T221" s="1100" t="s">
        <v>2</v>
      </c>
      <c r="U221" s="1100" t="s">
        <v>3</v>
      </c>
      <c r="V221" s="1100" t="s">
        <v>4</v>
      </c>
      <c r="W221" s="1100" t="s">
        <v>5</v>
      </c>
      <c r="X221" s="1100" t="s">
        <v>2</v>
      </c>
      <c r="Y221" s="1100" t="s">
        <v>3</v>
      </c>
      <c r="Z221" s="1100" t="s">
        <v>4</v>
      </c>
      <c r="AA221" s="1100" t="s">
        <v>5</v>
      </c>
      <c r="AB221" s="1100" t="s">
        <v>2</v>
      </c>
      <c r="AC221" s="1100" t="s">
        <v>3</v>
      </c>
      <c r="AD221" s="1100" t="s">
        <v>4</v>
      </c>
      <c r="AE221" s="1100" t="s">
        <v>5</v>
      </c>
    </row>
    <row r="222" spans="1:48" s="1096" customFormat="1">
      <c r="A222" s="3569" t="s">
        <v>125</v>
      </c>
      <c r="B222" s="3581" t="s">
        <v>16</v>
      </c>
      <c r="C222" s="3535">
        <f>COUNTA(A12:A15)</f>
        <v>4</v>
      </c>
      <c r="D222" s="1556">
        <f t="shared" ref="D222:Q222" si="57">COUNTIFS(D12:D15,"&gt;=6",D12:D15,"&lt;=8.5")</f>
        <v>1</v>
      </c>
      <c r="E222" s="1556">
        <f t="shared" si="57"/>
        <v>4</v>
      </c>
      <c r="F222" s="1556">
        <f t="shared" si="57"/>
        <v>4</v>
      </c>
      <c r="G222" s="1556">
        <f t="shared" si="57"/>
        <v>4</v>
      </c>
      <c r="H222" s="1556">
        <f t="shared" si="57"/>
        <v>2</v>
      </c>
      <c r="I222" s="1556">
        <f t="shared" si="57"/>
        <v>4</v>
      </c>
      <c r="J222" s="1556">
        <f t="shared" si="57"/>
        <v>4</v>
      </c>
      <c r="K222" s="1556">
        <f t="shared" si="57"/>
        <v>2</v>
      </c>
      <c r="L222" s="1556">
        <f t="shared" si="57"/>
        <v>4</v>
      </c>
      <c r="M222" s="1556">
        <f t="shared" si="57"/>
        <v>1</v>
      </c>
      <c r="N222" s="1556">
        <f t="shared" si="57"/>
        <v>3</v>
      </c>
      <c r="O222" s="1556">
        <f t="shared" si="57"/>
        <v>3</v>
      </c>
      <c r="P222" s="1556">
        <f t="shared" si="57"/>
        <v>2</v>
      </c>
      <c r="Q222" s="1556">
        <f t="shared" si="57"/>
        <v>4</v>
      </c>
      <c r="R222" s="1556">
        <f>COUNTIFS(R11:R15,"&gt;=6",R11:R15,"&lt;=8.5")</f>
        <v>5</v>
      </c>
      <c r="S222" s="1556">
        <f>COUNTIFS(S11:S15,"&gt;=6",S11:S15,"&lt;=8.5")</f>
        <v>5</v>
      </c>
      <c r="T222" s="3001">
        <f t="shared" ref="T222:W222" si="58">COUNTIFS(T11:T15,"&gt;=6",T11:T15,"&lt;=8.5")</f>
        <v>1</v>
      </c>
      <c r="U222" s="3001">
        <f t="shared" si="58"/>
        <v>1</v>
      </c>
      <c r="V222" s="3001">
        <f t="shared" si="58"/>
        <v>1</v>
      </c>
      <c r="W222" s="3001">
        <f t="shared" si="58"/>
        <v>5</v>
      </c>
      <c r="X222" s="1556">
        <f>COUNTIFS(X11:X14,"&gt;=6",X11:X14,"&lt;=8.5")</f>
        <v>3</v>
      </c>
      <c r="Y222" s="3264">
        <f t="shared" ref="Y222:AA222" si="59">COUNTIFS(Y11:Y14,"&gt;=6",Y11:Y14,"&lt;=8.5")</f>
        <v>3</v>
      </c>
      <c r="Z222" s="3264">
        <f t="shared" si="59"/>
        <v>2</v>
      </c>
      <c r="AA222" s="3264">
        <f t="shared" si="59"/>
        <v>2</v>
      </c>
      <c r="AB222" s="3489">
        <f t="shared" ref="AB222:AE222" si="60">COUNTIFS(AB11:AB14,"&gt;=6",AB11:AB14,"&lt;=8.5")</f>
        <v>2</v>
      </c>
      <c r="AC222" s="3489">
        <f t="shared" si="60"/>
        <v>0</v>
      </c>
      <c r="AD222" s="3489">
        <f t="shared" si="60"/>
        <v>0</v>
      </c>
      <c r="AE222" s="3489">
        <f t="shared" si="60"/>
        <v>0</v>
      </c>
    </row>
    <row r="223" spans="1:48" s="1096" customFormat="1">
      <c r="A223" s="3570"/>
      <c r="B223" s="3582"/>
      <c r="C223" s="3536"/>
      <c r="D223" s="1558">
        <f t="shared" ref="D223:Q223" si="61">COUNT(D12:D15)</f>
        <v>4</v>
      </c>
      <c r="E223" s="1558">
        <f t="shared" si="61"/>
        <v>4</v>
      </c>
      <c r="F223" s="1558">
        <f t="shared" si="61"/>
        <v>4</v>
      </c>
      <c r="G223" s="1558">
        <f t="shared" si="61"/>
        <v>4</v>
      </c>
      <c r="H223" s="1558">
        <f t="shared" si="61"/>
        <v>4</v>
      </c>
      <c r="I223" s="1558">
        <f t="shared" si="61"/>
        <v>4</v>
      </c>
      <c r="J223" s="1558">
        <f t="shared" si="61"/>
        <v>4</v>
      </c>
      <c r="K223" s="1558">
        <f t="shared" si="61"/>
        <v>4</v>
      </c>
      <c r="L223" s="1558">
        <f t="shared" si="61"/>
        <v>4</v>
      </c>
      <c r="M223" s="1558">
        <f t="shared" si="61"/>
        <v>4</v>
      </c>
      <c r="N223" s="1558">
        <f t="shared" si="61"/>
        <v>4</v>
      </c>
      <c r="O223" s="1558">
        <f t="shared" si="61"/>
        <v>4</v>
      </c>
      <c r="P223" s="1558">
        <f t="shared" si="61"/>
        <v>4</v>
      </c>
      <c r="Q223" s="1558">
        <f t="shared" si="61"/>
        <v>4</v>
      </c>
      <c r="R223" s="1558">
        <f>COUNT(R11:R15)</f>
        <v>5</v>
      </c>
      <c r="S223" s="1558">
        <f>COUNT(S11:S15)</f>
        <v>5</v>
      </c>
      <c r="T223" s="3002">
        <f t="shared" ref="T223:W223" si="62">COUNT(T11:T15)</f>
        <v>1</v>
      </c>
      <c r="U223" s="3002">
        <f t="shared" si="62"/>
        <v>1</v>
      </c>
      <c r="V223" s="3002">
        <f t="shared" si="62"/>
        <v>1</v>
      </c>
      <c r="W223" s="3002">
        <f t="shared" si="62"/>
        <v>5</v>
      </c>
      <c r="X223" s="1558">
        <f>COUNT(X11:X14)</f>
        <v>3</v>
      </c>
      <c r="Y223" s="3265">
        <f t="shared" ref="Y223:AA223" si="63">COUNT(Y11:Y14)</f>
        <v>3</v>
      </c>
      <c r="Z223" s="3265">
        <f t="shared" si="63"/>
        <v>3</v>
      </c>
      <c r="AA223" s="3265">
        <f t="shared" si="63"/>
        <v>3</v>
      </c>
      <c r="AB223" s="3490">
        <f t="shared" ref="AB223:AE223" si="64">COUNT(AB11:AB14)</f>
        <v>3</v>
      </c>
      <c r="AC223" s="3490">
        <f t="shared" si="64"/>
        <v>1</v>
      </c>
      <c r="AD223" s="3490">
        <f t="shared" si="64"/>
        <v>1</v>
      </c>
      <c r="AE223" s="3490">
        <f t="shared" si="64"/>
        <v>1</v>
      </c>
    </row>
    <row r="224" spans="1:48" s="1106" customFormat="1">
      <c r="A224" s="3570"/>
      <c r="B224" s="3583"/>
      <c r="C224" s="3537"/>
      <c r="D224" s="1557">
        <f t="shared" ref="D224:Q224" si="65">D222/D223</f>
        <v>0.25</v>
      </c>
      <c r="E224" s="1557">
        <f t="shared" si="65"/>
        <v>1</v>
      </c>
      <c r="F224" s="1557">
        <f t="shared" si="65"/>
        <v>1</v>
      </c>
      <c r="G224" s="1557">
        <f t="shared" si="65"/>
        <v>1</v>
      </c>
      <c r="H224" s="1557">
        <f t="shared" si="65"/>
        <v>0.5</v>
      </c>
      <c r="I224" s="1557">
        <f t="shared" si="65"/>
        <v>1</v>
      </c>
      <c r="J224" s="1557">
        <f t="shared" si="65"/>
        <v>1</v>
      </c>
      <c r="K224" s="1557">
        <f t="shared" si="65"/>
        <v>0.5</v>
      </c>
      <c r="L224" s="1557">
        <f t="shared" si="65"/>
        <v>1</v>
      </c>
      <c r="M224" s="1557">
        <f t="shared" si="65"/>
        <v>0.25</v>
      </c>
      <c r="N224" s="1557">
        <f t="shared" si="65"/>
        <v>0.75</v>
      </c>
      <c r="O224" s="1557">
        <f t="shared" si="65"/>
        <v>0.75</v>
      </c>
      <c r="P224" s="1557">
        <f t="shared" si="65"/>
        <v>0.5</v>
      </c>
      <c r="Q224" s="1557">
        <f t="shared" si="65"/>
        <v>1</v>
      </c>
      <c r="R224" s="1557">
        <f>R222/R223</f>
        <v>1</v>
      </c>
      <c r="S224" s="1557">
        <f>S222/S223</f>
        <v>1</v>
      </c>
      <c r="T224" s="1557">
        <f t="shared" ref="T224:W224" si="66">T222/T223</f>
        <v>1</v>
      </c>
      <c r="U224" s="1557">
        <f t="shared" si="66"/>
        <v>1</v>
      </c>
      <c r="V224" s="1557">
        <f t="shared" si="66"/>
        <v>1</v>
      </c>
      <c r="W224" s="1557">
        <f t="shared" si="66"/>
        <v>1</v>
      </c>
      <c r="X224" s="1557">
        <f>X222/X223</f>
        <v>1</v>
      </c>
      <c r="Y224" s="1557">
        <f t="shared" ref="Y224:AA224" si="67">Y222/Y223</f>
        <v>1</v>
      </c>
      <c r="Z224" s="1557">
        <f t="shared" si="67"/>
        <v>0.66666666666666663</v>
      </c>
      <c r="AA224" s="1557">
        <f t="shared" si="67"/>
        <v>0.66666666666666663</v>
      </c>
      <c r="AB224" s="1557">
        <f t="shared" ref="AB224:AE224" si="68">AB222/AB223</f>
        <v>0.66666666666666663</v>
      </c>
      <c r="AC224" s="1557">
        <f t="shared" si="68"/>
        <v>0</v>
      </c>
      <c r="AD224" s="1557">
        <f t="shared" si="68"/>
        <v>0</v>
      </c>
      <c r="AE224" s="1557">
        <f t="shared" si="68"/>
        <v>0</v>
      </c>
    </row>
    <row r="225" spans="1:31" s="1096" customFormat="1">
      <c r="A225" s="3570"/>
      <c r="B225" s="3581" t="s">
        <v>131</v>
      </c>
      <c r="C225" s="3535">
        <f>COUNTA(A16:A18)</f>
        <v>3</v>
      </c>
      <c r="D225" s="1556">
        <f t="shared" ref="D225:Q225" si="69">COUNTIFS(D16:D18,"&gt;=6",D16:D18,"&lt;=8.5")</f>
        <v>2</v>
      </c>
      <c r="E225" s="1556">
        <f t="shared" si="69"/>
        <v>3</v>
      </c>
      <c r="F225" s="1556">
        <f t="shared" si="69"/>
        <v>3</v>
      </c>
      <c r="G225" s="1556">
        <f t="shared" si="69"/>
        <v>3</v>
      </c>
      <c r="H225" s="1556">
        <f t="shared" si="69"/>
        <v>0</v>
      </c>
      <c r="I225" s="1556">
        <f t="shared" si="69"/>
        <v>3</v>
      </c>
      <c r="J225" s="1556">
        <f t="shared" si="69"/>
        <v>3</v>
      </c>
      <c r="K225" s="1556">
        <f t="shared" si="69"/>
        <v>3</v>
      </c>
      <c r="L225" s="1556">
        <f t="shared" si="69"/>
        <v>3</v>
      </c>
      <c r="M225" s="1556">
        <f t="shared" si="69"/>
        <v>3</v>
      </c>
      <c r="N225" s="1556">
        <f t="shared" si="69"/>
        <v>3</v>
      </c>
      <c r="O225" s="1556">
        <f t="shared" si="69"/>
        <v>3</v>
      </c>
      <c r="P225" s="1556">
        <f t="shared" si="69"/>
        <v>3</v>
      </c>
      <c r="Q225" s="1556">
        <f t="shared" si="69"/>
        <v>3</v>
      </c>
      <c r="R225" s="1556">
        <f>COUNTIFS(R16:R18,"&gt;=6",R16:R18,"&lt;=8.5")</f>
        <v>3</v>
      </c>
      <c r="S225" s="1556">
        <f>COUNTIFS(S16:S18,"&gt;=6",S16:S18,"&lt;=8.5")</f>
        <v>3</v>
      </c>
      <c r="T225" s="3001">
        <f t="shared" ref="T225:W225" si="70">COUNTIFS(T16:T18,"&gt;=6",T16:T18,"&lt;=8.5")</f>
        <v>3</v>
      </c>
      <c r="U225" s="3001">
        <f t="shared" si="70"/>
        <v>3</v>
      </c>
      <c r="V225" s="3001">
        <f t="shared" si="70"/>
        <v>3</v>
      </c>
      <c r="W225" s="3001">
        <f t="shared" si="70"/>
        <v>3</v>
      </c>
      <c r="X225" s="1556">
        <f>COUNTIFS(X15:X17,"&gt;=6",X15:X17,"&lt;=8.5")</f>
        <v>3</v>
      </c>
      <c r="Y225" s="3264">
        <f t="shared" ref="Y225:AA225" si="71">COUNTIFS(Y15:Y17,"&gt;=6",Y15:Y17,"&lt;=8.5")</f>
        <v>3</v>
      </c>
      <c r="Z225" s="3264">
        <f t="shared" si="71"/>
        <v>3</v>
      </c>
      <c r="AA225" s="3264">
        <f t="shared" si="71"/>
        <v>3</v>
      </c>
      <c r="AB225" s="3489">
        <f t="shared" ref="AB225:AE225" si="72">COUNTIFS(AB15:AB17,"&gt;=6",AB15:AB17,"&lt;=8.5")</f>
        <v>3</v>
      </c>
      <c r="AC225" s="3489">
        <f t="shared" si="72"/>
        <v>0</v>
      </c>
      <c r="AD225" s="3489">
        <f t="shared" si="72"/>
        <v>0</v>
      </c>
      <c r="AE225" s="3489">
        <f t="shared" si="72"/>
        <v>0</v>
      </c>
    </row>
    <row r="226" spans="1:31" s="1096" customFormat="1">
      <c r="A226" s="3570"/>
      <c r="B226" s="3582"/>
      <c r="C226" s="3536"/>
      <c r="D226" s="1558">
        <f t="shared" ref="D226:Q226" si="73">COUNT(D16:D18)</f>
        <v>3</v>
      </c>
      <c r="E226" s="1558">
        <f t="shared" si="73"/>
        <v>3</v>
      </c>
      <c r="F226" s="1558">
        <f t="shared" si="73"/>
        <v>3</v>
      </c>
      <c r="G226" s="1558">
        <f t="shared" si="73"/>
        <v>3</v>
      </c>
      <c r="H226" s="1558">
        <f t="shared" si="73"/>
        <v>3</v>
      </c>
      <c r="I226" s="1558">
        <f t="shared" si="73"/>
        <v>3</v>
      </c>
      <c r="J226" s="1558">
        <f t="shared" si="73"/>
        <v>3</v>
      </c>
      <c r="K226" s="1558">
        <f t="shared" si="73"/>
        <v>3</v>
      </c>
      <c r="L226" s="1558">
        <f t="shared" si="73"/>
        <v>3</v>
      </c>
      <c r="M226" s="1558">
        <f t="shared" si="73"/>
        <v>3</v>
      </c>
      <c r="N226" s="1558">
        <f t="shared" si="73"/>
        <v>3</v>
      </c>
      <c r="O226" s="1558">
        <f t="shared" si="73"/>
        <v>3</v>
      </c>
      <c r="P226" s="1558">
        <f t="shared" si="73"/>
        <v>3</v>
      </c>
      <c r="Q226" s="1558">
        <f t="shared" si="73"/>
        <v>3</v>
      </c>
      <c r="R226" s="1558">
        <f>COUNT(R16:R18)</f>
        <v>3</v>
      </c>
      <c r="S226" s="1558">
        <f>COUNT(S16:S18)</f>
        <v>3</v>
      </c>
      <c r="T226" s="3002">
        <f t="shared" ref="T226:W226" si="74">COUNT(T16:T18)</f>
        <v>3</v>
      </c>
      <c r="U226" s="3002">
        <f t="shared" si="74"/>
        <v>3</v>
      </c>
      <c r="V226" s="3002">
        <f t="shared" si="74"/>
        <v>3</v>
      </c>
      <c r="W226" s="3002">
        <f t="shared" si="74"/>
        <v>3</v>
      </c>
      <c r="X226" s="1558">
        <f>COUNT(X15:X17)</f>
        <v>3</v>
      </c>
      <c r="Y226" s="3265">
        <f t="shared" ref="Y226:AA226" si="75">COUNT(Y15:Y17)</f>
        <v>3</v>
      </c>
      <c r="Z226" s="3265">
        <f t="shared" si="75"/>
        <v>3</v>
      </c>
      <c r="AA226" s="3265">
        <f t="shared" si="75"/>
        <v>3</v>
      </c>
      <c r="AB226" s="3490">
        <f t="shared" ref="AB226:AE226" si="76">COUNT(AB15:AB17)</f>
        <v>3</v>
      </c>
      <c r="AC226" s="3490">
        <f t="shared" si="76"/>
        <v>0</v>
      </c>
      <c r="AD226" s="3490">
        <f t="shared" si="76"/>
        <v>0</v>
      </c>
      <c r="AE226" s="3490">
        <f t="shared" si="76"/>
        <v>0</v>
      </c>
    </row>
    <row r="227" spans="1:31" s="1106" customFormat="1">
      <c r="A227" s="3570"/>
      <c r="B227" s="3583"/>
      <c r="C227" s="3537"/>
      <c r="D227" s="1557">
        <f t="shared" ref="D227:Q227" si="77">D225/D226</f>
        <v>0.66666666666666663</v>
      </c>
      <c r="E227" s="1557">
        <f t="shared" si="77"/>
        <v>1</v>
      </c>
      <c r="F227" s="1557">
        <f t="shared" si="77"/>
        <v>1</v>
      </c>
      <c r="G227" s="1557">
        <f t="shared" si="77"/>
        <v>1</v>
      </c>
      <c r="H227" s="1557">
        <f t="shared" si="77"/>
        <v>0</v>
      </c>
      <c r="I227" s="1557">
        <f t="shared" si="77"/>
        <v>1</v>
      </c>
      <c r="J227" s="1557">
        <f t="shared" si="77"/>
        <v>1</v>
      </c>
      <c r="K227" s="1557">
        <f t="shared" si="77"/>
        <v>1</v>
      </c>
      <c r="L227" s="1557">
        <f t="shared" si="77"/>
        <v>1</v>
      </c>
      <c r="M227" s="1557">
        <f t="shared" si="77"/>
        <v>1</v>
      </c>
      <c r="N227" s="1557">
        <f t="shared" si="77"/>
        <v>1</v>
      </c>
      <c r="O227" s="1557">
        <f t="shared" si="77"/>
        <v>1</v>
      </c>
      <c r="P227" s="1557">
        <f t="shared" si="77"/>
        <v>1</v>
      </c>
      <c r="Q227" s="1557">
        <f t="shared" si="77"/>
        <v>1</v>
      </c>
      <c r="R227" s="1557">
        <f>R225/R226</f>
        <v>1</v>
      </c>
      <c r="S227" s="1557">
        <f>S225/S226</f>
        <v>1</v>
      </c>
      <c r="T227" s="1557">
        <f t="shared" ref="T227:W227" si="78">T225/T226</f>
        <v>1</v>
      </c>
      <c r="U227" s="1557">
        <f t="shared" si="78"/>
        <v>1</v>
      </c>
      <c r="V227" s="1557">
        <f t="shared" si="78"/>
        <v>1</v>
      </c>
      <c r="W227" s="1557">
        <f t="shared" si="78"/>
        <v>1</v>
      </c>
      <c r="X227" s="1557">
        <f>X225/X226</f>
        <v>1</v>
      </c>
      <c r="Y227" s="1557">
        <f t="shared" ref="Y227:AA227" si="79">Y225/Y226</f>
        <v>1</v>
      </c>
      <c r="Z227" s="1557">
        <f t="shared" si="79"/>
        <v>1</v>
      </c>
      <c r="AA227" s="1557">
        <f t="shared" si="79"/>
        <v>1</v>
      </c>
      <c r="AB227" s="1557">
        <f t="shared" ref="AB227:AE227" si="80">AB225/AB226</f>
        <v>1</v>
      </c>
      <c r="AC227" s="1557" t="e">
        <f t="shared" si="80"/>
        <v>#DIV/0!</v>
      </c>
      <c r="AD227" s="1557" t="e">
        <f t="shared" si="80"/>
        <v>#DIV/0!</v>
      </c>
      <c r="AE227" s="1557" t="e">
        <f t="shared" si="80"/>
        <v>#DIV/0!</v>
      </c>
    </row>
    <row r="228" spans="1:31" s="1096" customFormat="1">
      <c r="A228" s="3570"/>
      <c r="B228" s="3581" t="s">
        <v>185</v>
      </c>
      <c r="C228" s="3535">
        <f>COUNTA(A19:A21)</f>
        <v>3</v>
      </c>
      <c r="D228" s="1556">
        <f t="shared" ref="D228:Q228" si="81">COUNTIFS(D19:D21,"&gt;=6",D19:D21,"&lt;=8.5")</f>
        <v>2</v>
      </c>
      <c r="E228" s="1556">
        <f t="shared" si="81"/>
        <v>3</v>
      </c>
      <c r="F228" s="1556">
        <f t="shared" si="81"/>
        <v>3</v>
      </c>
      <c r="G228" s="1556">
        <f t="shared" si="81"/>
        <v>3</v>
      </c>
      <c r="H228" s="1556">
        <f t="shared" si="81"/>
        <v>1</v>
      </c>
      <c r="I228" s="1556">
        <f t="shared" si="81"/>
        <v>2</v>
      </c>
      <c r="J228" s="1556">
        <f t="shared" si="81"/>
        <v>3</v>
      </c>
      <c r="K228" s="1556">
        <f t="shared" si="81"/>
        <v>3</v>
      </c>
      <c r="L228" s="1556">
        <f t="shared" si="81"/>
        <v>0</v>
      </c>
      <c r="M228" s="1556">
        <f t="shared" si="81"/>
        <v>3</v>
      </c>
      <c r="N228" s="1556">
        <f t="shared" si="81"/>
        <v>3</v>
      </c>
      <c r="O228" s="1556">
        <f t="shared" si="81"/>
        <v>2</v>
      </c>
      <c r="P228" s="1556">
        <f t="shared" si="81"/>
        <v>3</v>
      </c>
      <c r="Q228" s="1556">
        <f t="shared" si="81"/>
        <v>3</v>
      </c>
      <c r="R228" s="1556">
        <f>COUNTIFS(R19:R21,"&gt;=6",R19:R21,"&lt;=8.5")</f>
        <v>3</v>
      </c>
      <c r="S228" s="1556">
        <f>COUNTIFS(S19:S21,"&gt;=6",S19:S21,"&lt;=8.5")</f>
        <v>2</v>
      </c>
      <c r="T228" s="3001">
        <f t="shared" ref="T228:W228" si="82">COUNTIFS(T19:T21,"&gt;=6",T19:T21,"&lt;=8.5")</f>
        <v>0</v>
      </c>
      <c r="U228" s="3001">
        <f t="shared" si="82"/>
        <v>0</v>
      </c>
      <c r="V228" s="3001">
        <f t="shared" si="82"/>
        <v>0</v>
      </c>
      <c r="W228" s="3001">
        <f t="shared" si="82"/>
        <v>3</v>
      </c>
      <c r="X228" s="1556">
        <f>COUNTIFS(X18:X20,"&gt;=6",X18:X20,"&lt;=8.5")</f>
        <v>3</v>
      </c>
      <c r="Y228" s="3264">
        <f t="shared" ref="Y228:AA228" si="83">COUNTIFS(Y18:Y20,"&gt;=6",Y18:Y20,"&lt;=8.5")</f>
        <v>3</v>
      </c>
      <c r="Z228" s="3264">
        <f t="shared" si="83"/>
        <v>3</v>
      </c>
      <c r="AA228" s="3264">
        <f t="shared" si="83"/>
        <v>3</v>
      </c>
      <c r="AB228" s="3489">
        <f t="shared" ref="AB228:AE228" si="84">COUNTIFS(AB18:AB20,"&gt;=6",AB18:AB20,"&lt;=8.5")</f>
        <v>3</v>
      </c>
      <c r="AC228" s="3489">
        <f t="shared" si="84"/>
        <v>0</v>
      </c>
      <c r="AD228" s="3489">
        <f t="shared" si="84"/>
        <v>0</v>
      </c>
      <c r="AE228" s="3489">
        <f t="shared" si="84"/>
        <v>0</v>
      </c>
    </row>
    <row r="229" spans="1:31" s="1096" customFormat="1">
      <c r="A229" s="3570"/>
      <c r="B229" s="3582"/>
      <c r="C229" s="3536"/>
      <c r="D229" s="1558">
        <f t="shared" ref="D229:Q229" si="85">COUNT(D19:D21)</f>
        <v>3</v>
      </c>
      <c r="E229" s="1558">
        <f t="shared" si="85"/>
        <v>3</v>
      </c>
      <c r="F229" s="1558">
        <f t="shared" si="85"/>
        <v>3</v>
      </c>
      <c r="G229" s="1558">
        <f t="shared" si="85"/>
        <v>3</v>
      </c>
      <c r="H229" s="1558">
        <f t="shared" si="85"/>
        <v>3</v>
      </c>
      <c r="I229" s="1558">
        <f t="shared" si="85"/>
        <v>3</v>
      </c>
      <c r="J229" s="1558">
        <f t="shared" si="85"/>
        <v>3</v>
      </c>
      <c r="K229" s="1558">
        <f t="shared" si="85"/>
        <v>3</v>
      </c>
      <c r="L229" s="1558">
        <f t="shared" si="85"/>
        <v>0</v>
      </c>
      <c r="M229" s="1558">
        <f t="shared" si="85"/>
        <v>3</v>
      </c>
      <c r="N229" s="1558">
        <f t="shared" si="85"/>
        <v>3</v>
      </c>
      <c r="O229" s="1558">
        <f t="shared" si="85"/>
        <v>3</v>
      </c>
      <c r="P229" s="1558">
        <f t="shared" si="85"/>
        <v>3</v>
      </c>
      <c r="Q229" s="1558">
        <f t="shared" si="85"/>
        <v>3</v>
      </c>
      <c r="R229" s="1558">
        <f>COUNT(R19:R21)</f>
        <v>3</v>
      </c>
      <c r="S229" s="1558">
        <f>COUNT(S19:S21)</f>
        <v>3</v>
      </c>
      <c r="T229" s="3002">
        <f t="shared" ref="T229:W229" si="86">COUNT(T19:T21)</f>
        <v>0</v>
      </c>
      <c r="U229" s="3002">
        <f t="shared" si="86"/>
        <v>0</v>
      </c>
      <c r="V229" s="3002">
        <f t="shared" si="86"/>
        <v>0</v>
      </c>
      <c r="W229" s="3002">
        <f t="shared" si="86"/>
        <v>3</v>
      </c>
      <c r="X229" s="1558">
        <f>COUNT(X18:X20)</f>
        <v>3</v>
      </c>
      <c r="Y229" s="3265">
        <f t="shared" ref="Y229:AA229" si="87">COUNT(Y18:Y20)</f>
        <v>3</v>
      </c>
      <c r="Z229" s="3265">
        <f t="shared" si="87"/>
        <v>3</v>
      </c>
      <c r="AA229" s="3265">
        <f t="shared" si="87"/>
        <v>3</v>
      </c>
      <c r="AB229" s="3490">
        <f t="shared" ref="AB229:AE229" si="88">COUNT(AB18:AB20)</f>
        <v>3</v>
      </c>
      <c r="AC229" s="3490">
        <f t="shared" si="88"/>
        <v>0</v>
      </c>
      <c r="AD229" s="3490">
        <f t="shared" si="88"/>
        <v>0</v>
      </c>
      <c r="AE229" s="3490">
        <f t="shared" si="88"/>
        <v>0</v>
      </c>
    </row>
    <row r="230" spans="1:31" s="1106" customFormat="1">
      <c r="A230" s="3570"/>
      <c r="B230" s="3583"/>
      <c r="C230" s="3537"/>
      <c r="D230" s="1557">
        <f t="shared" ref="D230:Q230" si="89">D228/D229</f>
        <v>0.66666666666666663</v>
      </c>
      <c r="E230" s="1557">
        <f t="shared" si="89"/>
        <v>1</v>
      </c>
      <c r="F230" s="1557">
        <f t="shared" si="89"/>
        <v>1</v>
      </c>
      <c r="G230" s="1557">
        <f t="shared" si="89"/>
        <v>1</v>
      </c>
      <c r="H230" s="1557">
        <f t="shared" si="89"/>
        <v>0.33333333333333331</v>
      </c>
      <c r="I230" s="1557">
        <f t="shared" si="89"/>
        <v>0.66666666666666663</v>
      </c>
      <c r="J230" s="1557">
        <f t="shared" si="89"/>
        <v>1</v>
      </c>
      <c r="K230" s="1557">
        <f t="shared" si="89"/>
        <v>1</v>
      </c>
      <c r="L230" s="1557" t="e">
        <f t="shared" si="89"/>
        <v>#DIV/0!</v>
      </c>
      <c r="M230" s="1557">
        <f t="shared" si="89"/>
        <v>1</v>
      </c>
      <c r="N230" s="1557">
        <f t="shared" si="89"/>
        <v>1</v>
      </c>
      <c r="O230" s="1557">
        <f t="shared" si="89"/>
        <v>0.66666666666666663</v>
      </c>
      <c r="P230" s="1557">
        <f t="shared" si="89"/>
        <v>1</v>
      </c>
      <c r="Q230" s="1557">
        <f t="shared" si="89"/>
        <v>1</v>
      </c>
      <c r="R230" s="1557">
        <f>R228/R229</f>
        <v>1</v>
      </c>
      <c r="S230" s="1557">
        <f>S228/S229</f>
        <v>0.66666666666666663</v>
      </c>
      <c r="T230" s="1557" t="e">
        <f t="shared" ref="T230:W230" si="90">T228/T229</f>
        <v>#DIV/0!</v>
      </c>
      <c r="U230" s="1557" t="e">
        <f t="shared" si="90"/>
        <v>#DIV/0!</v>
      </c>
      <c r="V230" s="1557" t="e">
        <f t="shared" si="90"/>
        <v>#DIV/0!</v>
      </c>
      <c r="W230" s="1557">
        <f t="shared" si="90"/>
        <v>1</v>
      </c>
      <c r="X230" s="1557">
        <f>X228/X229</f>
        <v>1</v>
      </c>
      <c r="Y230" s="1557">
        <f t="shared" ref="Y230:AA230" si="91">Y228/Y229</f>
        <v>1</v>
      </c>
      <c r="Z230" s="1557">
        <f t="shared" si="91"/>
        <v>1</v>
      </c>
      <c r="AA230" s="1557">
        <f t="shared" si="91"/>
        <v>1</v>
      </c>
      <c r="AB230" s="1557">
        <f t="shared" ref="AB230:AE230" si="92">AB228/AB229</f>
        <v>1</v>
      </c>
      <c r="AC230" s="1557" t="e">
        <f t="shared" si="92"/>
        <v>#DIV/0!</v>
      </c>
      <c r="AD230" s="1557" t="e">
        <f t="shared" si="92"/>
        <v>#DIV/0!</v>
      </c>
      <c r="AE230" s="1557" t="e">
        <f t="shared" si="92"/>
        <v>#DIV/0!</v>
      </c>
    </row>
    <row r="231" spans="1:31" s="1096" customFormat="1">
      <c r="A231" s="3570"/>
      <c r="B231" s="3581" t="s">
        <v>132</v>
      </c>
      <c r="C231" s="3535">
        <f>COUNTA(A22:A26)</f>
        <v>5</v>
      </c>
      <c r="D231" s="1556">
        <f t="shared" ref="D231:Q231" si="93">COUNTIFS(D22:D26,"&gt;=6",D22:D26,"&lt;=8.5")</f>
        <v>1</v>
      </c>
      <c r="E231" s="1556">
        <f t="shared" si="93"/>
        <v>5</v>
      </c>
      <c r="F231" s="1556">
        <f t="shared" si="93"/>
        <v>5</v>
      </c>
      <c r="G231" s="1556">
        <f t="shared" si="93"/>
        <v>4</v>
      </c>
      <c r="H231" s="1556">
        <f t="shared" si="93"/>
        <v>5</v>
      </c>
      <c r="I231" s="1556">
        <f t="shared" si="93"/>
        <v>3</v>
      </c>
      <c r="J231" s="1556">
        <f t="shared" si="93"/>
        <v>5</v>
      </c>
      <c r="K231" s="1556">
        <f t="shared" si="93"/>
        <v>5</v>
      </c>
      <c r="L231" s="1556">
        <f t="shared" si="93"/>
        <v>4</v>
      </c>
      <c r="M231" s="1556">
        <f t="shared" si="93"/>
        <v>4</v>
      </c>
      <c r="N231" s="1556">
        <f t="shared" si="93"/>
        <v>5</v>
      </c>
      <c r="O231" s="1556">
        <f t="shared" si="93"/>
        <v>5</v>
      </c>
      <c r="P231" s="1556">
        <f t="shared" si="93"/>
        <v>4</v>
      </c>
      <c r="Q231" s="1556">
        <f t="shared" si="93"/>
        <v>5</v>
      </c>
      <c r="R231" s="1556">
        <f>COUNTIFS(R22:R26,"&gt;=6",R22:R26,"&lt;=8.5")</f>
        <v>5</v>
      </c>
      <c r="S231" s="1556">
        <f>COUNTIFS(S22:S26,"&gt;=6",S22:S26,"&lt;=8.5")</f>
        <v>5</v>
      </c>
      <c r="T231" s="3001">
        <f t="shared" ref="T231:W231" si="94">COUNTIFS(T22:T26,"&gt;=6",T22:T26,"&lt;=8.5")</f>
        <v>5</v>
      </c>
      <c r="U231" s="3001">
        <f t="shared" si="94"/>
        <v>5</v>
      </c>
      <c r="V231" s="3001">
        <f t="shared" si="94"/>
        <v>5</v>
      </c>
      <c r="W231" s="3001">
        <f t="shared" si="94"/>
        <v>5</v>
      </c>
      <c r="X231" s="1556">
        <f>COUNTIFS(X21:X25,"&gt;=6",X21:X25,"&lt;=8.5")</f>
        <v>5</v>
      </c>
      <c r="Y231" s="3264">
        <f t="shared" ref="Y231:AA231" si="95">COUNTIFS(Y21:Y25,"&gt;=6",Y21:Y25,"&lt;=8.5")</f>
        <v>5</v>
      </c>
      <c r="Z231" s="3264">
        <f t="shared" si="95"/>
        <v>5</v>
      </c>
      <c r="AA231" s="3264">
        <f t="shared" si="95"/>
        <v>5</v>
      </c>
      <c r="AB231" s="3489">
        <f t="shared" ref="AB231:AE231" si="96">COUNTIFS(AB21:AB25,"&gt;=6",AB21:AB25,"&lt;=8.5")</f>
        <v>5</v>
      </c>
      <c r="AC231" s="3489">
        <f t="shared" si="96"/>
        <v>0</v>
      </c>
      <c r="AD231" s="3489">
        <f t="shared" si="96"/>
        <v>0</v>
      </c>
      <c r="AE231" s="3489">
        <f t="shared" si="96"/>
        <v>0</v>
      </c>
    </row>
    <row r="232" spans="1:31" s="1096" customFormat="1">
      <c r="A232" s="3570"/>
      <c r="B232" s="3582"/>
      <c r="C232" s="3536"/>
      <c r="D232" s="1558">
        <f t="shared" ref="D232:Q232" si="97">COUNT(D22:D26)</f>
        <v>5</v>
      </c>
      <c r="E232" s="1558">
        <f t="shared" si="97"/>
        <v>5</v>
      </c>
      <c r="F232" s="1558">
        <f t="shared" si="97"/>
        <v>5</v>
      </c>
      <c r="G232" s="1558">
        <f t="shared" si="97"/>
        <v>5</v>
      </c>
      <c r="H232" s="1558">
        <f t="shared" si="97"/>
        <v>5</v>
      </c>
      <c r="I232" s="1558">
        <f t="shared" si="97"/>
        <v>5</v>
      </c>
      <c r="J232" s="1558">
        <f t="shared" si="97"/>
        <v>5</v>
      </c>
      <c r="K232" s="1558">
        <f t="shared" si="97"/>
        <v>5</v>
      </c>
      <c r="L232" s="1558">
        <f t="shared" si="97"/>
        <v>5</v>
      </c>
      <c r="M232" s="1558">
        <f t="shared" si="97"/>
        <v>4</v>
      </c>
      <c r="N232" s="1558">
        <f t="shared" si="97"/>
        <v>5</v>
      </c>
      <c r="O232" s="1558">
        <f t="shared" si="97"/>
        <v>5</v>
      </c>
      <c r="P232" s="1558">
        <f t="shared" si="97"/>
        <v>5</v>
      </c>
      <c r="Q232" s="1558">
        <f t="shared" si="97"/>
        <v>5</v>
      </c>
      <c r="R232" s="1558">
        <f>COUNT(R22:R26)</f>
        <v>5</v>
      </c>
      <c r="S232" s="1558">
        <f>COUNT(S22:S26)</f>
        <v>5</v>
      </c>
      <c r="T232" s="3002">
        <f t="shared" ref="T232:W232" si="98">COUNT(T22:T26)</f>
        <v>5</v>
      </c>
      <c r="U232" s="3002">
        <f t="shared" si="98"/>
        <v>5</v>
      </c>
      <c r="V232" s="3002">
        <f t="shared" si="98"/>
        <v>5</v>
      </c>
      <c r="W232" s="3002">
        <f t="shared" si="98"/>
        <v>5</v>
      </c>
      <c r="X232" s="1558">
        <f>COUNT(X21:X25)</f>
        <v>5</v>
      </c>
      <c r="Y232" s="3265">
        <f t="shared" ref="Y232:AA232" si="99">COUNT(Y21:Y25)</f>
        <v>5</v>
      </c>
      <c r="Z232" s="3265">
        <f t="shared" si="99"/>
        <v>5</v>
      </c>
      <c r="AA232" s="3265">
        <f t="shared" si="99"/>
        <v>5</v>
      </c>
      <c r="AB232" s="3490">
        <f t="shared" ref="AB232:AE232" si="100">COUNT(AB21:AB25)</f>
        <v>5</v>
      </c>
      <c r="AC232" s="3490">
        <f t="shared" si="100"/>
        <v>0</v>
      </c>
      <c r="AD232" s="3490">
        <f t="shared" si="100"/>
        <v>0</v>
      </c>
      <c r="AE232" s="3490">
        <f t="shared" si="100"/>
        <v>0</v>
      </c>
    </row>
    <row r="233" spans="1:31" s="1106" customFormat="1">
      <c r="A233" s="3570"/>
      <c r="B233" s="3583"/>
      <c r="C233" s="3537"/>
      <c r="D233" s="1557">
        <f t="shared" ref="D233:Q233" si="101">D231/D232</f>
        <v>0.2</v>
      </c>
      <c r="E233" s="1557">
        <f t="shared" si="101"/>
        <v>1</v>
      </c>
      <c r="F233" s="1557">
        <f t="shared" si="101"/>
        <v>1</v>
      </c>
      <c r="G233" s="1557">
        <f t="shared" si="101"/>
        <v>0.8</v>
      </c>
      <c r="H233" s="1557">
        <f t="shared" si="101"/>
        <v>1</v>
      </c>
      <c r="I233" s="1557">
        <f t="shared" si="101"/>
        <v>0.6</v>
      </c>
      <c r="J233" s="1557">
        <f t="shared" si="101"/>
        <v>1</v>
      </c>
      <c r="K233" s="1557">
        <f t="shared" si="101"/>
        <v>1</v>
      </c>
      <c r="L233" s="1557">
        <f t="shared" si="101"/>
        <v>0.8</v>
      </c>
      <c r="M233" s="1557">
        <f t="shared" si="101"/>
        <v>1</v>
      </c>
      <c r="N233" s="1557">
        <f t="shared" si="101"/>
        <v>1</v>
      </c>
      <c r="O233" s="1557">
        <f t="shared" si="101"/>
        <v>1</v>
      </c>
      <c r="P233" s="1557">
        <f t="shared" si="101"/>
        <v>0.8</v>
      </c>
      <c r="Q233" s="1557">
        <f t="shared" si="101"/>
        <v>1</v>
      </c>
      <c r="R233" s="1557">
        <f>R231/R232</f>
        <v>1</v>
      </c>
      <c r="S233" s="1557">
        <f>S231/S232</f>
        <v>1</v>
      </c>
      <c r="T233" s="1557">
        <f t="shared" ref="T233:W233" si="102">T231/T232</f>
        <v>1</v>
      </c>
      <c r="U233" s="1557">
        <f t="shared" si="102"/>
        <v>1</v>
      </c>
      <c r="V233" s="1557">
        <f t="shared" si="102"/>
        <v>1</v>
      </c>
      <c r="W233" s="1557">
        <f t="shared" si="102"/>
        <v>1</v>
      </c>
      <c r="X233" s="1557">
        <f>X231/X232</f>
        <v>1</v>
      </c>
      <c r="Y233" s="1557">
        <f t="shared" ref="Y233:AA233" si="103">Y231/Y232</f>
        <v>1</v>
      </c>
      <c r="Z233" s="1557">
        <f t="shared" si="103"/>
        <v>1</v>
      </c>
      <c r="AA233" s="1557">
        <f t="shared" si="103"/>
        <v>1</v>
      </c>
      <c r="AB233" s="1557">
        <f t="shared" ref="AB233:AE233" si="104">AB231/AB232</f>
        <v>1</v>
      </c>
      <c r="AC233" s="1557" t="e">
        <f t="shared" si="104"/>
        <v>#DIV/0!</v>
      </c>
      <c r="AD233" s="1557" t="e">
        <f t="shared" si="104"/>
        <v>#DIV/0!</v>
      </c>
      <c r="AE233" s="1557" t="e">
        <f t="shared" si="104"/>
        <v>#DIV/0!</v>
      </c>
    </row>
    <row r="234" spans="1:31" s="1096" customFormat="1">
      <c r="A234" s="3570"/>
      <c r="B234" s="3581" t="s">
        <v>63</v>
      </c>
      <c r="C234" s="3535">
        <f>COUNTA(A27:A31)</f>
        <v>5</v>
      </c>
      <c r="D234" s="1556">
        <f t="shared" ref="D234:Q234" si="105">COUNTIFS(D27:D31,"&gt;=6",D27:D31,"&lt;=8.5")</f>
        <v>4</v>
      </c>
      <c r="E234" s="1556">
        <f t="shared" si="105"/>
        <v>5</v>
      </c>
      <c r="F234" s="1556">
        <f t="shared" si="105"/>
        <v>5</v>
      </c>
      <c r="G234" s="1556">
        <f t="shared" si="105"/>
        <v>5</v>
      </c>
      <c r="H234" s="1556">
        <f t="shared" si="105"/>
        <v>4</v>
      </c>
      <c r="I234" s="1556">
        <f t="shared" si="105"/>
        <v>5</v>
      </c>
      <c r="J234" s="1556">
        <f t="shared" si="105"/>
        <v>5</v>
      </c>
      <c r="K234" s="1556">
        <f t="shared" si="105"/>
        <v>5</v>
      </c>
      <c r="L234" s="1556">
        <f t="shared" si="105"/>
        <v>4</v>
      </c>
      <c r="M234" s="1556">
        <f t="shared" si="105"/>
        <v>5</v>
      </c>
      <c r="N234" s="1556">
        <f t="shared" si="105"/>
        <v>5</v>
      </c>
      <c r="O234" s="1556">
        <f t="shared" si="105"/>
        <v>5</v>
      </c>
      <c r="P234" s="1556">
        <f t="shared" si="105"/>
        <v>3</v>
      </c>
      <c r="Q234" s="1556">
        <f t="shared" si="105"/>
        <v>5</v>
      </c>
      <c r="R234" s="1556">
        <f>COUNTIFS(R27:R31,"&gt;=6",R27:R31,"&lt;=8.5")</f>
        <v>5</v>
      </c>
      <c r="S234" s="1556">
        <f>COUNTIFS(S27:S31,"&gt;=6",S27:S31,"&lt;=8.5")</f>
        <v>5</v>
      </c>
      <c r="T234" s="3001">
        <f t="shared" ref="T234:W234" si="106">COUNTIFS(T27:T31,"&gt;=6",T27:T31,"&lt;=8.5")</f>
        <v>5</v>
      </c>
      <c r="U234" s="3001">
        <f t="shared" si="106"/>
        <v>5</v>
      </c>
      <c r="V234" s="3001">
        <f t="shared" si="106"/>
        <v>5</v>
      </c>
      <c r="W234" s="3001">
        <f t="shared" si="106"/>
        <v>5</v>
      </c>
      <c r="X234" s="1556">
        <f>COUNTIFS(X26:X30,"&gt;=6",X26:X30,"&lt;=8.5")</f>
        <v>5</v>
      </c>
      <c r="Y234" s="3264">
        <f t="shared" ref="Y234:AA234" si="107">COUNTIFS(Y26:Y30,"&gt;=6",Y26:Y30,"&lt;=8.5")</f>
        <v>5</v>
      </c>
      <c r="Z234" s="3264">
        <f t="shared" si="107"/>
        <v>5</v>
      </c>
      <c r="AA234" s="3264">
        <f t="shared" si="107"/>
        <v>5</v>
      </c>
      <c r="AB234" s="3489">
        <f t="shared" ref="AB234:AE234" si="108">COUNTIFS(AB26:AB30,"&gt;=6",AB26:AB30,"&lt;=8.5")</f>
        <v>5</v>
      </c>
      <c r="AC234" s="3489">
        <f t="shared" si="108"/>
        <v>0</v>
      </c>
      <c r="AD234" s="3489">
        <f t="shared" si="108"/>
        <v>0</v>
      </c>
      <c r="AE234" s="3489">
        <f t="shared" si="108"/>
        <v>0</v>
      </c>
    </row>
    <row r="235" spans="1:31" s="1096" customFormat="1">
      <c r="A235" s="3570"/>
      <c r="B235" s="3582"/>
      <c r="C235" s="3536"/>
      <c r="D235" s="1558">
        <f t="shared" ref="D235:Q235" si="109">COUNT(D27:D31)</f>
        <v>5</v>
      </c>
      <c r="E235" s="1558">
        <f t="shared" si="109"/>
        <v>5</v>
      </c>
      <c r="F235" s="1558">
        <f t="shared" si="109"/>
        <v>5</v>
      </c>
      <c r="G235" s="1558">
        <f t="shared" si="109"/>
        <v>5</v>
      </c>
      <c r="H235" s="1558">
        <f t="shared" si="109"/>
        <v>5</v>
      </c>
      <c r="I235" s="1558">
        <f t="shared" si="109"/>
        <v>5</v>
      </c>
      <c r="J235" s="1558">
        <f t="shared" si="109"/>
        <v>5</v>
      </c>
      <c r="K235" s="1558">
        <f t="shared" si="109"/>
        <v>5</v>
      </c>
      <c r="L235" s="1558">
        <f t="shared" si="109"/>
        <v>5</v>
      </c>
      <c r="M235" s="1558">
        <f t="shared" si="109"/>
        <v>5</v>
      </c>
      <c r="N235" s="1558">
        <f t="shared" si="109"/>
        <v>5</v>
      </c>
      <c r="O235" s="1558">
        <f t="shared" si="109"/>
        <v>5</v>
      </c>
      <c r="P235" s="1558">
        <f t="shared" si="109"/>
        <v>5</v>
      </c>
      <c r="Q235" s="1558">
        <f t="shared" si="109"/>
        <v>5</v>
      </c>
      <c r="R235" s="1558">
        <f>COUNT(R27:R31)</f>
        <v>5</v>
      </c>
      <c r="S235" s="1558">
        <f>COUNT(S27:S31)</f>
        <v>5</v>
      </c>
      <c r="T235" s="3002">
        <f t="shared" ref="T235:W235" si="110">COUNT(T27:T31)</f>
        <v>5</v>
      </c>
      <c r="U235" s="3002">
        <f t="shared" si="110"/>
        <v>5</v>
      </c>
      <c r="V235" s="3002">
        <f t="shared" si="110"/>
        <v>5</v>
      </c>
      <c r="W235" s="3002">
        <f t="shared" si="110"/>
        <v>5</v>
      </c>
      <c r="X235" s="1558">
        <f>COUNT(X26:X30)</f>
        <v>5</v>
      </c>
      <c r="Y235" s="3265">
        <f t="shared" ref="Y235:AA235" si="111">COUNT(Y26:Y30)</f>
        <v>5</v>
      </c>
      <c r="Z235" s="3265">
        <f t="shared" si="111"/>
        <v>5</v>
      </c>
      <c r="AA235" s="3265">
        <f t="shared" si="111"/>
        <v>5</v>
      </c>
      <c r="AB235" s="3490">
        <f t="shared" ref="AB235:AE235" si="112">COUNT(AB26:AB30)</f>
        <v>5</v>
      </c>
      <c r="AC235" s="3490">
        <f t="shared" si="112"/>
        <v>0</v>
      </c>
      <c r="AD235" s="3490">
        <f t="shared" si="112"/>
        <v>0</v>
      </c>
      <c r="AE235" s="3490">
        <f t="shared" si="112"/>
        <v>0</v>
      </c>
    </row>
    <row r="236" spans="1:31" s="1106" customFormat="1">
      <c r="A236" s="3570"/>
      <c r="B236" s="3583"/>
      <c r="C236" s="3537"/>
      <c r="D236" s="1557">
        <f t="shared" ref="D236:Q236" si="113">D234/D235</f>
        <v>0.8</v>
      </c>
      <c r="E236" s="1557">
        <f t="shared" si="113"/>
        <v>1</v>
      </c>
      <c r="F236" s="1557">
        <f t="shared" si="113"/>
        <v>1</v>
      </c>
      <c r="G236" s="1557">
        <f t="shared" si="113"/>
        <v>1</v>
      </c>
      <c r="H236" s="1557">
        <f t="shared" si="113"/>
        <v>0.8</v>
      </c>
      <c r="I236" s="1557">
        <f t="shared" si="113"/>
        <v>1</v>
      </c>
      <c r="J236" s="1557">
        <f t="shared" si="113"/>
        <v>1</v>
      </c>
      <c r="K236" s="1557">
        <f t="shared" si="113"/>
        <v>1</v>
      </c>
      <c r="L236" s="1557">
        <f t="shared" si="113"/>
        <v>0.8</v>
      </c>
      <c r="M236" s="1557">
        <f t="shared" si="113"/>
        <v>1</v>
      </c>
      <c r="N236" s="1557">
        <f t="shared" si="113"/>
        <v>1</v>
      </c>
      <c r="O236" s="1557">
        <f t="shared" si="113"/>
        <v>1</v>
      </c>
      <c r="P236" s="1557">
        <f t="shared" si="113"/>
        <v>0.6</v>
      </c>
      <c r="Q236" s="1557">
        <f t="shared" si="113"/>
        <v>1</v>
      </c>
      <c r="R236" s="1557">
        <f>R234/R235</f>
        <v>1</v>
      </c>
      <c r="S236" s="1557">
        <f>S234/S235</f>
        <v>1</v>
      </c>
      <c r="T236" s="1557">
        <f t="shared" ref="T236:W236" si="114">T234/T235</f>
        <v>1</v>
      </c>
      <c r="U236" s="1557">
        <f t="shared" si="114"/>
        <v>1</v>
      </c>
      <c r="V236" s="1557">
        <f t="shared" si="114"/>
        <v>1</v>
      </c>
      <c r="W236" s="1557">
        <f t="shared" si="114"/>
        <v>1</v>
      </c>
      <c r="X236" s="1557">
        <f>X234/X235</f>
        <v>1</v>
      </c>
      <c r="Y236" s="1557">
        <f t="shared" ref="Y236:AA236" si="115">Y234/Y235</f>
        <v>1</v>
      </c>
      <c r="Z236" s="1557">
        <f t="shared" si="115"/>
        <v>1</v>
      </c>
      <c r="AA236" s="1557">
        <f t="shared" si="115"/>
        <v>1</v>
      </c>
      <c r="AB236" s="1557">
        <f t="shared" ref="AB236:AE236" si="116">AB234/AB235</f>
        <v>1</v>
      </c>
      <c r="AC236" s="1557" t="e">
        <f t="shared" si="116"/>
        <v>#DIV/0!</v>
      </c>
      <c r="AD236" s="1557" t="e">
        <f t="shared" si="116"/>
        <v>#DIV/0!</v>
      </c>
      <c r="AE236" s="1557" t="e">
        <f t="shared" si="116"/>
        <v>#DIV/0!</v>
      </c>
    </row>
    <row r="237" spans="1:31" s="1096" customFormat="1">
      <c r="A237" s="3570"/>
      <c r="B237" s="3581" t="s">
        <v>23</v>
      </c>
      <c r="C237" s="3535">
        <f>COUNTA(A32:A34)</f>
        <v>3</v>
      </c>
      <c r="D237" s="1556">
        <f t="shared" ref="D237:Q237" si="117">COUNTIFS(D32:D34,"&gt;=6",D32:D34,"&lt;=8.5")</f>
        <v>2</v>
      </c>
      <c r="E237" s="1556">
        <f t="shared" si="117"/>
        <v>3</v>
      </c>
      <c r="F237" s="1556">
        <f t="shared" si="117"/>
        <v>3</v>
      </c>
      <c r="G237" s="1556">
        <f t="shared" si="117"/>
        <v>3</v>
      </c>
      <c r="H237" s="1556">
        <f t="shared" si="117"/>
        <v>3</v>
      </c>
      <c r="I237" s="1556">
        <f t="shared" si="117"/>
        <v>3</v>
      </c>
      <c r="J237" s="1556">
        <f t="shared" si="117"/>
        <v>3</v>
      </c>
      <c r="K237" s="1556">
        <f t="shared" si="117"/>
        <v>3</v>
      </c>
      <c r="L237" s="1556">
        <f t="shared" si="117"/>
        <v>3</v>
      </c>
      <c r="M237" s="1556">
        <f t="shared" si="117"/>
        <v>3</v>
      </c>
      <c r="N237" s="1556">
        <f t="shared" si="117"/>
        <v>3</v>
      </c>
      <c r="O237" s="1556">
        <f t="shared" si="117"/>
        <v>3</v>
      </c>
      <c r="P237" s="1556">
        <f t="shared" si="117"/>
        <v>3</v>
      </c>
      <c r="Q237" s="1556">
        <f t="shared" si="117"/>
        <v>3</v>
      </c>
      <c r="R237" s="1556">
        <f>COUNTIFS(R32:R34,"&gt;=6",R32:R34,"&lt;=8.5")</f>
        <v>3</v>
      </c>
      <c r="S237" s="1556">
        <f>COUNTIFS(S32:S34,"&gt;=6",S32:S34,"&lt;=8.5")</f>
        <v>3</v>
      </c>
      <c r="T237" s="3001">
        <f t="shared" ref="T237:W237" si="118">COUNTIFS(T32:T34,"&gt;=6",T32:T34,"&lt;=8.5")</f>
        <v>0</v>
      </c>
      <c r="U237" s="3001">
        <f t="shared" si="118"/>
        <v>0</v>
      </c>
      <c r="V237" s="3001">
        <f t="shared" si="118"/>
        <v>0</v>
      </c>
      <c r="W237" s="3001">
        <f t="shared" si="118"/>
        <v>3</v>
      </c>
      <c r="X237" s="1556">
        <f>COUNTIFS(X31:X33,"&gt;=6",X31:X33,"&lt;=8.5")</f>
        <v>3</v>
      </c>
      <c r="Y237" s="3264">
        <f t="shared" ref="Y237:AA237" si="119">COUNTIFS(Y31:Y33,"&gt;=6",Y31:Y33,"&lt;=8.5")</f>
        <v>3</v>
      </c>
      <c r="Z237" s="3264">
        <f t="shared" si="119"/>
        <v>3</v>
      </c>
      <c r="AA237" s="3264">
        <f t="shared" si="119"/>
        <v>3</v>
      </c>
      <c r="AB237" s="3489">
        <f t="shared" ref="AB237:AE237" si="120">COUNTIFS(AB31:AB33,"&gt;=6",AB31:AB33,"&lt;=8.5")</f>
        <v>3</v>
      </c>
      <c r="AC237" s="3489">
        <f t="shared" si="120"/>
        <v>0</v>
      </c>
      <c r="AD237" s="3489">
        <f t="shared" si="120"/>
        <v>0</v>
      </c>
      <c r="AE237" s="3489">
        <f t="shared" si="120"/>
        <v>0</v>
      </c>
    </row>
    <row r="238" spans="1:31" s="1096" customFormat="1">
      <c r="A238" s="3570"/>
      <c r="B238" s="3582"/>
      <c r="C238" s="3536"/>
      <c r="D238" s="1558">
        <f t="shared" ref="D238:Q238" si="121">COUNT(D32:D34)</f>
        <v>3</v>
      </c>
      <c r="E238" s="1558">
        <f t="shared" si="121"/>
        <v>3</v>
      </c>
      <c r="F238" s="1558">
        <f t="shared" si="121"/>
        <v>3</v>
      </c>
      <c r="G238" s="1558">
        <f t="shared" si="121"/>
        <v>3</v>
      </c>
      <c r="H238" s="1558">
        <f t="shared" si="121"/>
        <v>3</v>
      </c>
      <c r="I238" s="1558">
        <f t="shared" si="121"/>
        <v>3</v>
      </c>
      <c r="J238" s="1558">
        <f t="shared" si="121"/>
        <v>3</v>
      </c>
      <c r="K238" s="1558">
        <f t="shared" si="121"/>
        <v>3</v>
      </c>
      <c r="L238" s="1558">
        <f t="shared" si="121"/>
        <v>3</v>
      </c>
      <c r="M238" s="1558">
        <f t="shared" si="121"/>
        <v>3</v>
      </c>
      <c r="N238" s="1558">
        <f t="shared" si="121"/>
        <v>3</v>
      </c>
      <c r="O238" s="1558">
        <f t="shared" si="121"/>
        <v>3</v>
      </c>
      <c r="P238" s="1558">
        <f t="shared" si="121"/>
        <v>3</v>
      </c>
      <c r="Q238" s="1558">
        <f t="shared" si="121"/>
        <v>3</v>
      </c>
      <c r="R238" s="1558">
        <f>COUNT(R32:R34)</f>
        <v>3</v>
      </c>
      <c r="S238" s="1558">
        <f>COUNT(S32:S34)</f>
        <v>3</v>
      </c>
      <c r="T238" s="3002">
        <f t="shared" ref="T238:W238" si="122">COUNT(T32:T34)</f>
        <v>0</v>
      </c>
      <c r="U238" s="3002">
        <f t="shared" si="122"/>
        <v>0</v>
      </c>
      <c r="V238" s="3002">
        <f t="shared" si="122"/>
        <v>0</v>
      </c>
      <c r="W238" s="3002">
        <f t="shared" si="122"/>
        <v>3</v>
      </c>
      <c r="X238" s="1558">
        <f>COUNT(X31:X33)</f>
        <v>3</v>
      </c>
      <c r="Y238" s="3265">
        <f t="shared" ref="Y238:AA238" si="123">COUNT(Y31:Y33)</f>
        <v>3</v>
      </c>
      <c r="Z238" s="3265">
        <f t="shared" si="123"/>
        <v>3</v>
      </c>
      <c r="AA238" s="3265">
        <f t="shared" si="123"/>
        <v>3</v>
      </c>
      <c r="AB238" s="3490">
        <f t="shared" ref="AB238:AE238" si="124">COUNT(AB31:AB33)</f>
        <v>3</v>
      </c>
      <c r="AC238" s="3490">
        <f t="shared" si="124"/>
        <v>0</v>
      </c>
      <c r="AD238" s="3490">
        <f t="shared" si="124"/>
        <v>0</v>
      </c>
      <c r="AE238" s="3490">
        <f t="shared" si="124"/>
        <v>0</v>
      </c>
    </row>
    <row r="239" spans="1:31" s="1106" customFormat="1">
      <c r="A239" s="3570"/>
      <c r="B239" s="3583"/>
      <c r="C239" s="3537"/>
      <c r="D239" s="1557">
        <f t="shared" ref="D239:Q239" si="125">D237/D238</f>
        <v>0.66666666666666663</v>
      </c>
      <c r="E239" s="1557">
        <f t="shared" si="125"/>
        <v>1</v>
      </c>
      <c r="F239" s="1557">
        <f t="shared" si="125"/>
        <v>1</v>
      </c>
      <c r="G239" s="1557">
        <f t="shared" si="125"/>
        <v>1</v>
      </c>
      <c r="H239" s="1557">
        <f t="shared" si="125"/>
        <v>1</v>
      </c>
      <c r="I239" s="1557">
        <f t="shared" si="125"/>
        <v>1</v>
      </c>
      <c r="J239" s="1557">
        <f t="shared" si="125"/>
        <v>1</v>
      </c>
      <c r="K239" s="1557">
        <f t="shared" si="125"/>
        <v>1</v>
      </c>
      <c r="L239" s="1557">
        <f t="shared" si="125"/>
        <v>1</v>
      </c>
      <c r="M239" s="1557">
        <f t="shared" si="125"/>
        <v>1</v>
      </c>
      <c r="N239" s="1557">
        <f t="shared" si="125"/>
        <v>1</v>
      </c>
      <c r="O239" s="1557">
        <f t="shared" si="125"/>
        <v>1</v>
      </c>
      <c r="P239" s="1557">
        <f t="shared" si="125"/>
        <v>1</v>
      </c>
      <c r="Q239" s="1557">
        <f t="shared" si="125"/>
        <v>1</v>
      </c>
      <c r="R239" s="1557">
        <f>R237/R238</f>
        <v>1</v>
      </c>
      <c r="S239" s="1557">
        <f>S237/S238</f>
        <v>1</v>
      </c>
      <c r="T239" s="1557" t="e">
        <f t="shared" ref="T239:W239" si="126">T237/T238</f>
        <v>#DIV/0!</v>
      </c>
      <c r="U239" s="1557" t="e">
        <f t="shared" si="126"/>
        <v>#DIV/0!</v>
      </c>
      <c r="V239" s="1557" t="e">
        <f t="shared" si="126"/>
        <v>#DIV/0!</v>
      </c>
      <c r="W239" s="1557">
        <f t="shared" si="126"/>
        <v>1</v>
      </c>
      <c r="X239" s="1557">
        <f>X237/X238</f>
        <v>1</v>
      </c>
      <c r="Y239" s="1557">
        <f t="shared" ref="Y239:AA239" si="127">Y237/Y238</f>
        <v>1</v>
      </c>
      <c r="Z239" s="1557">
        <f t="shared" si="127"/>
        <v>1</v>
      </c>
      <c r="AA239" s="1557">
        <f t="shared" si="127"/>
        <v>1</v>
      </c>
      <c r="AB239" s="1557">
        <f t="shared" ref="AB239:AE239" si="128">AB237/AB238</f>
        <v>1</v>
      </c>
      <c r="AC239" s="1557" t="e">
        <f t="shared" si="128"/>
        <v>#DIV/0!</v>
      </c>
      <c r="AD239" s="1557" t="e">
        <f t="shared" si="128"/>
        <v>#DIV/0!</v>
      </c>
      <c r="AE239" s="1557" t="e">
        <f t="shared" si="128"/>
        <v>#DIV/0!</v>
      </c>
    </row>
    <row r="240" spans="1:31" s="1096" customFormat="1">
      <c r="A240" s="3570"/>
      <c r="B240" s="3581" t="s">
        <v>6</v>
      </c>
      <c r="C240" s="3535">
        <f>COUNTA(A35:A39)</f>
        <v>5</v>
      </c>
      <c r="D240" s="1556">
        <f t="shared" ref="D240:Q240" si="129">COUNTIFS(D35:D39,"&gt;=6",D35:D39,"&lt;=8.5")</f>
        <v>0</v>
      </c>
      <c r="E240" s="1556">
        <f t="shared" si="129"/>
        <v>5</v>
      </c>
      <c r="F240" s="1556">
        <f t="shared" si="129"/>
        <v>5</v>
      </c>
      <c r="G240" s="1556">
        <f t="shared" si="129"/>
        <v>5</v>
      </c>
      <c r="H240" s="1556">
        <f t="shared" si="129"/>
        <v>3</v>
      </c>
      <c r="I240" s="1556">
        <f t="shared" si="129"/>
        <v>5</v>
      </c>
      <c r="J240" s="1556">
        <f t="shared" si="129"/>
        <v>5</v>
      </c>
      <c r="K240" s="1556">
        <f t="shared" si="129"/>
        <v>4</v>
      </c>
      <c r="L240" s="1556">
        <f t="shared" si="129"/>
        <v>1</v>
      </c>
      <c r="M240" s="1556">
        <f t="shared" si="129"/>
        <v>3</v>
      </c>
      <c r="N240" s="1556">
        <f t="shared" si="129"/>
        <v>3</v>
      </c>
      <c r="O240" s="1556">
        <f t="shared" si="129"/>
        <v>0</v>
      </c>
      <c r="P240" s="1556">
        <f t="shared" si="129"/>
        <v>0</v>
      </c>
      <c r="Q240" s="1556">
        <f t="shared" si="129"/>
        <v>0</v>
      </c>
      <c r="R240" s="1556">
        <f>COUNTIFS(R35:R39,"&gt;=6",R35:R39,"&lt;=8.5")</f>
        <v>0</v>
      </c>
      <c r="S240" s="1556">
        <f>COUNTIFS(S35:S39,"&gt;=6",S35:S39,"&lt;=8.5")</f>
        <v>4</v>
      </c>
      <c r="T240" s="3001">
        <f t="shared" ref="T240:W240" si="130">COUNTIFS(T35:T39,"&gt;=6",T35:T39,"&lt;=8.5")</f>
        <v>0</v>
      </c>
      <c r="U240" s="3001">
        <f t="shared" si="130"/>
        <v>0</v>
      </c>
      <c r="V240" s="3001">
        <f t="shared" si="130"/>
        <v>0</v>
      </c>
      <c r="W240" s="3001">
        <f t="shared" si="130"/>
        <v>5</v>
      </c>
      <c r="X240" s="1556">
        <f>COUNTIFS(X34:X38,"&gt;=6",X34:X38,"&lt;=8.5")</f>
        <v>5</v>
      </c>
      <c r="Y240" s="3264">
        <f t="shared" ref="Y240:AA240" si="131">COUNTIFS(Y34:Y38,"&gt;=6",Y34:Y38,"&lt;=8.5")</f>
        <v>5</v>
      </c>
      <c r="Z240" s="3264">
        <f t="shared" si="131"/>
        <v>5</v>
      </c>
      <c r="AA240" s="3264">
        <f t="shared" si="131"/>
        <v>5</v>
      </c>
      <c r="AB240" s="3489">
        <f t="shared" ref="AB240:AE240" si="132">COUNTIFS(AB34:AB38,"&gt;=6",AB34:AB38,"&lt;=8.5")</f>
        <v>5</v>
      </c>
      <c r="AC240" s="3489">
        <f t="shared" si="132"/>
        <v>0</v>
      </c>
      <c r="AD240" s="3489">
        <f t="shared" si="132"/>
        <v>0</v>
      </c>
      <c r="AE240" s="3489">
        <f t="shared" si="132"/>
        <v>0</v>
      </c>
    </row>
    <row r="241" spans="1:31" s="1096" customFormat="1">
      <c r="A241" s="3570"/>
      <c r="B241" s="3582"/>
      <c r="C241" s="3536"/>
      <c r="D241" s="1558">
        <f t="shared" ref="D241:Q241" si="133">COUNT(D35:D39)</f>
        <v>5</v>
      </c>
      <c r="E241" s="1558">
        <f t="shared" si="133"/>
        <v>5</v>
      </c>
      <c r="F241" s="1558">
        <f t="shared" si="133"/>
        <v>5</v>
      </c>
      <c r="G241" s="1558">
        <f t="shared" si="133"/>
        <v>5</v>
      </c>
      <c r="H241" s="1558">
        <f t="shared" si="133"/>
        <v>5</v>
      </c>
      <c r="I241" s="1558">
        <f t="shared" si="133"/>
        <v>5</v>
      </c>
      <c r="J241" s="1558">
        <f t="shared" si="133"/>
        <v>5</v>
      </c>
      <c r="K241" s="1558">
        <f t="shared" si="133"/>
        <v>5</v>
      </c>
      <c r="L241" s="1558">
        <f t="shared" si="133"/>
        <v>5</v>
      </c>
      <c r="M241" s="1558">
        <f t="shared" si="133"/>
        <v>5</v>
      </c>
      <c r="N241" s="1558">
        <f t="shared" si="133"/>
        <v>5</v>
      </c>
      <c r="O241" s="1558">
        <f t="shared" si="133"/>
        <v>0</v>
      </c>
      <c r="P241" s="1558">
        <f t="shared" si="133"/>
        <v>0</v>
      </c>
      <c r="Q241" s="1558">
        <f t="shared" si="133"/>
        <v>0</v>
      </c>
      <c r="R241" s="1558">
        <f>COUNT(R35:R39)</f>
        <v>0</v>
      </c>
      <c r="S241" s="1558">
        <f>COUNT(S35:S39)</f>
        <v>5</v>
      </c>
      <c r="T241" s="3002">
        <f t="shared" ref="T241:W241" si="134">COUNT(T35:T39)</f>
        <v>0</v>
      </c>
      <c r="U241" s="3002">
        <f t="shared" si="134"/>
        <v>0</v>
      </c>
      <c r="V241" s="3002">
        <f t="shared" si="134"/>
        <v>0</v>
      </c>
      <c r="W241" s="3002">
        <f t="shared" si="134"/>
        <v>5</v>
      </c>
      <c r="X241" s="1558">
        <f>COUNT(X34:X38)</f>
        <v>5</v>
      </c>
      <c r="Y241" s="3265">
        <f t="shared" ref="Y241:AA241" si="135">COUNT(Y34:Y38)</f>
        <v>5</v>
      </c>
      <c r="Z241" s="3265">
        <f t="shared" si="135"/>
        <v>5</v>
      </c>
      <c r="AA241" s="3265">
        <f t="shared" si="135"/>
        <v>5</v>
      </c>
      <c r="AB241" s="3490">
        <f t="shared" ref="AB241:AE241" si="136">COUNT(AB34:AB38)</f>
        <v>5</v>
      </c>
      <c r="AC241" s="3490">
        <f t="shared" si="136"/>
        <v>0</v>
      </c>
      <c r="AD241" s="3490">
        <f t="shared" si="136"/>
        <v>0</v>
      </c>
      <c r="AE241" s="3490">
        <f t="shared" si="136"/>
        <v>0</v>
      </c>
    </row>
    <row r="242" spans="1:31" s="1106" customFormat="1">
      <c r="A242" s="3570"/>
      <c r="B242" s="3583"/>
      <c r="C242" s="3537"/>
      <c r="D242" s="1557">
        <f t="shared" ref="D242:Q242" si="137">D240/D241</f>
        <v>0</v>
      </c>
      <c r="E242" s="1557">
        <f t="shared" si="137"/>
        <v>1</v>
      </c>
      <c r="F242" s="1557">
        <f t="shared" si="137"/>
        <v>1</v>
      </c>
      <c r="G242" s="1557">
        <f t="shared" si="137"/>
        <v>1</v>
      </c>
      <c r="H242" s="1557">
        <f t="shared" si="137"/>
        <v>0.6</v>
      </c>
      <c r="I242" s="1557">
        <f t="shared" si="137"/>
        <v>1</v>
      </c>
      <c r="J242" s="1557">
        <f t="shared" si="137"/>
        <v>1</v>
      </c>
      <c r="K242" s="1557">
        <f t="shared" si="137"/>
        <v>0.8</v>
      </c>
      <c r="L242" s="1557">
        <f t="shared" si="137"/>
        <v>0.2</v>
      </c>
      <c r="M242" s="1557">
        <f t="shared" si="137"/>
        <v>0.6</v>
      </c>
      <c r="N242" s="1557">
        <f t="shared" si="137"/>
        <v>0.6</v>
      </c>
      <c r="O242" s="1557" t="e">
        <f t="shared" si="137"/>
        <v>#DIV/0!</v>
      </c>
      <c r="P242" s="1557" t="e">
        <f t="shared" si="137"/>
        <v>#DIV/0!</v>
      </c>
      <c r="Q242" s="1557" t="e">
        <f t="shared" si="137"/>
        <v>#DIV/0!</v>
      </c>
      <c r="R242" s="1557" t="e">
        <f>R240/R241</f>
        <v>#DIV/0!</v>
      </c>
      <c r="S242" s="1557">
        <f>S240/S241</f>
        <v>0.8</v>
      </c>
      <c r="T242" s="1557" t="e">
        <f t="shared" ref="T242:W242" si="138">T240/T241</f>
        <v>#DIV/0!</v>
      </c>
      <c r="U242" s="1557" t="e">
        <f t="shared" si="138"/>
        <v>#DIV/0!</v>
      </c>
      <c r="V242" s="1557" t="e">
        <f t="shared" si="138"/>
        <v>#DIV/0!</v>
      </c>
      <c r="W242" s="1557">
        <f t="shared" si="138"/>
        <v>1</v>
      </c>
      <c r="X242" s="1557">
        <f>X240/X241</f>
        <v>1</v>
      </c>
      <c r="Y242" s="1557">
        <f t="shared" ref="Y242:AA242" si="139">Y240/Y241</f>
        <v>1</v>
      </c>
      <c r="Z242" s="1557">
        <f t="shared" si="139"/>
        <v>1</v>
      </c>
      <c r="AA242" s="1557">
        <f t="shared" si="139"/>
        <v>1</v>
      </c>
      <c r="AB242" s="1557">
        <f t="shared" ref="AB242:AE242" si="140">AB240/AB241</f>
        <v>1</v>
      </c>
      <c r="AC242" s="1557" t="e">
        <f t="shared" si="140"/>
        <v>#DIV/0!</v>
      </c>
      <c r="AD242" s="1557" t="e">
        <f t="shared" si="140"/>
        <v>#DIV/0!</v>
      </c>
      <c r="AE242" s="1557" t="e">
        <f t="shared" si="140"/>
        <v>#DIV/0!</v>
      </c>
    </row>
    <row r="243" spans="1:31" s="1096" customFormat="1">
      <c r="A243" s="3570"/>
      <c r="B243" s="3581" t="s">
        <v>28</v>
      </c>
      <c r="C243" s="3535">
        <f>COUNTA(A40:A42)</f>
        <v>3</v>
      </c>
      <c r="D243" s="1556">
        <f t="shared" ref="D243:Q243" si="141">COUNTIFS(D40:D42,"&gt;=6",D40:D42,"&lt;=8.5")</f>
        <v>0</v>
      </c>
      <c r="E243" s="1556">
        <f t="shared" si="141"/>
        <v>3</v>
      </c>
      <c r="F243" s="1556">
        <f t="shared" si="141"/>
        <v>3</v>
      </c>
      <c r="G243" s="1556">
        <f t="shared" si="141"/>
        <v>3</v>
      </c>
      <c r="H243" s="1556">
        <f t="shared" si="141"/>
        <v>3</v>
      </c>
      <c r="I243" s="1556">
        <f t="shared" si="141"/>
        <v>3</v>
      </c>
      <c r="J243" s="1556">
        <f t="shared" si="141"/>
        <v>3</v>
      </c>
      <c r="K243" s="1556">
        <f t="shared" si="141"/>
        <v>3</v>
      </c>
      <c r="L243" s="1556">
        <f t="shared" si="141"/>
        <v>2</v>
      </c>
      <c r="M243" s="1556">
        <f t="shared" si="141"/>
        <v>3</v>
      </c>
      <c r="N243" s="1556">
        <f t="shared" si="141"/>
        <v>3</v>
      </c>
      <c r="O243" s="1556">
        <f t="shared" si="141"/>
        <v>3</v>
      </c>
      <c r="P243" s="1556">
        <f t="shared" si="141"/>
        <v>3</v>
      </c>
      <c r="Q243" s="1556">
        <f t="shared" si="141"/>
        <v>3</v>
      </c>
      <c r="R243" s="1556">
        <f>COUNTIFS(R40:R42,"&gt;=6",R40:R42,"&lt;=8.5")</f>
        <v>3</v>
      </c>
      <c r="S243" s="1556">
        <f>COUNTIFS(S40:S42,"&gt;=6",S40:S42,"&lt;=8.5")</f>
        <v>3</v>
      </c>
      <c r="T243" s="3001">
        <f t="shared" ref="T243:W243" si="142">COUNTIFS(T40:T42,"&gt;=6",T40:T42,"&lt;=8.5")</f>
        <v>0</v>
      </c>
      <c r="U243" s="3001">
        <f t="shared" si="142"/>
        <v>0</v>
      </c>
      <c r="V243" s="3001">
        <f t="shared" si="142"/>
        <v>0</v>
      </c>
      <c r="W243" s="3001">
        <f t="shared" si="142"/>
        <v>3</v>
      </c>
      <c r="X243" s="1556">
        <f>COUNTIFS(X39:X41,"&gt;=6",X39:X41,"&lt;=8.5")</f>
        <v>2</v>
      </c>
      <c r="Y243" s="3264">
        <f t="shared" ref="Y243:AA243" si="143">COUNTIFS(Y39:Y41,"&gt;=6",Y39:Y41,"&lt;=8.5")</f>
        <v>3</v>
      </c>
      <c r="Z243" s="3264">
        <f t="shared" si="143"/>
        <v>3</v>
      </c>
      <c r="AA243" s="3264">
        <f t="shared" si="143"/>
        <v>3</v>
      </c>
      <c r="AB243" s="3489">
        <f t="shared" ref="AB243:AE243" si="144">COUNTIFS(AB39:AB41,"&gt;=6",AB39:AB41,"&lt;=8.5")</f>
        <v>3</v>
      </c>
      <c r="AC243" s="3489">
        <f t="shared" si="144"/>
        <v>0</v>
      </c>
      <c r="AD243" s="3489">
        <f t="shared" si="144"/>
        <v>0</v>
      </c>
      <c r="AE243" s="3489">
        <f t="shared" si="144"/>
        <v>0</v>
      </c>
    </row>
    <row r="244" spans="1:31" s="1096" customFormat="1">
      <c r="A244" s="3570"/>
      <c r="B244" s="3582"/>
      <c r="C244" s="3536"/>
      <c r="D244" s="1558">
        <f t="shared" ref="D244:Q244" si="145">COUNT(D40:D42)</f>
        <v>3</v>
      </c>
      <c r="E244" s="1558">
        <f t="shared" si="145"/>
        <v>3</v>
      </c>
      <c r="F244" s="1558">
        <f t="shared" si="145"/>
        <v>3</v>
      </c>
      <c r="G244" s="1558">
        <f t="shared" si="145"/>
        <v>3</v>
      </c>
      <c r="H244" s="1558">
        <f t="shared" si="145"/>
        <v>3</v>
      </c>
      <c r="I244" s="1558">
        <f t="shared" si="145"/>
        <v>3</v>
      </c>
      <c r="J244" s="1558">
        <f t="shared" si="145"/>
        <v>3</v>
      </c>
      <c r="K244" s="1558">
        <f t="shared" si="145"/>
        <v>3</v>
      </c>
      <c r="L244" s="1558">
        <f t="shared" si="145"/>
        <v>3</v>
      </c>
      <c r="M244" s="1558">
        <f t="shared" si="145"/>
        <v>3</v>
      </c>
      <c r="N244" s="1558">
        <f t="shared" si="145"/>
        <v>3</v>
      </c>
      <c r="O244" s="1558">
        <f t="shared" si="145"/>
        <v>3</v>
      </c>
      <c r="P244" s="1558">
        <f t="shared" si="145"/>
        <v>3</v>
      </c>
      <c r="Q244" s="1558">
        <f t="shared" si="145"/>
        <v>3</v>
      </c>
      <c r="R244" s="1558">
        <f>COUNT(R40:R42)</f>
        <v>3</v>
      </c>
      <c r="S244" s="1558">
        <f>COUNT(S40:S42)</f>
        <v>3</v>
      </c>
      <c r="T244" s="3002">
        <f t="shared" ref="T244:W244" si="146">COUNT(T40:T42)</f>
        <v>0</v>
      </c>
      <c r="U244" s="3002">
        <f t="shared" si="146"/>
        <v>0</v>
      </c>
      <c r="V244" s="3002">
        <f t="shared" si="146"/>
        <v>0</v>
      </c>
      <c r="W244" s="3002">
        <f t="shared" si="146"/>
        <v>3</v>
      </c>
      <c r="X244" s="1558">
        <f>COUNT(X39:X41)</f>
        <v>3</v>
      </c>
      <c r="Y244" s="3265">
        <f t="shared" ref="Y244:AA244" si="147">COUNT(Y39:Y41)</f>
        <v>3</v>
      </c>
      <c r="Z244" s="3265">
        <f t="shared" si="147"/>
        <v>3</v>
      </c>
      <c r="AA244" s="3265">
        <f t="shared" si="147"/>
        <v>3</v>
      </c>
      <c r="AB244" s="3490">
        <f t="shared" ref="AB244:AE244" si="148">COUNT(AB39:AB41)</f>
        <v>3</v>
      </c>
      <c r="AC244" s="3490">
        <f t="shared" si="148"/>
        <v>0</v>
      </c>
      <c r="AD244" s="3490">
        <f t="shared" si="148"/>
        <v>0</v>
      </c>
      <c r="AE244" s="3490">
        <f t="shared" si="148"/>
        <v>0</v>
      </c>
    </row>
    <row r="245" spans="1:31" s="1106" customFormat="1">
      <c r="A245" s="3570"/>
      <c r="B245" s="3583"/>
      <c r="C245" s="3537"/>
      <c r="D245" s="1557">
        <f t="shared" ref="D245:Q245" si="149">D243/D244</f>
        <v>0</v>
      </c>
      <c r="E245" s="1557">
        <f t="shared" si="149"/>
        <v>1</v>
      </c>
      <c r="F245" s="1557">
        <f t="shared" si="149"/>
        <v>1</v>
      </c>
      <c r="G245" s="1557">
        <f t="shared" si="149"/>
        <v>1</v>
      </c>
      <c r="H245" s="1557">
        <f t="shared" si="149"/>
        <v>1</v>
      </c>
      <c r="I245" s="1557">
        <f t="shared" si="149"/>
        <v>1</v>
      </c>
      <c r="J245" s="1557">
        <f t="shared" si="149"/>
        <v>1</v>
      </c>
      <c r="K245" s="1557">
        <f t="shared" si="149"/>
        <v>1</v>
      </c>
      <c r="L245" s="1557">
        <f t="shared" si="149"/>
        <v>0.66666666666666663</v>
      </c>
      <c r="M245" s="1557">
        <f t="shared" si="149"/>
        <v>1</v>
      </c>
      <c r="N245" s="1557">
        <f t="shared" si="149"/>
        <v>1</v>
      </c>
      <c r="O245" s="1557">
        <f t="shared" si="149"/>
        <v>1</v>
      </c>
      <c r="P245" s="1557">
        <f t="shared" si="149"/>
        <v>1</v>
      </c>
      <c r="Q245" s="1557">
        <f t="shared" si="149"/>
        <v>1</v>
      </c>
      <c r="R245" s="1557">
        <f>R243/R244</f>
        <v>1</v>
      </c>
      <c r="S245" s="1557">
        <f>S243/S244</f>
        <v>1</v>
      </c>
      <c r="T245" s="1557" t="e">
        <f t="shared" ref="T245:W245" si="150">T243/T244</f>
        <v>#DIV/0!</v>
      </c>
      <c r="U245" s="1557" t="e">
        <f t="shared" si="150"/>
        <v>#DIV/0!</v>
      </c>
      <c r="V245" s="1557" t="e">
        <f t="shared" si="150"/>
        <v>#DIV/0!</v>
      </c>
      <c r="W245" s="1557">
        <f t="shared" si="150"/>
        <v>1</v>
      </c>
      <c r="X245" s="1557">
        <f>X243/X244</f>
        <v>0.66666666666666663</v>
      </c>
      <c r="Y245" s="1557">
        <f t="shared" ref="Y245:AA245" si="151">Y243/Y244</f>
        <v>1</v>
      </c>
      <c r="Z245" s="1557">
        <f t="shared" si="151"/>
        <v>1</v>
      </c>
      <c r="AA245" s="1557">
        <f t="shared" si="151"/>
        <v>1</v>
      </c>
      <c r="AB245" s="1557">
        <f t="shared" ref="AB245:AE245" si="152">AB243/AB244</f>
        <v>1</v>
      </c>
      <c r="AC245" s="1557" t="e">
        <f t="shared" si="152"/>
        <v>#DIV/0!</v>
      </c>
      <c r="AD245" s="1557" t="e">
        <f t="shared" si="152"/>
        <v>#DIV/0!</v>
      </c>
      <c r="AE245" s="1557" t="e">
        <f t="shared" si="152"/>
        <v>#DIV/0!</v>
      </c>
    </row>
    <row r="246" spans="1:31" s="1096" customFormat="1">
      <c r="A246" s="3570"/>
      <c r="B246" s="3581" t="s">
        <v>8</v>
      </c>
      <c r="C246" s="3535">
        <f>COUNTA(A43:A45)</f>
        <v>3</v>
      </c>
      <c r="D246" s="1556">
        <f t="shared" ref="D246:Q246" si="153">COUNTIFS(D43:D45,"&gt;=6",D43:D45,"&lt;=8.5")</f>
        <v>0</v>
      </c>
      <c r="E246" s="1556">
        <f t="shared" si="153"/>
        <v>0</v>
      </c>
      <c r="F246" s="1556">
        <f t="shared" si="153"/>
        <v>3</v>
      </c>
      <c r="G246" s="1556">
        <f t="shared" si="153"/>
        <v>3</v>
      </c>
      <c r="H246" s="1556">
        <f t="shared" si="153"/>
        <v>3</v>
      </c>
      <c r="I246" s="1556">
        <f t="shared" si="153"/>
        <v>3</v>
      </c>
      <c r="J246" s="1556">
        <f t="shared" si="153"/>
        <v>3</v>
      </c>
      <c r="K246" s="1556">
        <f t="shared" si="153"/>
        <v>2</v>
      </c>
      <c r="L246" s="1556">
        <f t="shared" si="153"/>
        <v>2</v>
      </c>
      <c r="M246" s="1556">
        <f t="shared" si="153"/>
        <v>3</v>
      </c>
      <c r="N246" s="1556">
        <f t="shared" si="153"/>
        <v>3</v>
      </c>
      <c r="O246" s="1556">
        <f t="shared" si="153"/>
        <v>0</v>
      </c>
      <c r="P246" s="1556">
        <f t="shared" si="153"/>
        <v>3</v>
      </c>
      <c r="Q246" s="1556">
        <f t="shared" si="153"/>
        <v>2</v>
      </c>
      <c r="R246" s="1556">
        <f>COUNTIFS(R43:R45,"&gt;=6",R43:R45,"&lt;=8.5")</f>
        <v>3</v>
      </c>
      <c r="S246" s="1556">
        <f>COUNTIFS(S43:S45,"&gt;=6",S43:S45,"&lt;=8.5")</f>
        <v>3</v>
      </c>
      <c r="T246" s="3001">
        <f t="shared" ref="T246:W246" si="154">COUNTIFS(T43:T45,"&gt;=6",T43:T45,"&lt;=8.5")</f>
        <v>0</v>
      </c>
      <c r="U246" s="3001">
        <f t="shared" si="154"/>
        <v>0</v>
      </c>
      <c r="V246" s="3001">
        <f t="shared" si="154"/>
        <v>0</v>
      </c>
      <c r="W246" s="3001">
        <f t="shared" si="154"/>
        <v>3</v>
      </c>
      <c r="X246" s="1556">
        <f>COUNTIFS(X42:X44,"&gt;=6",X42:X44,"&lt;=8.5")</f>
        <v>3</v>
      </c>
      <c r="Y246" s="3264">
        <f t="shared" ref="Y246:AA246" si="155">COUNTIFS(Y42:Y44,"&gt;=6",Y42:Y44,"&lt;=8.5")</f>
        <v>3</v>
      </c>
      <c r="Z246" s="3264">
        <f t="shared" si="155"/>
        <v>3</v>
      </c>
      <c r="AA246" s="3264">
        <f t="shared" si="155"/>
        <v>3</v>
      </c>
      <c r="AB246" s="3489">
        <f t="shared" ref="AB246:AE246" si="156">COUNTIFS(AB42:AB44,"&gt;=6",AB42:AB44,"&lt;=8.5")</f>
        <v>3</v>
      </c>
      <c r="AC246" s="3489">
        <f t="shared" si="156"/>
        <v>0</v>
      </c>
      <c r="AD246" s="3489">
        <f t="shared" si="156"/>
        <v>0</v>
      </c>
      <c r="AE246" s="3489">
        <f t="shared" si="156"/>
        <v>0</v>
      </c>
    </row>
    <row r="247" spans="1:31" s="1096" customFormat="1">
      <c r="A247" s="3570"/>
      <c r="B247" s="3582"/>
      <c r="C247" s="3536"/>
      <c r="D247" s="1558">
        <f t="shared" ref="D247:Q247" si="157">COUNT(D43:D45)</f>
        <v>0</v>
      </c>
      <c r="E247" s="1558">
        <f t="shared" si="157"/>
        <v>0</v>
      </c>
      <c r="F247" s="1558">
        <f t="shared" si="157"/>
        <v>3</v>
      </c>
      <c r="G247" s="1558">
        <f t="shared" si="157"/>
        <v>3</v>
      </c>
      <c r="H247" s="1558">
        <f t="shared" si="157"/>
        <v>3</v>
      </c>
      <c r="I247" s="1558">
        <f t="shared" si="157"/>
        <v>3</v>
      </c>
      <c r="J247" s="1558">
        <f t="shared" si="157"/>
        <v>3</v>
      </c>
      <c r="K247" s="1558">
        <f t="shared" si="157"/>
        <v>3</v>
      </c>
      <c r="L247" s="1558">
        <f t="shared" si="157"/>
        <v>3</v>
      </c>
      <c r="M247" s="1558">
        <f t="shared" si="157"/>
        <v>3</v>
      </c>
      <c r="N247" s="1558">
        <f t="shared" si="157"/>
        <v>3</v>
      </c>
      <c r="O247" s="1558">
        <f t="shared" si="157"/>
        <v>3</v>
      </c>
      <c r="P247" s="1558">
        <f t="shared" si="157"/>
        <v>3</v>
      </c>
      <c r="Q247" s="1558">
        <f t="shared" si="157"/>
        <v>3</v>
      </c>
      <c r="R247" s="1558">
        <f>COUNT(R43:R45)</f>
        <v>3</v>
      </c>
      <c r="S247" s="1558">
        <f>COUNT(S43:S45)</f>
        <v>3</v>
      </c>
      <c r="T247" s="3002">
        <f t="shared" ref="T247:W247" si="158">COUNT(T43:T45)</f>
        <v>0</v>
      </c>
      <c r="U247" s="3002">
        <f t="shared" si="158"/>
        <v>0</v>
      </c>
      <c r="V247" s="3002">
        <f t="shared" si="158"/>
        <v>0</v>
      </c>
      <c r="W247" s="3002">
        <f t="shared" si="158"/>
        <v>3</v>
      </c>
      <c r="X247" s="1558">
        <f>COUNT(X42:X44)</f>
        <v>3</v>
      </c>
      <c r="Y247" s="3265">
        <f t="shared" ref="Y247:AA247" si="159">COUNT(Y42:Y44)</f>
        <v>3</v>
      </c>
      <c r="Z247" s="3265">
        <f t="shared" si="159"/>
        <v>3</v>
      </c>
      <c r="AA247" s="3265">
        <f t="shared" si="159"/>
        <v>3</v>
      </c>
      <c r="AB247" s="3490">
        <f t="shared" ref="AB247:AE247" si="160">COUNT(AB42:AB44)</f>
        <v>3</v>
      </c>
      <c r="AC247" s="3490">
        <f t="shared" si="160"/>
        <v>0</v>
      </c>
      <c r="AD247" s="3490">
        <f t="shared" si="160"/>
        <v>0</v>
      </c>
      <c r="AE247" s="3490">
        <f t="shared" si="160"/>
        <v>0</v>
      </c>
    </row>
    <row r="248" spans="1:31" s="1106" customFormat="1">
      <c r="A248" s="3571"/>
      <c r="B248" s="3583"/>
      <c r="C248" s="3537"/>
      <c r="D248" s="1557" t="e">
        <f t="shared" ref="D248:Q248" si="161">D246/D247</f>
        <v>#DIV/0!</v>
      </c>
      <c r="E248" s="1557" t="e">
        <f t="shared" si="161"/>
        <v>#DIV/0!</v>
      </c>
      <c r="F248" s="1557">
        <f t="shared" si="161"/>
        <v>1</v>
      </c>
      <c r="G248" s="1557">
        <f t="shared" si="161"/>
        <v>1</v>
      </c>
      <c r="H248" s="1557">
        <f t="shared" si="161"/>
        <v>1</v>
      </c>
      <c r="I248" s="1557">
        <f t="shared" si="161"/>
        <v>1</v>
      </c>
      <c r="J248" s="1557">
        <f t="shared" si="161"/>
        <v>1</v>
      </c>
      <c r="K248" s="1557">
        <f t="shared" si="161"/>
        <v>0.66666666666666663</v>
      </c>
      <c r="L248" s="1557">
        <f t="shared" si="161"/>
        <v>0.66666666666666663</v>
      </c>
      <c r="M248" s="1557">
        <f t="shared" si="161"/>
        <v>1</v>
      </c>
      <c r="N248" s="1557">
        <f t="shared" si="161"/>
        <v>1</v>
      </c>
      <c r="O248" s="1557">
        <f t="shared" si="161"/>
        <v>0</v>
      </c>
      <c r="P248" s="1557">
        <f t="shared" si="161"/>
        <v>1</v>
      </c>
      <c r="Q248" s="1557">
        <f t="shared" si="161"/>
        <v>0.66666666666666663</v>
      </c>
      <c r="R248" s="1557">
        <f>R246/R247</f>
        <v>1</v>
      </c>
      <c r="S248" s="1557">
        <f>S246/S247</f>
        <v>1</v>
      </c>
      <c r="T248" s="1557" t="e">
        <f t="shared" ref="T248:W248" si="162">T246/T247</f>
        <v>#DIV/0!</v>
      </c>
      <c r="U248" s="1557" t="e">
        <f t="shared" si="162"/>
        <v>#DIV/0!</v>
      </c>
      <c r="V248" s="1557" t="e">
        <f t="shared" si="162"/>
        <v>#DIV/0!</v>
      </c>
      <c r="W248" s="1557">
        <f t="shared" si="162"/>
        <v>1</v>
      </c>
      <c r="X248" s="1557">
        <f>X246/X247</f>
        <v>1</v>
      </c>
      <c r="Y248" s="1557">
        <f t="shared" ref="Y248:AA248" si="163">Y246/Y247</f>
        <v>1</v>
      </c>
      <c r="Z248" s="1557">
        <f t="shared" si="163"/>
        <v>1</v>
      </c>
      <c r="AA248" s="1557">
        <f t="shared" si="163"/>
        <v>1</v>
      </c>
      <c r="AB248" s="1557">
        <f t="shared" ref="AB248:AE248" si="164">AB246/AB247</f>
        <v>1</v>
      </c>
      <c r="AC248" s="1557" t="e">
        <f t="shared" si="164"/>
        <v>#DIV/0!</v>
      </c>
      <c r="AD248" s="1557" t="e">
        <f t="shared" si="164"/>
        <v>#DIV/0!</v>
      </c>
      <c r="AE248" s="1557" t="e">
        <f t="shared" si="164"/>
        <v>#DIV/0!</v>
      </c>
    </row>
    <row r="249" spans="1:31" s="1096" customFormat="1">
      <c r="A249" s="3569" t="s">
        <v>126</v>
      </c>
      <c r="B249" s="3565" t="s">
        <v>42</v>
      </c>
      <c r="C249" s="3535">
        <f>COUNTA(A68:A74)</f>
        <v>7</v>
      </c>
      <c r="D249" s="1556">
        <f t="shared" ref="D249:Q249" si="165">COUNTIFS(D68:D74,"&gt;=6",D68:D74,"&lt;=8.5")</f>
        <v>6</v>
      </c>
      <c r="E249" s="1556">
        <f t="shared" si="165"/>
        <v>7</v>
      </c>
      <c r="F249" s="1556">
        <f t="shared" si="165"/>
        <v>7</v>
      </c>
      <c r="G249" s="1556">
        <f t="shared" si="165"/>
        <v>7</v>
      </c>
      <c r="H249" s="1556">
        <f t="shared" si="165"/>
        <v>7</v>
      </c>
      <c r="I249" s="1556">
        <f t="shared" si="165"/>
        <v>5</v>
      </c>
      <c r="J249" s="1556">
        <f t="shared" si="165"/>
        <v>7</v>
      </c>
      <c r="K249" s="1556">
        <f t="shared" si="165"/>
        <v>4</v>
      </c>
      <c r="L249" s="1556">
        <f t="shared" si="165"/>
        <v>0</v>
      </c>
      <c r="M249" s="1556">
        <f t="shared" si="165"/>
        <v>6</v>
      </c>
      <c r="N249" s="1556">
        <f t="shared" si="165"/>
        <v>7</v>
      </c>
      <c r="O249" s="1556">
        <f t="shared" si="165"/>
        <v>0</v>
      </c>
      <c r="P249" s="1556">
        <f t="shared" si="165"/>
        <v>7</v>
      </c>
      <c r="Q249" s="1556">
        <f t="shared" si="165"/>
        <v>7</v>
      </c>
      <c r="R249" s="1556">
        <f>COUNTIFS(R68:R74,"&gt;=6",R68:R74,"&lt;=8.5")</f>
        <v>7</v>
      </c>
      <c r="S249" s="1556">
        <f>COUNTIFS(S68:S74,"&gt;=6",S68:S74,"&lt;=8.5")</f>
        <v>5</v>
      </c>
      <c r="T249" s="3001">
        <f t="shared" ref="T249:U249" si="166">COUNTIFS(T68:T74,"&gt;=6",T68:T74,"&lt;=8.5")</f>
        <v>7</v>
      </c>
      <c r="U249" s="3001">
        <f t="shared" si="166"/>
        <v>6</v>
      </c>
      <c r="V249" s="3084">
        <f t="shared" ref="V249" si="167">COUNTIFS(V62:V64,"&gt;=6",V62:V64,"&lt;=8.5")</f>
        <v>0</v>
      </c>
      <c r="W249" s="3001">
        <f>COUNTIFS(V68:V74,"&gt;=6",V68:V74,"&lt;=8.5")</f>
        <v>7</v>
      </c>
      <c r="X249" s="1556">
        <f>COUNTIFS(X67:X73,"&gt;=6",X67:X73,"&lt;=8.5")</f>
        <v>6</v>
      </c>
      <c r="Y249" s="3264">
        <f t="shared" ref="Y249:AA249" si="168">COUNTIFS(Y67:Y73,"&gt;=6",Y67:Y73,"&lt;=8.5")</f>
        <v>6</v>
      </c>
      <c r="Z249" s="3264">
        <f t="shared" si="168"/>
        <v>6</v>
      </c>
      <c r="AA249" s="3264">
        <f t="shared" si="168"/>
        <v>6</v>
      </c>
      <c r="AB249" s="3489">
        <f t="shared" ref="AB249:AE249" si="169">COUNTIFS(AB67:AB73,"&gt;=6",AB67:AB73,"&lt;=8.5")</f>
        <v>6</v>
      </c>
      <c r="AC249" s="3489">
        <f t="shared" si="169"/>
        <v>0</v>
      </c>
      <c r="AD249" s="3489">
        <f t="shared" si="169"/>
        <v>0</v>
      </c>
      <c r="AE249" s="3489">
        <f t="shared" si="169"/>
        <v>0</v>
      </c>
    </row>
    <row r="250" spans="1:31" s="1096" customFormat="1">
      <c r="A250" s="3570"/>
      <c r="B250" s="3566"/>
      <c r="C250" s="3536"/>
      <c r="D250" s="1558">
        <f t="shared" ref="D250:Q250" si="170">COUNT(D68:D74)</f>
        <v>6</v>
      </c>
      <c r="E250" s="1558">
        <f t="shared" si="170"/>
        <v>7</v>
      </c>
      <c r="F250" s="1558">
        <f t="shared" si="170"/>
        <v>7</v>
      </c>
      <c r="G250" s="1558">
        <f t="shared" si="170"/>
        <v>7</v>
      </c>
      <c r="H250" s="1558">
        <f t="shared" si="170"/>
        <v>7</v>
      </c>
      <c r="I250" s="1558">
        <f t="shared" si="170"/>
        <v>7</v>
      </c>
      <c r="J250" s="1558">
        <f t="shared" si="170"/>
        <v>7</v>
      </c>
      <c r="K250" s="1558">
        <f t="shared" si="170"/>
        <v>7</v>
      </c>
      <c r="L250" s="1558">
        <f t="shared" si="170"/>
        <v>6</v>
      </c>
      <c r="M250" s="1558">
        <f t="shared" si="170"/>
        <v>7</v>
      </c>
      <c r="N250" s="1558">
        <f t="shared" si="170"/>
        <v>7</v>
      </c>
      <c r="O250" s="1558">
        <f t="shared" si="170"/>
        <v>0</v>
      </c>
      <c r="P250" s="1558">
        <f t="shared" si="170"/>
        <v>7</v>
      </c>
      <c r="Q250" s="1558">
        <f t="shared" si="170"/>
        <v>7</v>
      </c>
      <c r="R250" s="1558">
        <f>COUNT(R68:R74)</f>
        <v>7</v>
      </c>
      <c r="S250" s="1558">
        <f>COUNT(S68:S74)</f>
        <v>7</v>
      </c>
      <c r="T250" s="3002">
        <f t="shared" ref="T250:U250" si="171">COUNT(T68:T74)</f>
        <v>7</v>
      </c>
      <c r="U250" s="3002">
        <f t="shared" si="171"/>
        <v>6</v>
      </c>
      <c r="V250" s="3085">
        <f t="shared" ref="V250" si="172">COUNT(V62:V64)</f>
        <v>3</v>
      </c>
      <c r="W250" s="3002">
        <f>COUNT(V68:V74)</f>
        <v>7</v>
      </c>
      <c r="X250" s="1558">
        <f>COUNT(X67:X73)</f>
        <v>6</v>
      </c>
      <c r="Y250" s="3265">
        <f t="shared" ref="Y250:AA250" si="173">COUNT(Y67:Y73)</f>
        <v>6</v>
      </c>
      <c r="Z250" s="3265">
        <f t="shared" si="173"/>
        <v>6</v>
      </c>
      <c r="AA250" s="3265">
        <f t="shared" si="173"/>
        <v>6</v>
      </c>
      <c r="AB250" s="3490">
        <f t="shared" ref="AB250:AE250" si="174">COUNT(AB67:AB73)</f>
        <v>6</v>
      </c>
      <c r="AC250" s="3490">
        <f t="shared" si="174"/>
        <v>0</v>
      </c>
      <c r="AD250" s="3490">
        <f t="shared" si="174"/>
        <v>0</v>
      </c>
      <c r="AE250" s="3490">
        <f t="shared" si="174"/>
        <v>0</v>
      </c>
    </row>
    <row r="251" spans="1:31" s="1106" customFormat="1">
      <c r="A251" s="3570"/>
      <c r="B251" s="3567"/>
      <c r="C251" s="3537"/>
      <c r="D251" s="1557">
        <f t="shared" ref="D251:Q251" si="175">D249/D250</f>
        <v>1</v>
      </c>
      <c r="E251" s="1557">
        <f t="shared" si="175"/>
        <v>1</v>
      </c>
      <c r="F251" s="1557">
        <f t="shared" si="175"/>
        <v>1</v>
      </c>
      <c r="G251" s="1557">
        <f t="shared" si="175"/>
        <v>1</v>
      </c>
      <c r="H251" s="1557">
        <f t="shared" si="175"/>
        <v>1</v>
      </c>
      <c r="I251" s="1557">
        <f t="shared" si="175"/>
        <v>0.7142857142857143</v>
      </c>
      <c r="J251" s="1557">
        <f t="shared" si="175"/>
        <v>1</v>
      </c>
      <c r="K251" s="1557">
        <f t="shared" si="175"/>
        <v>0.5714285714285714</v>
      </c>
      <c r="L251" s="1557">
        <f t="shared" si="175"/>
        <v>0</v>
      </c>
      <c r="M251" s="1557">
        <f t="shared" si="175"/>
        <v>0.8571428571428571</v>
      </c>
      <c r="N251" s="1557">
        <f t="shared" si="175"/>
        <v>1</v>
      </c>
      <c r="O251" s="1557" t="e">
        <f t="shared" si="175"/>
        <v>#DIV/0!</v>
      </c>
      <c r="P251" s="1557">
        <f t="shared" si="175"/>
        <v>1</v>
      </c>
      <c r="Q251" s="1557">
        <f t="shared" si="175"/>
        <v>1</v>
      </c>
      <c r="R251" s="1557">
        <f>R249/R250</f>
        <v>1</v>
      </c>
      <c r="S251" s="1557">
        <f>S249/S250</f>
        <v>0.7142857142857143</v>
      </c>
      <c r="T251" s="1557">
        <f t="shared" ref="T251:W251" si="176">T249/T250</f>
        <v>1</v>
      </c>
      <c r="U251" s="1557">
        <f t="shared" si="176"/>
        <v>1</v>
      </c>
      <c r="V251" s="1557">
        <f t="shared" si="176"/>
        <v>0</v>
      </c>
      <c r="W251" s="1557">
        <f t="shared" si="176"/>
        <v>1</v>
      </c>
      <c r="X251" s="1557">
        <f>X249/X250</f>
        <v>1</v>
      </c>
      <c r="Y251" s="1557">
        <f t="shared" ref="Y251:AA251" si="177">Y249/Y250</f>
        <v>1</v>
      </c>
      <c r="Z251" s="1557">
        <f t="shared" si="177"/>
        <v>1</v>
      </c>
      <c r="AA251" s="1557">
        <f t="shared" si="177"/>
        <v>1</v>
      </c>
      <c r="AB251" s="1557">
        <f t="shared" ref="AB251:AE251" si="178">AB249/AB250</f>
        <v>1</v>
      </c>
      <c r="AC251" s="1557" t="e">
        <f t="shared" si="178"/>
        <v>#DIV/0!</v>
      </c>
      <c r="AD251" s="1557" t="e">
        <f t="shared" si="178"/>
        <v>#DIV/0!</v>
      </c>
      <c r="AE251" s="1557" t="e">
        <f t="shared" si="178"/>
        <v>#DIV/0!</v>
      </c>
    </row>
    <row r="252" spans="1:31" s="1096" customFormat="1">
      <c r="A252" s="3570"/>
      <c r="B252" s="3581" t="s">
        <v>49</v>
      </c>
      <c r="C252" s="3535">
        <f>COUNTA(A75:A83)</f>
        <v>9</v>
      </c>
      <c r="D252" s="1556">
        <f t="shared" ref="D252:Q252" si="179">COUNTIFS(D75:D83,"&gt;=6",D75:D83,"&lt;=8.5")</f>
        <v>5</v>
      </c>
      <c r="E252" s="1556">
        <f t="shared" si="179"/>
        <v>9</v>
      </c>
      <c r="F252" s="1556">
        <f t="shared" si="179"/>
        <v>9</v>
      </c>
      <c r="G252" s="1556">
        <f t="shared" si="179"/>
        <v>9</v>
      </c>
      <c r="H252" s="1556">
        <f t="shared" si="179"/>
        <v>6</v>
      </c>
      <c r="I252" s="1556">
        <f t="shared" si="179"/>
        <v>9</v>
      </c>
      <c r="J252" s="1556">
        <f t="shared" si="179"/>
        <v>6</v>
      </c>
      <c r="K252" s="1556">
        <f t="shared" si="179"/>
        <v>7</v>
      </c>
      <c r="L252" s="1556">
        <f t="shared" si="179"/>
        <v>0</v>
      </c>
      <c r="M252" s="1556">
        <f t="shared" si="179"/>
        <v>0</v>
      </c>
      <c r="N252" s="1556">
        <f t="shared" si="179"/>
        <v>0</v>
      </c>
      <c r="O252" s="1556">
        <f t="shared" si="179"/>
        <v>0</v>
      </c>
      <c r="P252" s="1556">
        <f t="shared" si="179"/>
        <v>9</v>
      </c>
      <c r="Q252" s="1556">
        <f t="shared" si="179"/>
        <v>9</v>
      </c>
      <c r="R252" s="1556">
        <f>COUNTIFS(R75:R83,"&gt;=6",R75:R83,"&lt;=8.5")</f>
        <v>9</v>
      </c>
      <c r="S252" s="1556">
        <f>COUNTIFS(S75:S83,"&gt;=6",S75:S83,"&lt;=8.5")</f>
        <v>9</v>
      </c>
      <c r="T252" s="3001">
        <f t="shared" ref="T252:W252" si="180">COUNTIFS(T75:T83,"&gt;=6",T75:T83,"&lt;=8.5")</f>
        <v>9</v>
      </c>
      <c r="U252" s="3001">
        <f t="shared" si="180"/>
        <v>9</v>
      </c>
      <c r="V252" s="3001">
        <f t="shared" si="180"/>
        <v>9</v>
      </c>
      <c r="W252" s="3001">
        <f t="shared" si="180"/>
        <v>9</v>
      </c>
      <c r="X252" s="1556">
        <f>COUNTIFS(X74:X82,"&gt;=6",X74:X82,"&lt;=8.5")</f>
        <v>9</v>
      </c>
      <c r="Y252" s="3264">
        <f t="shared" ref="Y252:AA252" si="181">COUNTIFS(Y74:Y82,"&gt;=6",Y74:Y82,"&lt;=8.5")</f>
        <v>9</v>
      </c>
      <c r="Z252" s="3264">
        <f t="shared" si="181"/>
        <v>9</v>
      </c>
      <c r="AA252" s="3264">
        <f t="shared" si="181"/>
        <v>6</v>
      </c>
      <c r="AB252" s="3489">
        <f t="shared" ref="AB252:AE252" si="182">COUNTIFS(AB74:AB82,"&gt;=6",AB74:AB82,"&lt;=8.5")</f>
        <v>9</v>
      </c>
      <c r="AC252" s="3489">
        <f t="shared" si="182"/>
        <v>0</v>
      </c>
      <c r="AD252" s="3489">
        <f t="shared" si="182"/>
        <v>0</v>
      </c>
      <c r="AE252" s="3489">
        <f t="shared" si="182"/>
        <v>0</v>
      </c>
    </row>
    <row r="253" spans="1:31" s="1096" customFormat="1">
      <c r="A253" s="3570"/>
      <c r="B253" s="3582"/>
      <c r="C253" s="3536"/>
      <c r="D253" s="1558">
        <f t="shared" ref="D253:Q253" si="183">COUNT(D75:D83)</f>
        <v>9</v>
      </c>
      <c r="E253" s="1558">
        <f t="shared" si="183"/>
        <v>9</v>
      </c>
      <c r="F253" s="1558">
        <f t="shared" si="183"/>
        <v>9</v>
      </c>
      <c r="G253" s="1558">
        <f t="shared" si="183"/>
        <v>9</v>
      </c>
      <c r="H253" s="1558">
        <f t="shared" si="183"/>
        <v>9</v>
      </c>
      <c r="I253" s="1558">
        <f t="shared" si="183"/>
        <v>9</v>
      </c>
      <c r="J253" s="1558">
        <f t="shared" si="183"/>
        <v>9</v>
      </c>
      <c r="K253" s="1558">
        <f t="shared" si="183"/>
        <v>9</v>
      </c>
      <c r="L253" s="1558">
        <f t="shared" si="183"/>
        <v>0</v>
      </c>
      <c r="M253" s="1558">
        <f t="shared" si="183"/>
        <v>0</v>
      </c>
      <c r="N253" s="1558">
        <f t="shared" si="183"/>
        <v>9</v>
      </c>
      <c r="O253" s="1558">
        <f t="shared" si="183"/>
        <v>0</v>
      </c>
      <c r="P253" s="1558">
        <f t="shared" si="183"/>
        <v>9</v>
      </c>
      <c r="Q253" s="1558">
        <f t="shared" si="183"/>
        <v>9</v>
      </c>
      <c r="R253" s="1558">
        <f>COUNT(R75:R83)</f>
        <v>9</v>
      </c>
      <c r="S253" s="1558">
        <f>COUNT(S75:S83)</f>
        <v>9</v>
      </c>
      <c r="T253" s="3002">
        <f t="shared" ref="T253:W253" si="184">COUNT(T75:T83)</f>
        <v>9</v>
      </c>
      <c r="U253" s="3002">
        <f t="shared" si="184"/>
        <v>9</v>
      </c>
      <c r="V253" s="3002">
        <f t="shared" si="184"/>
        <v>9</v>
      </c>
      <c r="W253" s="3002">
        <f t="shared" si="184"/>
        <v>9</v>
      </c>
      <c r="X253" s="1558">
        <f>COUNT(X74:X82)</f>
        <v>9</v>
      </c>
      <c r="Y253" s="3265">
        <f t="shared" ref="Y253:AA253" si="185">COUNT(Y74:Y82)</f>
        <v>9</v>
      </c>
      <c r="Z253" s="3265">
        <f t="shared" si="185"/>
        <v>9</v>
      </c>
      <c r="AA253" s="3265">
        <f t="shared" si="185"/>
        <v>9</v>
      </c>
      <c r="AB253" s="3490">
        <f t="shared" ref="AB253:AE253" si="186">COUNT(AB74:AB82)</f>
        <v>9</v>
      </c>
      <c r="AC253" s="3490">
        <f t="shared" si="186"/>
        <v>0</v>
      </c>
      <c r="AD253" s="3490">
        <f t="shared" si="186"/>
        <v>0</v>
      </c>
      <c r="AE253" s="3490">
        <f t="shared" si="186"/>
        <v>0</v>
      </c>
    </row>
    <row r="254" spans="1:31" s="1106" customFormat="1">
      <c r="A254" s="3570"/>
      <c r="B254" s="3583"/>
      <c r="C254" s="3537"/>
      <c r="D254" s="1557">
        <f t="shared" ref="D254:Q254" si="187">D252/D253</f>
        <v>0.55555555555555558</v>
      </c>
      <c r="E254" s="1557">
        <f t="shared" si="187"/>
        <v>1</v>
      </c>
      <c r="F254" s="1557">
        <f t="shared" si="187"/>
        <v>1</v>
      </c>
      <c r="G254" s="1557">
        <f t="shared" si="187"/>
        <v>1</v>
      </c>
      <c r="H254" s="1557">
        <f t="shared" si="187"/>
        <v>0.66666666666666663</v>
      </c>
      <c r="I254" s="1557">
        <f t="shared" si="187"/>
        <v>1</v>
      </c>
      <c r="J254" s="1557">
        <f t="shared" si="187"/>
        <v>0.66666666666666663</v>
      </c>
      <c r="K254" s="1557">
        <f t="shared" si="187"/>
        <v>0.77777777777777779</v>
      </c>
      <c r="L254" s="1557" t="e">
        <f t="shared" si="187"/>
        <v>#DIV/0!</v>
      </c>
      <c r="M254" s="1557" t="e">
        <f t="shared" si="187"/>
        <v>#DIV/0!</v>
      </c>
      <c r="N254" s="1557">
        <f t="shared" si="187"/>
        <v>0</v>
      </c>
      <c r="O254" s="1557" t="e">
        <f t="shared" si="187"/>
        <v>#DIV/0!</v>
      </c>
      <c r="P254" s="1557">
        <f t="shared" si="187"/>
        <v>1</v>
      </c>
      <c r="Q254" s="1557">
        <f t="shared" si="187"/>
        <v>1</v>
      </c>
      <c r="R254" s="1557">
        <f>R252/R253</f>
        <v>1</v>
      </c>
      <c r="S254" s="1557">
        <f>S252/S253</f>
        <v>1</v>
      </c>
      <c r="T254" s="1557">
        <f t="shared" ref="T254:W254" si="188">T252/T253</f>
        <v>1</v>
      </c>
      <c r="U254" s="1557">
        <f t="shared" si="188"/>
        <v>1</v>
      </c>
      <c r="V254" s="1557">
        <f t="shared" si="188"/>
        <v>1</v>
      </c>
      <c r="W254" s="1557">
        <f t="shared" si="188"/>
        <v>1</v>
      </c>
      <c r="X254" s="1557">
        <f>X252/X253</f>
        <v>1</v>
      </c>
      <c r="Y254" s="1557">
        <f t="shared" ref="Y254:AA254" si="189">Y252/Y253</f>
        <v>1</v>
      </c>
      <c r="Z254" s="1557">
        <f t="shared" si="189"/>
        <v>1</v>
      </c>
      <c r="AA254" s="1557">
        <f t="shared" si="189"/>
        <v>0.66666666666666663</v>
      </c>
      <c r="AB254" s="1557">
        <f t="shared" ref="AB254:AE254" si="190">AB252/AB253</f>
        <v>1</v>
      </c>
      <c r="AC254" s="1557" t="e">
        <f t="shared" si="190"/>
        <v>#DIV/0!</v>
      </c>
      <c r="AD254" s="1557" t="e">
        <f t="shared" si="190"/>
        <v>#DIV/0!</v>
      </c>
      <c r="AE254" s="1557" t="e">
        <f t="shared" si="190"/>
        <v>#DIV/0!</v>
      </c>
    </row>
    <row r="255" spans="1:31" s="4" customFormat="1">
      <c r="A255" s="3570"/>
      <c r="B255" s="3565" t="s">
        <v>40</v>
      </c>
      <c r="C255" s="3535">
        <f>COUNTA(A84:A93)</f>
        <v>10</v>
      </c>
      <c r="D255" s="1556">
        <f t="shared" ref="D255:Q255" si="191">COUNTIFS(D84:D93,"&gt;=6",D84:D93,"&lt;=8.5")</f>
        <v>10</v>
      </c>
      <c r="E255" s="1556">
        <f t="shared" si="191"/>
        <v>10</v>
      </c>
      <c r="F255" s="1556">
        <f t="shared" si="191"/>
        <v>10</v>
      </c>
      <c r="G255" s="1556">
        <f t="shared" si="191"/>
        <v>10</v>
      </c>
      <c r="H255" s="1556">
        <f t="shared" si="191"/>
        <v>5</v>
      </c>
      <c r="I255" s="1556">
        <f t="shared" si="191"/>
        <v>10</v>
      </c>
      <c r="J255" s="1556">
        <f t="shared" si="191"/>
        <v>9</v>
      </c>
      <c r="K255" s="1556">
        <f t="shared" si="191"/>
        <v>5</v>
      </c>
      <c r="L255" s="1556">
        <f t="shared" si="191"/>
        <v>0</v>
      </c>
      <c r="M255" s="1556">
        <f t="shared" si="191"/>
        <v>0</v>
      </c>
      <c r="N255" s="1556">
        <f t="shared" si="191"/>
        <v>9</v>
      </c>
      <c r="O255" s="1556">
        <f t="shared" si="191"/>
        <v>0</v>
      </c>
      <c r="P255" s="1556">
        <f t="shared" si="191"/>
        <v>10</v>
      </c>
      <c r="Q255" s="1556">
        <f t="shared" si="191"/>
        <v>10</v>
      </c>
      <c r="R255" s="1556">
        <f>COUNTIFS(R84:R93,"&gt;=6",R84:R93,"&lt;=8.5")</f>
        <v>4</v>
      </c>
      <c r="S255" s="1556">
        <f>COUNTIFS(S84:S93,"&gt;=6",S84:S93,"&lt;=8.5")</f>
        <v>10</v>
      </c>
      <c r="T255" s="3001">
        <f t="shared" ref="T255:V255" si="192">COUNTIFS(T84:T93,"&gt;=6",T84:T93,"&lt;=8.5")</f>
        <v>10</v>
      </c>
      <c r="U255" s="3001">
        <f t="shared" si="192"/>
        <v>10</v>
      </c>
      <c r="V255" s="3001">
        <f t="shared" si="192"/>
        <v>10</v>
      </c>
      <c r="W255" s="3001">
        <f>COUNTIFS(W84:W93,"&gt;=6",W84:W93,"&lt;=8.5")</f>
        <v>10</v>
      </c>
      <c r="X255" s="1556">
        <f>COUNTIFS(X83:X92,"&gt;=6",X83:X92,"&lt;=8.5")</f>
        <v>10</v>
      </c>
      <c r="Y255" s="3264">
        <f t="shared" ref="Y255:AA255" si="193">COUNTIFS(Y83:Y92,"&gt;=6",Y83:Y92,"&lt;=8.5")</f>
        <v>10</v>
      </c>
      <c r="Z255" s="3264">
        <f t="shared" si="193"/>
        <v>4</v>
      </c>
      <c r="AA255" s="3264">
        <f t="shared" si="193"/>
        <v>8</v>
      </c>
      <c r="AB255" s="3489">
        <f t="shared" ref="AB255:AE255" si="194">COUNTIFS(AB83:AB92,"&gt;=6",AB83:AB92,"&lt;=8.5")</f>
        <v>10</v>
      </c>
      <c r="AC255" s="3489">
        <f t="shared" si="194"/>
        <v>0</v>
      </c>
      <c r="AD255" s="3489">
        <f t="shared" si="194"/>
        <v>0</v>
      </c>
      <c r="AE255" s="3489">
        <f t="shared" si="194"/>
        <v>0</v>
      </c>
    </row>
    <row r="256" spans="1:31">
      <c r="A256" s="3570"/>
      <c r="B256" s="3566"/>
      <c r="C256" s="3536"/>
      <c r="D256" s="1558">
        <f t="shared" ref="D256:Q256" si="195">COUNT(D84:D93)</f>
        <v>10</v>
      </c>
      <c r="E256" s="1558">
        <f t="shared" si="195"/>
        <v>10</v>
      </c>
      <c r="F256" s="1558">
        <f t="shared" si="195"/>
        <v>10</v>
      </c>
      <c r="G256" s="1558">
        <f t="shared" si="195"/>
        <v>10</v>
      </c>
      <c r="H256" s="1558">
        <f t="shared" si="195"/>
        <v>10</v>
      </c>
      <c r="I256" s="1558">
        <f t="shared" si="195"/>
        <v>10</v>
      </c>
      <c r="J256" s="1558">
        <f t="shared" si="195"/>
        <v>10</v>
      </c>
      <c r="K256" s="1558">
        <f t="shared" si="195"/>
        <v>10</v>
      </c>
      <c r="L256" s="1558">
        <f t="shared" si="195"/>
        <v>0</v>
      </c>
      <c r="M256" s="1558">
        <f t="shared" si="195"/>
        <v>0</v>
      </c>
      <c r="N256" s="1558">
        <f t="shared" si="195"/>
        <v>10</v>
      </c>
      <c r="O256" s="1558">
        <f t="shared" si="195"/>
        <v>0</v>
      </c>
      <c r="P256" s="1558">
        <f t="shared" si="195"/>
        <v>10</v>
      </c>
      <c r="Q256" s="1558">
        <f t="shared" si="195"/>
        <v>10</v>
      </c>
      <c r="R256" s="1558">
        <f>COUNT(R84:R93)</f>
        <v>10</v>
      </c>
      <c r="S256" s="1558">
        <f>COUNT(S84:S93)</f>
        <v>10</v>
      </c>
      <c r="T256" s="3002">
        <f t="shared" ref="T256:V256" si="196">COUNT(T84:T93)</f>
        <v>10</v>
      </c>
      <c r="U256" s="3002">
        <f t="shared" si="196"/>
        <v>10</v>
      </c>
      <c r="V256" s="3002">
        <f t="shared" si="196"/>
        <v>10</v>
      </c>
      <c r="W256" s="3002">
        <f>COUNT(W84:W93)</f>
        <v>10</v>
      </c>
      <c r="X256" s="1558">
        <f>COUNT(X83:X92)</f>
        <v>10</v>
      </c>
      <c r="Y256" s="3265">
        <f t="shared" ref="Y256:AA256" si="197">COUNT(Y83:Y92)</f>
        <v>10</v>
      </c>
      <c r="Z256" s="3265">
        <f t="shared" si="197"/>
        <v>10</v>
      </c>
      <c r="AA256" s="3265">
        <f t="shared" si="197"/>
        <v>10</v>
      </c>
      <c r="AB256" s="3490">
        <f t="shared" ref="AB256:AE256" si="198">COUNT(AB83:AB92)</f>
        <v>10</v>
      </c>
      <c r="AC256" s="3490">
        <f t="shared" si="198"/>
        <v>0</v>
      </c>
      <c r="AD256" s="3490">
        <f t="shared" si="198"/>
        <v>0</v>
      </c>
      <c r="AE256" s="3490">
        <f t="shared" si="198"/>
        <v>0</v>
      </c>
    </row>
    <row r="257" spans="1:31">
      <c r="A257" s="3571"/>
      <c r="B257" s="3567"/>
      <c r="C257" s="3537"/>
      <c r="D257" s="1557">
        <f t="shared" ref="D257:Q257" si="199">D255/D256</f>
        <v>1</v>
      </c>
      <c r="E257" s="1557">
        <f t="shared" si="199"/>
        <v>1</v>
      </c>
      <c r="F257" s="1557">
        <f t="shared" si="199"/>
        <v>1</v>
      </c>
      <c r="G257" s="1557">
        <f t="shared" si="199"/>
        <v>1</v>
      </c>
      <c r="H257" s="1557">
        <f t="shared" si="199"/>
        <v>0.5</v>
      </c>
      <c r="I257" s="1557">
        <f t="shared" si="199"/>
        <v>1</v>
      </c>
      <c r="J257" s="1557">
        <f t="shared" si="199"/>
        <v>0.9</v>
      </c>
      <c r="K257" s="1557">
        <f t="shared" si="199"/>
        <v>0.5</v>
      </c>
      <c r="L257" s="1557" t="e">
        <f t="shared" si="199"/>
        <v>#DIV/0!</v>
      </c>
      <c r="M257" s="1557" t="e">
        <f t="shared" si="199"/>
        <v>#DIV/0!</v>
      </c>
      <c r="N257" s="1557">
        <f t="shared" si="199"/>
        <v>0.9</v>
      </c>
      <c r="O257" s="1557" t="e">
        <f t="shared" si="199"/>
        <v>#DIV/0!</v>
      </c>
      <c r="P257" s="1557">
        <f t="shared" si="199"/>
        <v>1</v>
      </c>
      <c r="Q257" s="1557">
        <f t="shared" si="199"/>
        <v>1</v>
      </c>
      <c r="R257" s="1557">
        <f>R255/R256</f>
        <v>0.4</v>
      </c>
      <c r="S257" s="1557">
        <f>S255/S256</f>
        <v>1</v>
      </c>
      <c r="T257" s="1557">
        <f t="shared" ref="T257:W257" si="200">T255/T256</f>
        <v>1</v>
      </c>
      <c r="U257" s="1557">
        <f t="shared" si="200"/>
        <v>1</v>
      </c>
      <c r="V257" s="1557">
        <f t="shared" si="200"/>
        <v>1</v>
      </c>
      <c r="W257" s="1557">
        <f t="shared" si="200"/>
        <v>1</v>
      </c>
      <c r="X257" s="1557">
        <f>X255/X256</f>
        <v>1</v>
      </c>
      <c r="Y257" s="1557">
        <f t="shared" ref="Y257:AA257" si="201">Y255/Y256</f>
        <v>1</v>
      </c>
      <c r="Z257" s="1557">
        <f t="shared" si="201"/>
        <v>0.4</v>
      </c>
      <c r="AA257" s="1557">
        <f t="shared" si="201"/>
        <v>0.8</v>
      </c>
      <c r="AB257" s="1557">
        <f t="shared" ref="AB257:AE257" si="202">AB255/AB256</f>
        <v>1</v>
      </c>
      <c r="AC257" s="1557" t="e">
        <f t="shared" si="202"/>
        <v>#DIV/0!</v>
      </c>
      <c r="AD257" s="1557" t="e">
        <f t="shared" si="202"/>
        <v>#DIV/0!</v>
      </c>
      <c r="AE257" s="1557" t="e">
        <f t="shared" si="202"/>
        <v>#DIV/0!</v>
      </c>
    </row>
    <row r="258" spans="1:31">
      <c r="A258" s="3569" t="s">
        <v>300</v>
      </c>
      <c r="B258" s="3565" t="s">
        <v>67</v>
      </c>
      <c r="C258" s="3535">
        <f>COUNTA(A99:A104)</f>
        <v>6</v>
      </c>
      <c r="D258" s="1556">
        <f t="shared" ref="D258:Q258" si="203">COUNTIFS(D99:D104,"&gt;=6",D99:D104,"&lt;=8.5")</f>
        <v>3</v>
      </c>
      <c r="E258" s="1556">
        <f t="shared" si="203"/>
        <v>3</v>
      </c>
      <c r="F258" s="1556">
        <f t="shared" si="203"/>
        <v>3</v>
      </c>
      <c r="G258" s="1556">
        <f t="shared" si="203"/>
        <v>3</v>
      </c>
      <c r="H258" s="1556">
        <f t="shared" si="203"/>
        <v>3</v>
      </c>
      <c r="I258" s="1556">
        <f t="shared" si="203"/>
        <v>3</v>
      </c>
      <c r="J258" s="1556">
        <f t="shared" si="203"/>
        <v>3</v>
      </c>
      <c r="K258" s="1556">
        <f t="shared" si="203"/>
        <v>3</v>
      </c>
      <c r="L258" s="1556">
        <f t="shared" si="203"/>
        <v>4</v>
      </c>
      <c r="M258" s="1556">
        <f t="shared" si="203"/>
        <v>6</v>
      </c>
      <c r="N258" s="1556">
        <f t="shared" si="203"/>
        <v>6</v>
      </c>
      <c r="O258" s="1556">
        <f t="shared" si="203"/>
        <v>6</v>
      </c>
      <c r="P258" s="1556">
        <f t="shared" si="203"/>
        <v>6</v>
      </c>
      <c r="Q258" s="1556">
        <f t="shared" si="203"/>
        <v>6</v>
      </c>
      <c r="R258" s="1556">
        <f>COUNTIFS(R99:R104,"&gt;=6",R99:R104,"&lt;=8.5")</f>
        <v>6</v>
      </c>
      <c r="S258" s="1556">
        <f>COUNTIFS(S99:S104,"&gt;=6",S99:S104,"&lt;=8.5")</f>
        <v>6</v>
      </c>
      <c r="T258" s="3001">
        <f t="shared" ref="T258:W258" si="204">COUNTIFS(T99:T104,"&gt;=6",T99:T104,"&lt;=8.5")</f>
        <v>6</v>
      </c>
      <c r="U258" s="3001">
        <f t="shared" si="204"/>
        <v>6</v>
      </c>
      <c r="V258" s="3001">
        <f t="shared" si="204"/>
        <v>6</v>
      </c>
      <c r="W258" s="3001">
        <f t="shared" si="204"/>
        <v>0</v>
      </c>
      <c r="X258" s="1556">
        <f>COUNTIFS(X98:X103,"&gt;=6",X98:X103,"&lt;=8.5")</f>
        <v>5</v>
      </c>
      <c r="Y258" s="3264">
        <f t="shared" ref="Y258:AA258" si="205">COUNTIFS(Y98:Y103,"&gt;=6",Y98:Y103,"&lt;=8.5")</f>
        <v>5</v>
      </c>
      <c r="Z258" s="3264">
        <f t="shared" si="205"/>
        <v>5</v>
      </c>
      <c r="AA258" s="3264">
        <f t="shared" si="205"/>
        <v>4</v>
      </c>
      <c r="AB258" s="3489">
        <f t="shared" ref="AB258:AE258" si="206">COUNTIFS(AB98:AB103,"&gt;=6",AB98:AB103,"&lt;=8.5")</f>
        <v>5</v>
      </c>
      <c r="AC258" s="3489">
        <f t="shared" si="206"/>
        <v>0</v>
      </c>
      <c r="AD258" s="3489">
        <f t="shared" si="206"/>
        <v>0</v>
      </c>
      <c r="AE258" s="3489">
        <f t="shared" si="206"/>
        <v>0</v>
      </c>
    </row>
    <row r="259" spans="1:31">
      <c r="A259" s="3570"/>
      <c r="B259" s="3566"/>
      <c r="C259" s="3536"/>
      <c r="D259" s="1558">
        <f t="shared" ref="D259:Q259" si="207">COUNT(D99:D104)</f>
        <v>3</v>
      </c>
      <c r="E259" s="1558">
        <f t="shared" si="207"/>
        <v>3</v>
      </c>
      <c r="F259" s="1558">
        <f t="shared" si="207"/>
        <v>3</v>
      </c>
      <c r="G259" s="1558">
        <f t="shared" si="207"/>
        <v>3</v>
      </c>
      <c r="H259" s="1558">
        <f t="shared" si="207"/>
        <v>3</v>
      </c>
      <c r="I259" s="1558">
        <f t="shared" si="207"/>
        <v>3</v>
      </c>
      <c r="J259" s="1558">
        <f t="shared" si="207"/>
        <v>3</v>
      </c>
      <c r="K259" s="1558">
        <f t="shared" si="207"/>
        <v>3</v>
      </c>
      <c r="L259" s="1558">
        <f t="shared" si="207"/>
        <v>6</v>
      </c>
      <c r="M259" s="1558">
        <f t="shared" si="207"/>
        <v>6</v>
      </c>
      <c r="N259" s="1558">
        <f t="shared" si="207"/>
        <v>6</v>
      </c>
      <c r="O259" s="1558">
        <f t="shared" si="207"/>
        <v>6</v>
      </c>
      <c r="P259" s="1558">
        <f t="shared" si="207"/>
        <v>6</v>
      </c>
      <c r="Q259" s="1558">
        <f t="shared" si="207"/>
        <v>6</v>
      </c>
      <c r="R259" s="1558">
        <f>COUNT(R99:R104)</f>
        <v>6</v>
      </c>
      <c r="S259" s="1558">
        <f>COUNT(S99:S104)</f>
        <v>6</v>
      </c>
      <c r="T259" s="3002">
        <f t="shared" ref="T259:W259" si="208">COUNT(T99:T104)</f>
        <v>6</v>
      </c>
      <c r="U259" s="3002">
        <f t="shared" si="208"/>
        <v>6</v>
      </c>
      <c r="V259" s="3002">
        <f t="shared" si="208"/>
        <v>6</v>
      </c>
      <c r="W259" s="3002">
        <f t="shared" si="208"/>
        <v>0</v>
      </c>
      <c r="X259" s="1558">
        <f>COUNT(X98:X103)</f>
        <v>5</v>
      </c>
      <c r="Y259" s="3265">
        <f t="shared" ref="Y259:AA259" si="209">COUNT(Y98:Y103)</f>
        <v>5</v>
      </c>
      <c r="Z259" s="3265">
        <f t="shared" si="209"/>
        <v>5</v>
      </c>
      <c r="AA259" s="3265">
        <f t="shared" si="209"/>
        <v>5</v>
      </c>
      <c r="AB259" s="3490">
        <f t="shared" ref="AB259:AE259" si="210">COUNT(AB98:AB103)</f>
        <v>5</v>
      </c>
      <c r="AC259" s="3490">
        <f t="shared" si="210"/>
        <v>0</v>
      </c>
      <c r="AD259" s="3490">
        <f t="shared" si="210"/>
        <v>0</v>
      </c>
      <c r="AE259" s="3490">
        <f t="shared" si="210"/>
        <v>0</v>
      </c>
    </row>
    <row r="260" spans="1:31">
      <c r="A260" s="3570"/>
      <c r="B260" s="3567"/>
      <c r="C260" s="3537"/>
      <c r="D260" s="1557">
        <f t="shared" ref="D260:Q260" si="211">D258/D259</f>
        <v>1</v>
      </c>
      <c r="E260" s="1557">
        <f t="shared" si="211"/>
        <v>1</v>
      </c>
      <c r="F260" s="1557">
        <f t="shared" si="211"/>
        <v>1</v>
      </c>
      <c r="G260" s="1557">
        <f t="shared" si="211"/>
        <v>1</v>
      </c>
      <c r="H260" s="1557">
        <f t="shared" si="211"/>
        <v>1</v>
      </c>
      <c r="I260" s="1557">
        <f t="shared" si="211"/>
        <v>1</v>
      </c>
      <c r="J260" s="1557">
        <f t="shared" si="211"/>
        <v>1</v>
      </c>
      <c r="K260" s="1557">
        <f t="shared" si="211"/>
        <v>1</v>
      </c>
      <c r="L260" s="1557">
        <f t="shared" si="211"/>
        <v>0.66666666666666663</v>
      </c>
      <c r="M260" s="1557">
        <f t="shared" si="211"/>
        <v>1</v>
      </c>
      <c r="N260" s="1557">
        <f t="shared" si="211"/>
        <v>1</v>
      </c>
      <c r="O260" s="1557">
        <f t="shared" si="211"/>
        <v>1</v>
      </c>
      <c r="P260" s="1557">
        <f t="shared" si="211"/>
        <v>1</v>
      </c>
      <c r="Q260" s="1557">
        <f t="shared" si="211"/>
        <v>1</v>
      </c>
      <c r="R260" s="1557">
        <f>R258/R259</f>
        <v>1</v>
      </c>
      <c r="S260" s="1557">
        <f>S258/S259</f>
        <v>1</v>
      </c>
      <c r="T260" s="1557">
        <f t="shared" ref="T260:W260" si="212">T258/T259</f>
        <v>1</v>
      </c>
      <c r="U260" s="1557">
        <f t="shared" si="212"/>
        <v>1</v>
      </c>
      <c r="V260" s="1557">
        <f t="shared" si="212"/>
        <v>1</v>
      </c>
      <c r="W260" s="1557" t="e">
        <f t="shared" si="212"/>
        <v>#DIV/0!</v>
      </c>
      <c r="X260" s="1557">
        <f>X258/X259</f>
        <v>1</v>
      </c>
      <c r="Y260" s="1557">
        <f t="shared" ref="Y260:AA260" si="213">Y258/Y259</f>
        <v>1</v>
      </c>
      <c r="Z260" s="1557">
        <f t="shared" si="213"/>
        <v>1</v>
      </c>
      <c r="AA260" s="1557">
        <f t="shared" si="213"/>
        <v>0.8</v>
      </c>
      <c r="AB260" s="1557">
        <f t="shared" ref="AB260:AE260" si="214">AB258/AB259</f>
        <v>1</v>
      </c>
      <c r="AC260" s="1557" t="e">
        <f t="shared" si="214"/>
        <v>#DIV/0!</v>
      </c>
      <c r="AD260" s="1557" t="e">
        <f t="shared" si="214"/>
        <v>#DIV/0!</v>
      </c>
      <c r="AE260" s="1557" t="e">
        <f t="shared" si="214"/>
        <v>#DIV/0!</v>
      </c>
    </row>
    <row r="261" spans="1:31">
      <c r="A261" s="3570"/>
      <c r="B261" s="3565" t="s">
        <v>186</v>
      </c>
      <c r="C261" s="3535">
        <f>COUNTA(A105:A112)</f>
        <v>8</v>
      </c>
      <c r="D261" s="1556">
        <f t="shared" ref="D261:Q261" si="215">COUNTIFS(D105:D112,"&gt;=6",D105:D112,"&lt;=8.5")</f>
        <v>6</v>
      </c>
      <c r="E261" s="1556">
        <f t="shared" si="215"/>
        <v>6</v>
      </c>
      <c r="F261" s="1556">
        <f t="shared" si="215"/>
        <v>6</v>
      </c>
      <c r="G261" s="1556">
        <f t="shared" si="215"/>
        <v>6</v>
      </c>
      <c r="H261" s="1556">
        <f t="shared" si="215"/>
        <v>6</v>
      </c>
      <c r="I261" s="1556">
        <f t="shared" si="215"/>
        <v>6</v>
      </c>
      <c r="J261" s="1556">
        <f t="shared" si="215"/>
        <v>6</v>
      </c>
      <c r="K261" s="1556">
        <f t="shared" si="215"/>
        <v>6</v>
      </c>
      <c r="L261" s="1556">
        <f t="shared" si="215"/>
        <v>8</v>
      </c>
      <c r="M261" s="1556">
        <f t="shared" si="215"/>
        <v>8</v>
      </c>
      <c r="N261" s="1556">
        <f t="shared" si="215"/>
        <v>8</v>
      </c>
      <c r="O261" s="1556">
        <f t="shared" si="215"/>
        <v>8</v>
      </c>
      <c r="P261" s="1556">
        <f t="shared" si="215"/>
        <v>8</v>
      </c>
      <c r="Q261" s="1556">
        <f t="shared" si="215"/>
        <v>8</v>
      </c>
      <c r="R261" s="1556">
        <f>COUNTIFS(R105:R112,"&gt;=6",R105:R112,"&lt;=8.5")</f>
        <v>8</v>
      </c>
      <c r="S261" s="1556">
        <f>COUNTIFS(S105:S112,"&gt;=6",S105:S112,"&lt;=8.5")</f>
        <v>8</v>
      </c>
      <c r="T261" s="3001">
        <f t="shared" ref="T261:W261" si="216">COUNTIFS(T105:T112,"&gt;=6",T105:T112,"&lt;=8.5")</f>
        <v>8</v>
      </c>
      <c r="U261" s="3001">
        <f t="shared" si="216"/>
        <v>8</v>
      </c>
      <c r="V261" s="3001">
        <f t="shared" si="216"/>
        <v>7</v>
      </c>
      <c r="W261" s="3001">
        <f t="shared" si="216"/>
        <v>0</v>
      </c>
      <c r="X261" s="1556">
        <f>COUNTIFS(X104:X111,"&gt;=6",X104:X111,"&lt;=8.5")</f>
        <v>8</v>
      </c>
      <c r="Y261" s="3264">
        <f t="shared" ref="Y261:AA261" si="217">COUNTIFS(Y104:Y111,"&gt;=6",Y104:Y111,"&lt;=8.5")</f>
        <v>8</v>
      </c>
      <c r="Z261" s="3264">
        <f t="shared" si="217"/>
        <v>7</v>
      </c>
      <c r="AA261" s="3264">
        <f t="shared" si="217"/>
        <v>7</v>
      </c>
      <c r="AB261" s="3489">
        <f t="shared" ref="AB261:AE261" si="218">COUNTIFS(AB104:AB111,"&gt;=6",AB104:AB111,"&lt;=8.5")</f>
        <v>8</v>
      </c>
      <c r="AC261" s="3489">
        <f t="shared" si="218"/>
        <v>0</v>
      </c>
      <c r="AD261" s="3489">
        <f t="shared" si="218"/>
        <v>0</v>
      </c>
      <c r="AE261" s="3489">
        <f t="shared" si="218"/>
        <v>0</v>
      </c>
    </row>
    <row r="262" spans="1:31">
      <c r="A262" s="3570"/>
      <c r="B262" s="3566"/>
      <c r="C262" s="3536"/>
      <c r="D262" s="1558">
        <f t="shared" ref="D262:Q262" si="219">COUNT(D105:D112)</f>
        <v>6</v>
      </c>
      <c r="E262" s="1558">
        <f t="shared" si="219"/>
        <v>6</v>
      </c>
      <c r="F262" s="1558">
        <f t="shared" si="219"/>
        <v>6</v>
      </c>
      <c r="G262" s="1558">
        <f t="shared" si="219"/>
        <v>6</v>
      </c>
      <c r="H262" s="1558">
        <f t="shared" si="219"/>
        <v>6</v>
      </c>
      <c r="I262" s="1558">
        <f t="shared" si="219"/>
        <v>6</v>
      </c>
      <c r="J262" s="1558">
        <f t="shared" si="219"/>
        <v>6</v>
      </c>
      <c r="K262" s="1558">
        <f t="shared" si="219"/>
        <v>6</v>
      </c>
      <c r="L262" s="1558">
        <f t="shared" si="219"/>
        <v>8</v>
      </c>
      <c r="M262" s="1558">
        <f t="shared" si="219"/>
        <v>8</v>
      </c>
      <c r="N262" s="1558">
        <f t="shared" si="219"/>
        <v>8</v>
      </c>
      <c r="O262" s="1558">
        <f t="shared" si="219"/>
        <v>8</v>
      </c>
      <c r="P262" s="1558">
        <f t="shared" si="219"/>
        <v>8</v>
      </c>
      <c r="Q262" s="1558">
        <f t="shared" si="219"/>
        <v>8</v>
      </c>
      <c r="R262" s="1558">
        <f>COUNT(R105:R112)</f>
        <v>8</v>
      </c>
      <c r="S262" s="1558">
        <f>COUNT(S105:S112)</f>
        <v>8</v>
      </c>
      <c r="T262" s="3002">
        <f t="shared" ref="T262:W262" si="220">COUNT(T105:T112)</f>
        <v>8</v>
      </c>
      <c r="U262" s="3002">
        <f t="shared" si="220"/>
        <v>8</v>
      </c>
      <c r="V262" s="3002">
        <f t="shared" si="220"/>
        <v>7</v>
      </c>
      <c r="W262" s="3002">
        <f t="shared" si="220"/>
        <v>0</v>
      </c>
      <c r="X262" s="1558">
        <f>COUNT(X104:X111)</f>
        <v>8</v>
      </c>
      <c r="Y262" s="3265">
        <f t="shared" ref="Y262:AA262" si="221">COUNT(Y104:Y111)</f>
        <v>8</v>
      </c>
      <c r="Z262" s="3265">
        <f t="shared" si="221"/>
        <v>7</v>
      </c>
      <c r="AA262" s="3265">
        <f t="shared" si="221"/>
        <v>8</v>
      </c>
      <c r="AB262" s="3490">
        <f t="shared" ref="AB262:AE262" si="222">COUNT(AB104:AB111)</f>
        <v>8</v>
      </c>
      <c r="AC262" s="3490">
        <f t="shared" si="222"/>
        <v>0</v>
      </c>
      <c r="AD262" s="3490">
        <f t="shared" si="222"/>
        <v>0</v>
      </c>
      <c r="AE262" s="3490">
        <f t="shared" si="222"/>
        <v>0</v>
      </c>
    </row>
    <row r="263" spans="1:31">
      <c r="A263" s="3570"/>
      <c r="B263" s="3567"/>
      <c r="C263" s="3537"/>
      <c r="D263" s="1557">
        <f t="shared" ref="D263:Q263" si="223">D261/D262</f>
        <v>1</v>
      </c>
      <c r="E263" s="1557">
        <f t="shared" si="223"/>
        <v>1</v>
      </c>
      <c r="F263" s="1557">
        <f t="shared" si="223"/>
        <v>1</v>
      </c>
      <c r="G263" s="1557">
        <f t="shared" si="223"/>
        <v>1</v>
      </c>
      <c r="H263" s="1557">
        <f t="shared" si="223"/>
        <v>1</v>
      </c>
      <c r="I263" s="1557">
        <f t="shared" si="223"/>
        <v>1</v>
      </c>
      <c r="J263" s="1557">
        <f t="shared" si="223"/>
        <v>1</v>
      </c>
      <c r="K263" s="1557">
        <f t="shared" si="223"/>
        <v>1</v>
      </c>
      <c r="L263" s="1557">
        <f t="shared" si="223"/>
        <v>1</v>
      </c>
      <c r="M263" s="1557">
        <f t="shared" si="223"/>
        <v>1</v>
      </c>
      <c r="N263" s="1557">
        <f t="shared" si="223"/>
        <v>1</v>
      </c>
      <c r="O263" s="1557">
        <f t="shared" si="223"/>
        <v>1</v>
      </c>
      <c r="P263" s="1557">
        <f t="shared" si="223"/>
        <v>1</v>
      </c>
      <c r="Q263" s="1557">
        <f t="shared" si="223"/>
        <v>1</v>
      </c>
      <c r="R263" s="1557">
        <f>R261/R262</f>
        <v>1</v>
      </c>
      <c r="S263" s="1557">
        <f>S261/S262</f>
        <v>1</v>
      </c>
      <c r="T263" s="1557">
        <f t="shared" ref="T263:W263" si="224">T261/T262</f>
        <v>1</v>
      </c>
      <c r="U263" s="1557">
        <f t="shared" si="224"/>
        <v>1</v>
      </c>
      <c r="V263" s="1557">
        <f t="shared" si="224"/>
        <v>1</v>
      </c>
      <c r="W263" s="1557" t="e">
        <f t="shared" si="224"/>
        <v>#DIV/0!</v>
      </c>
      <c r="X263" s="1557">
        <f>X261/X262</f>
        <v>1</v>
      </c>
      <c r="Y263" s="1557">
        <f t="shared" ref="Y263:AA263" si="225">Y261/Y262</f>
        <v>1</v>
      </c>
      <c r="Z263" s="1557">
        <f t="shared" si="225"/>
        <v>1</v>
      </c>
      <c r="AA263" s="1557">
        <f t="shared" si="225"/>
        <v>0.875</v>
      </c>
      <c r="AB263" s="1557">
        <f t="shared" ref="AB263:AE263" si="226">AB261/AB262</f>
        <v>1</v>
      </c>
      <c r="AC263" s="1557" t="e">
        <f t="shared" si="226"/>
        <v>#DIV/0!</v>
      </c>
      <c r="AD263" s="1557" t="e">
        <f t="shared" si="226"/>
        <v>#DIV/0!</v>
      </c>
      <c r="AE263" s="1557" t="e">
        <f t="shared" si="226"/>
        <v>#DIV/0!</v>
      </c>
    </row>
    <row r="264" spans="1:31">
      <c r="A264" s="3570"/>
      <c r="B264" s="3565" t="s">
        <v>133</v>
      </c>
      <c r="C264" s="3535">
        <f>COUNTA(A113:A117)</f>
        <v>5</v>
      </c>
      <c r="D264" s="1556">
        <f t="shared" ref="D264:W264" si="227">COUNTIFS(D113:D117,"&gt;=6",D113:D117,"&lt;=8.5")</f>
        <v>0</v>
      </c>
      <c r="E264" s="1556">
        <f t="shared" si="227"/>
        <v>0</v>
      </c>
      <c r="F264" s="1556">
        <f t="shared" si="227"/>
        <v>0</v>
      </c>
      <c r="G264" s="1556">
        <f t="shared" si="227"/>
        <v>0</v>
      </c>
      <c r="H264" s="1556">
        <f t="shared" si="227"/>
        <v>0</v>
      </c>
      <c r="I264" s="1556">
        <f t="shared" si="227"/>
        <v>5</v>
      </c>
      <c r="J264" s="1556">
        <f t="shared" si="227"/>
        <v>5</v>
      </c>
      <c r="K264" s="1556">
        <f t="shared" si="227"/>
        <v>5</v>
      </c>
      <c r="L264" s="1556">
        <f t="shared" si="227"/>
        <v>5</v>
      </c>
      <c r="M264" s="1556">
        <f t="shared" si="227"/>
        <v>5</v>
      </c>
      <c r="N264" s="1556">
        <f t="shared" si="227"/>
        <v>5</v>
      </c>
      <c r="O264" s="1556">
        <f t="shared" si="227"/>
        <v>5</v>
      </c>
      <c r="P264" s="1556">
        <f t="shared" si="227"/>
        <v>4</v>
      </c>
      <c r="Q264" s="1556">
        <f t="shared" si="227"/>
        <v>5</v>
      </c>
      <c r="R264" s="1556">
        <f t="shared" si="227"/>
        <v>5</v>
      </c>
      <c r="S264" s="1556">
        <f t="shared" si="227"/>
        <v>5</v>
      </c>
      <c r="T264" s="3001">
        <f t="shared" si="227"/>
        <v>4</v>
      </c>
      <c r="U264" s="3001">
        <f t="shared" si="227"/>
        <v>5</v>
      </c>
      <c r="V264" s="3001">
        <f t="shared" si="227"/>
        <v>5</v>
      </c>
      <c r="W264" s="3001">
        <f t="shared" si="227"/>
        <v>0</v>
      </c>
      <c r="X264" s="1556">
        <f>COUNTIFS(X112:X116,"&gt;=6",X112:X116,"&lt;=8.5")</f>
        <v>5</v>
      </c>
      <c r="Y264" s="3264">
        <f t="shared" ref="Y264:AA264" si="228">COUNTIFS(Y112:Y116,"&gt;=6",Y112:Y116,"&lt;=8.5")</f>
        <v>4</v>
      </c>
      <c r="Z264" s="3264">
        <f t="shared" si="228"/>
        <v>5</v>
      </c>
      <c r="AA264" s="3264">
        <f t="shared" si="228"/>
        <v>5</v>
      </c>
      <c r="AB264" s="3489">
        <f t="shared" ref="AB264:AE264" si="229">COUNTIFS(AB112:AB116,"&gt;=6",AB112:AB116,"&lt;=8.5")</f>
        <v>4</v>
      </c>
      <c r="AC264" s="3489">
        <f t="shared" si="229"/>
        <v>0</v>
      </c>
      <c r="AD264" s="3489">
        <f t="shared" si="229"/>
        <v>0</v>
      </c>
      <c r="AE264" s="3489">
        <f t="shared" si="229"/>
        <v>0</v>
      </c>
    </row>
    <row r="265" spans="1:31">
      <c r="A265" s="3570"/>
      <c r="B265" s="3566"/>
      <c r="C265" s="3536"/>
      <c r="D265" s="1558">
        <f t="shared" ref="D265:W265" si="230">COUNT(D113:D117)</f>
        <v>0</v>
      </c>
      <c r="E265" s="1558">
        <f t="shared" si="230"/>
        <v>0</v>
      </c>
      <c r="F265" s="1558">
        <f t="shared" si="230"/>
        <v>0</v>
      </c>
      <c r="G265" s="1558">
        <f t="shared" si="230"/>
        <v>0</v>
      </c>
      <c r="H265" s="1558">
        <f t="shared" si="230"/>
        <v>0</v>
      </c>
      <c r="I265" s="1558">
        <f t="shared" si="230"/>
        <v>5</v>
      </c>
      <c r="J265" s="1558">
        <f t="shared" si="230"/>
        <v>5</v>
      </c>
      <c r="K265" s="1558">
        <f t="shared" si="230"/>
        <v>5</v>
      </c>
      <c r="L265" s="1558">
        <f t="shared" si="230"/>
        <v>5</v>
      </c>
      <c r="M265" s="1558">
        <f t="shared" si="230"/>
        <v>5</v>
      </c>
      <c r="N265" s="1558">
        <f t="shared" si="230"/>
        <v>5</v>
      </c>
      <c r="O265" s="1558">
        <f t="shared" si="230"/>
        <v>5</v>
      </c>
      <c r="P265" s="1558">
        <f t="shared" si="230"/>
        <v>5</v>
      </c>
      <c r="Q265" s="1558">
        <f t="shared" si="230"/>
        <v>5</v>
      </c>
      <c r="R265" s="1558">
        <f t="shared" si="230"/>
        <v>5</v>
      </c>
      <c r="S265" s="1558">
        <f t="shared" si="230"/>
        <v>5</v>
      </c>
      <c r="T265" s="3002">
        <f t="shared" si="230"/>
        <v>5</v>
      </c>
      <c r="U265" s="3002">
        <f t="shared" si="230"/>
        <v>5</v>
      </c>
      <c r="V265" s="3002">
        <f t="shared" si="230"/>
        <v>5</v>
      </c>
      <c r="W265" s="3002">
        <f t="shared" si="230"/>
        <v>0</v>
      </c>
      <c r="X265" s="1558">
        <f>COUNT(X112:X116)</f>
        <v>5</v>
      </c>
      <c r="Y265" s="3265">
        <f t="shared" ref="Y265:AA265" si="231">COUNT(Y112:Y116)</f>
        <v>5</v>
      </c>
      <c r="Z265" s="3265">
        <f t="shared" si="231"/>
        <v>5</v>
      </c>
      <c r="AA265" s="3265">
        <f t="shared" si="231"/>
        <v>5</v>
      </c>
      <c r="AB265" s="3490">
        <f t="shared" ref="AB265:AE265" si="232">COUNT(AB112:AB116)</f>
        <v>4</v>
      </c>
      <c r="AC265" s="3490">
        <f t="shared" si="232"/>
        <v>0</v>
      </c>
      <c r="AD265" s="3490">
        <f t="shared" si="232"/>
        <v>0</v>
      </c>
      <c r="AE265" s="3490">
        <f t="shared" si="232"/>
        <v>0</v>
      </c>
    </row>
    <row r="266" spans="1:31">
      <c r="A266" s="3570"/>
      <c r="B266" s="3567"/>
      <c r="C266" s="3537"/>
      <c r="D266" s="1557" t="e">
        <f t="shared" ref="D266:Q266" si="233">D264/D265</f>
        <v>#DIV/0!</v>
      </c>
      <c r="E266" s="1557" t="e">
        <f t="shared" si="233"/>
        <v>#DIV/0!</v>
      </c>
      <c r="F266" s="1557" t="e">
        <f t="shared" si="233"/>
        <v>#DIV/0!</v>
      </c>
      <c r="G266" s="1557" t="e">
        <f t="shared" si="233"/>
        <v>#DIV/0!</v>
      </c>
      <c r="H266" s="1557" t="e">
        <f t="shared" si="233"/>
        <v>#DIV/0!</v>
      </c>
      <c r="I266" s="1557">
        <f t="shared" si="233"/>
        <v>1</v>
      </c>
      <c r="J266" s="1557">
        <f t="shared" si="233"/>
        <v>1</v>
      </c>
      <c r="K266" s="1557">
        <f t="shared" si="233"/>
        <v>1</v>
      </c>
      <c r="L266" s="1557">
        <f t="shared" si="233"/>
        <v>1</v>
      </c>
      <c r="M266" s="1557">
        <f t="shared" si="233"/>
        <v>1</v>
      </c>
      <c r="N266" s="1557">
        <f t="shared" si="233"/>
        <v>1</v>
      </c>
      <c r="O266" s="1557">
        <f t="shared" si="233"/>
        <v>1</v>
      </c>
      <c r="P266" s="1557">
        <f t="shared" si="233"/>
        <v>0.8</v>
      </c>
      <c r="Q266" s="1557">
        <f t="shared" si="233"/>
        <v>1</v>
      </c>
      <c r="R266" s="1557">
        <f>R264/R265</f>
        <v>1</v>
      </c>
      <c r="S266" s="1557">
        <f>S264/S265</f>
        <v>1</v>
      </c>
      <c r="T266" s="1557">
        <f t="shared" ref="T266:W266" si="234">T264/T265</f>
        <v>0.8</v>
      </c>
      <c r="U266" s="1557">
        <f t="shared" si="234"/>
        <v>1</v>
      </c>
      <c r="V266" s="1557">
        <f t="shared" si="234"/>
        <v>1</v>
      </c>
      <c r="W266" s="1557" t="e">
        <f t="shared" si="234"/>
        <v>#DIV/0!</v>
      </c>
      <c r="X266" s="1557">
        <f>X264/X265</f>
        <v>1</v>
      </c>
      <c r="Y266" s="1557">
        <f t="shared" ref="Y266:AA266" si="235">Y264/Y265</f>
        <v>0.8</v>
      </c>
      <c r="Z266" s="1557">
        <f t="shared" si="235"/>
        <v>1</v>
      </c>
      <c r="AA266" s="1557">
        <f t="shared" si="235"/>
        <v>1</v>
      </c>
      <c r="AB266" s="1557">
        <f t="shared" ref="AB266:AE266" si="236">AB264/AB265</f>
        <v>1</v>
      </c>
      <c r="AC266" s="1557" t="e">
        <f t="shared" si="236"/>
        <v>#DIV/0!</v>
      </c>
      <c r="AD266" s="1557" t="e">
        <f t="shared" si="236"/>
        <v>#DIV/0!</v>
      </c>
      <c r="AE266" s="1557" t="e">
        <f t="shared" si="236"/>
        <v>#DIV/0!</v>
      </c>
    </row>
    <row r="267" spans="1:31">
      <c r="A267" s="3570"/>
      <c r="B267" s="3565" t="s">
        <v>70</v>
      </c>
      <c r="C267" s="3535">
        <f>COUNTA(A118:A122)</f>
        <v>5</v>
      </c>
      <c r="D267" s="1556">
        <f t="shared" ref="D267:Q267" si="237">COUNTIFS(D118:D122,"&gt;=6",D118:D122,"&lt;=8.5")</f>
        <v>5</v>
      </c>
      <c r="E267" s="1556">
        <f t="shared" si="237"/>
        <v>4</v>
      </c>
      <c r="F267" s="1556">
        <f t="shared" si="237"/>
        <v>5</v>
      </c>
      <c r="G267" s="1556">
        <f t="shared" si="237"/>
        <v>5</v>
      </c>
      <c r="H267" s="1556">
        <f t="shared" si="237"/>
        <v>5</v>
      </c>
      <c r="I267" s="1556">
        <f t="shared" si="237"/>
        <v>5</v>
      </c>
      <c r="J267" s="1556">
        <f t="shared" si="237"/>
        <v>5</v>
      </c>
      <c r="K267" s="1556">
        <f t="shared" si="237"/>
        <v>5</v>
      </c>
      <c r="L267" s="1556">
        <f t="shared" si="237"/>
        <v>5</v>
      </c>
      <c r="M267" s="1556">
        <f t="shared" si="237"/>
        <v>5</v>
      </c>
      <c r="N267" s="1556">
        <f t="shared" si="237"/>
        <v>5</v>
      </c>
      <c r="O267" s="1556">
        <f t="shared" si="237"/>
        <v>5</v>
      </c>
      <c r="P267" s="1556">
        <f t="shared" si="237"/>
        <v>5</v>
      </c>
      <c r="Q267" s="1556">
        <f t="shared" si="237"/>
        <v>5</v>
      </c>
      <c r="R267" s="1556">
        <f>COUNTIFS(R118:R122,"&gt;=6",R118:R122,"&lt;=8.5")</f>
        <v>5</v>
      </c>
      <c r="S267" s="1556">
        <f>COUNTIFS(S118:S122,"&gt;=6",S118:S122,"&lt;=8.5")</f>
        <v>5</v>
      </c>
      <c r="T267" s="3001">
        <f t="shared" ref="T267:W267" si="238">COUNTIFS(T118:T122,"&gt;=6",T118:T122,"&lt;=8.5")</f>
        <v>5</v>
      </c>
      <c r="U267" s="3001">
        <f t="shared" si="238"/>
        <v>5</v>
      </c>
      <c r="V267" s="3001">
        <f t="shared" si="238"/>
        <v>5</v>
      </c>
      <c r="W267" s="3001">
        <f t="shared" si="238"/>
        <v>0</v>
      </c>
      <c r="X267" s="1556">
        <f>COUNTIFS(X117:X121,"&gt;=6",X117:X121,"&lt;=8.5")</f>
        <v>5</v>
      </c>
      <c r="Y267" s="3264">
        <f t="shared" ref="Y267:AA267" si="239">COUNTIFS(Y117:Y121,"&gt;=6",Y117:Y121,"&lt;=8.5")</f>
        <v>4</v>
      </c>
      <c r="Z267" s="3264">
        <f t="shared" si="239"/>
        <v>5</v>
      </c>
      <c r="AA267" s="3264">
        <f t="shared" si="239"/>
        <v>5</v>
      </c>
      <c r="AB267" s="3489">
        <f t="shared" ref="AB267:AE267" si="240">COUNTIFS(AB117:AB121,"&gt;=6",AB117:AB121,"&lt;=8.5")</f>
        <v>4</v>
      </c>
      <c r="AC267" s="3489">
        <f t="shared" si="240"/>
        <v>0</v>
      </c>
      <c r="AD267" s="3489">
        <f t="shared" si="240"/>
        <v>0</v>
      </c>
      <c r="AE267" s="3489">
        <f t="shared" si="240"/>
        <v>0</v>
      </c>
    </row>
    <row r="268" spans="1:31">
      <c r="A268" s="3570"/>
      <c r="B268" s="3566"/>
      <c r="C268" s="3536"/>
      <c r="D268" s="1558">
        <f t="shared" ref="D268:Q268" si="241">COUNT(D118:D122)</f>
        <v>5</v>
      </c>
      <c r="E268" s="1558">
        <f t="shared" si="241"/>
        <v>5</v>
      </c>
      <c r="F268" s="1558">
        <f t="shared" si="241"/>
        <v>5</v>
      </c>
      <c r="G268" s="1558">
        <f t="shared" si="241"/>
        <v>5</v>
      </c>
      <c r="H268" s="1558">
        <f t="shared" si="241"/>
        <v>5</v>
      </c>
      <c r="I268" s="1558">
        <f t="shared" si="241"/>
        <v>5</v>
      </c>
      <c r="J268" s="1558">
        <f t="shared" si="241"/>
        <v>5</v>
      </c>
      <c r="K268" s="1558">
        <f t="shared" si="241"/>
        <v>5</v>
      </c>
      <c r="L268" s="1558">
        <f t="shared" si="241"/>
        <v>5</v>
      </c>
      <c r="M268" s="1558">
        <f t="shared" si="241"/>
        <v>5</v>
      </c>
      <c r="N268" s="1558">
        <f t="shared" si="241"/>
        <v>5</v>
      </c>
      <c r="O268" s="1558">
        <f t="shared" si="241"/>
        <v>5</v>
      </c>
      <c r="P268" s="1558">
        <f t="shared" si="241"/>
        <v>5</v>
      </c>
      <c r="Q268" s="1558">
        <f t="shared" si="241"/>
        <v>5</v>
      </c>
      <c r="R268" s="1558">
        <f>COUNT(R118:R122)</f>
        <v>5</v>
      </c>
      <c r="S268" s="1558">
        <f>COUNT(S118:S122)</f>
        <v>5</v>
      </c>
      <c r="T268" s="3002">
        <f t="shared" ref="T268:W268" si="242">COUNT(T118:T122)</f>
        <v>5</v>
      </c>
      <c r="U268" s="3002">
        <f t="shared" si="242"/>
        <v>5</v>
      </c>
      <c r="V268" s="3002">
        <f t="shared" si="242"/>
        <v>5</v>
      </c>
      <c r="W268" s="3002">
        <f t="shared" si="242"/>
        <v>0</v>
      </c>
      <c r="X268" s="1558">
        <f>COUNT(X117:X121)</f>
        <v>5</v>
      </c>
      <c r="Y268" s="3265">
        <f t="shared" ref="Y268:AA268" si="243">COUNT(Y117:Y121)</f>
        <v>4</v>
      </c>
      <c r="Z268" s="3265">
        <f t="shared" si="243"/>
        <v>5</v>
      </c>
      <c r="AA268" s="3265">
        <f t="shared" si="243"/>
        <v>5</v>
      </c>
      <c r="AB268" s="3490">
        <f t="shared" ref="AB268:AE268" si="244">COUNT(AB117:AB121)</f>
        <v>4</v>
      </c>
      <c r="AC268" s="3490">
        <f t="shared" si="244"/>
        <v>0</v>
      </c>
      <c r="AD268" s="3490">
        <f t="shared" si="244"/>
        <v>0</v>
      </c>
      <c r="AE268" s="3490">
        <f t="shared" si="244"/>
        <v>0</v>
      </c>
    </row>
    <row r="269" spans="1:31">
      <c r="A269" s="3571"/>
      <c r="B269" s="3567"/>
      <c r="C269" s="3537"/>
      <c r="D269" s="1557">
        <f t="shared" ref="D269:Q269" si="245">D267/D268</f>
        <v>1</v>
      </c>
      <c r="E269" s="1557">
        <f t="shared" si="245"/>
        <v>0.8</v>
      </c>
      <c r="F269" s="1557">
        <f t="shared" si="245"/>
        <v>1</v>
      </c>
      <c r="G269" s="1557">
        <f t="shared" si="245"/>
        <v>1</v>
      </c>
      <c r="H269" s="1557">
        <f t="shared" si="245"/>
        <v>1</v>
      </c>
      <c r="I269" s="1557">
        <f t="shared" si="245"/>
        <v>1</v>
      </c>
      <c r="J269" s="1557">
        <f t="shared" si="245"/>
        <v>1</v>
      </c>
      <c r="K269" s="1557">
        <f t="shared" si="245"/>
        <v>1</v>
      </c>
      <c r="L269" s="1557">
        <f t="shared" si="245"/>
        <v>1</v>
      </c>
      <c r="M269" s="1557">
        <f t="shared" si="245"/>
        <v>1</v>
      </c>
      <c r="N269" s="1557">
        <f t="shared" si="245"/>
        <v>1</v>
      </c>
      <c r="O269" s="1557">
        <f t="shared" si="245"/>
        <v>1</v>
      </c>
      <c r="P269" s="1557">
        <f t="shared" si="245"/>
        <v>1</v>
      </c>
      <c r="Q269" s="1557">
        <f t="shared" si="245"/>
        <v>1</v>
      </c>
      <c r="R269" s="1557">
        <f>R267/R268</f>
        <v>1</v>
      </c>
      <c r="S269" s="1557">
        <f>S267/S268</f>
        <v>1</v>
      </c>
      <c r="T269" s="1557">
        <f t="shared" ref="T269:W269" si="246">T267/T268</f>
        <v>1</v>
      </c>
      <c r="U269" s="1557">
        <f t="shared" si="246"/>
        <v>1</v>
      </c>
      <c r="V269" s="1557">
        <f t="shared" si="246"/>
        <v>1</v>
      </c>
      <c r="W269" s="1557" t="e">
        <f t="shared" si="246"/>
        <v>#DIV/0!</v>
      </c>
      <c r="X269" s="1557">
        <f>X267/X268</f>
        <v>1</v>
      </c>
      <c r="Y269" s="1557">
        <f t="shared" ref="Y269:AA269" si="247">Y267/Y268</f>
        <v>1</v>
      </c>
      <c r="Z269" s="1557">
        <f t="shared" si="247"/>
        <v>1</v>
      </c>
      <c r="AA269" s="1557">
        <f t="shared" si="247"/>
        <v>1</v>
      </c>
      <c r="AB269" s="1557">
        <f t="shared" ref="AB269:AE269" si="248">AB267/AB268</f>
        <v>1</v>
      </c>
      <c r="AC269" s="1557" t="e">
        <f t="shared" si="248"/>
        <v>#DIV/0!</v>
      </c>
      <c r="AD269" s="1557" t="e">
        <f t="shared" si="248"/>
        <v>#DIV/0!</v>
      </c>
      <c r="AE269" s="1557" t="e">
        <f t="shared" si="248"/>
        <v>#DIV/0!</v>
      </c>
    </row>
    <row r="270" spans="1:31">
      <c r="A270" s="3572" t="s">
        <v>291</v>
      </c>
      <c r="B270" s="3574"/>
      <c r="C270" s="1104">
        <f>SUM(C222:C267)</f>
        <v>84</v>
      </c>
      <c r="D270" s="1104">
        <f t="shared" ref="D270:Q270" si="249">SUM(D222,D225,D228,D231,D234,D237,D240,D243,D246,D249,D252,D255,D258,D261,D264,D267)</f>
        <v>47</v>
      </c>
      <c r="E270" s="1104">
        <f t="shared" si="249"/>
        <v>70</v>
      </c>
      <c r="F270" s="1104">
        <f t="shared" si="249"/>
        <v>74</v>
      </c>
      <c r="G270" s="1104">
        <f t="shared" si="249"/>
        <v>73</v>
      </c>
      <c r="H270" s="1104">
        <f t="shared" si="249"/>
        <v>56</v>
      </c>
      <c r="I270" s="1104">
        <f t="shared" si="249"/>
        <v>74</v>
      </c>
      <c r="J270" s="1104">
        <f t="shared" si="249"/>
        <v>75</v>
      </c>
      <c r="K270" s="1104">
        <f t="shared" si="249"/>
        <v>65</v>
      </c>
      <c r="L270" s="1104">
        <f t="shared" si="249"/>
        <v>45</v>
      </c>
      <c r="M270" s="1104">
        <f t="shared" si="249"/>
        <v>58</v>
      </c>
      <c r="N270" s="1104">
        <f t="shared" si="249"/>
        <v>71</v>
      </c>
      <c r="O270" s="1104">
        <f t="shared" si="249"/>
        <v>48</v>
      </c>
      <c r="P270" s="1104">
        <f t="shared" si="249"/>
        <v>73</v>
      </c>
      <c r="Q270" s="1104">
        <f t="shared" si="249"/>
        <v>78</v>
      </c>
      <c r="R270" s="1104">
        <f>SUM(R222,R225,R228,R231,R234,R237,R240,R243,R246,R249,R252,R255,R258,R261,R264,R267)</f>
        <v>74</v>
      </c>
      <c r="S270" s="1104">
        <f>SUM(S222,S225,S228,S231,S234,S237,S240,S243,S246,S249,S252,S255,S258,S261,S264,S267)</f>
        <v>81</v>
      </c>
      <c r="T270" s="1104">
        <f t="shared" ref="T270:W270" si="250">SUM(T222,T225,T228,T231,T234,T237,T240,T243,T246,T249,T252,T255,T258,T261,T264,T267)</f>
        <v>63</v>
      </c>
      <c r="U270" s="1104">
        <f t="shared" si="250"/>
        <v>63</v>
      </c>
      <c r="V270" s="1104">
        <f t="shared" si="250"/>
        <v>56</v>
      </c>
      <c r="W270" s="1104">
        <f t="shared" si="250"/>
        <v>61</v>
      </c>
      <c r="X270" s="1104">
        <f>SUM(X222,X225,X228,X231,X234,X237,X240,X243,X246,X249,X252,X255,X258,X261,X264,X267)</f>
        <v>80</v>
      </c>
      <c r="Y270" s="1104">
        <f t="shared" ref="Y270:AA270" si="251">SUM(Y222,Y225,Y228,Y231,Y234,Y237,Y240,Y243,Y246,Y249,Y252,Y255,Y258,Y261,Y264,Y267)</f>
        <v>79</v>
      </c>
      <c r="Z270" s="1104">
        <f t="shared" si="251"/>
        <v>73</v>
      </c>
      <c r="AA270" s="1104">
        <f t="shared" si="251"/>
        <v>73</v>
      </c>
      <c r="AB270" s="3491">
        <f t="shared" ref="AB270:AE270" si="252">SUM(AB222,AB225,AB228,AB231,AB234,AB237,AB240,AB243,AB246,AB249,AB252,AB255,AB258,AB261,AB264,AB267)</f>
        <v>78</v>
      </c>
      <c r="AC270" s="3491">
        <f t="shared" si="252"/>
        <v>0</v>
      </c>
      <c r="AD270" s="3491">
        <f t="shared" si="252"/>
        <v>0</v>
      </c>
      <c r="AE270" s="3491">
        <f t="shared" si="252"/>
        <v>0</v>
      </c>
    </row>
    <row r="271" spans="1:31">
      <c r="A271" s="3575"/>
      <c r="B271" s="3577"/>
      <c r="C271" s="1375" t="s">
        <v>305</v>
      </c>
      <c r="D271" s="1104">
        <f t="shared" ref="D271:Q271" si="253">SUM(D223,D226,D229,D232,D235,D238,D241,D244,D247,D250,D253,D256,D259,D262,D265,D268)</f>
        <v>70</v>
      </c>
      <c r="E271" s="1104">
        <f t="shared" si="253"/>
        <v>71</v>
      </c>
      <c r="F271" s="1104">
        <f t="shared" si="253"/>
        <v>74</v>
      </c>
      <c r="G271" s="1104">
        <f t="shared" si="253"/>
        <v>74</v>
      </c>
      <c r="H271" s="1104">
        <f t="shared" si="253"/>
        <v>74</v>
      </c>
      <c r="I271" s="1104">
        <f t="shared" si="253"/>
        <v>79</v>
      </c>
      <c r="J271" s="1104">
        <f t="shared" si="253"/>
        <v>79</v>
      </c>
      <c r="K271" s="1104">
        <f t="shared" si="253"/>
        <v>79</v>
      </c>
      <c r="L271" s="1104">
        <f t="shared" si="253"/>
        <v>61</v>
      </c>
      <c r="M271" s="1104">
        <f t="shared" si="253"/>
        <v>64</v>
      </c>
      <c r="N271" s="1104">
        <f t="shared" si="253"/>
        <v>84</v>
      </c>
      <c r="O271" s="1104">
        <f t="shared" si="253"/>
        <v>53</v>
      </c>
      <c r="P271" s="1104">
        <f t="shared" si="253"/>
        <v>79</v>
      </c>
      <c r="Q271" s="1104">
        <f t="shared" si="253"/>
        <v>79</v>
      </c>
      <c r="R271" s="1104">
        <f>SUM(R223,R226,R229,R232,R235,R238,R241,R244,R247,R250,R253,R256,R259,R262,R265,R268)</f>
        <v>80</v>
      </c>
      <c r="S271" s="1104">
        <f>SUM(S223,S226,S229,S232,S235,S238,S241,S244,S247,S250,S253,S256,S259,S262,S265,S268)</f>
        <v>85</v>
      </c>
      <c r="T271" s="1104">
        <f t="shared" ref="T271:W271" si="254">SUM(T223,T226,T229,T232,T235,T238,T241,T244,T247,T250,T253,T256,T259,T262,T265,T268)</f>
        <v>64</v>
      </c>
      <c r="U271" s="1104">
        <f t="shared" si="254"/>
        <v>63</v>
      </c>
      <c r="V271" s="1104">
        <f t="shared" si="254"/>
        <v>59</v>
      </c>
      <c r="W271" s="1104">
        <f t="shared" si="254"/>
        <v>61</v>
      </c>
      <c r="X271" s="1104">
        <f>SUM(X223,X226,X229,X232,X235,X238,X241,X244,X247,X250,X253,X256,X259,X262,X265,X268)</f>
        <v>81</v>
      </c>
      <c r="Y271" s="1104">
        <f t="shared" ref="Y271:AA271" si="255">SUM(Y223,Y226,Y229,Y232,Y235,Y238,Y241,Y244,Y247,Y250,Y253,Y256,Y259,Y262,Y265,Y268)</f>
        <v>80</v>
      </c>
      <c r="Z271" s="1104">
        <f t="shared" si="255"/>
        <v>80</v>
      </c>
      <c r="AA271" s="1104">
        <f t="shared" si="255"/>
        <v>81</v>
      </c>
      <c r="AB271" s="3491">
        <f t="shared" ref="AB271:AE271" si="256">SUM(AB223,AB226,AB229,AB232,AB235,AB238,AB241,AB244,AB247,AB250,AB253,AB256,AB259,AB262,AB265,AB268)</f>
        <v>79</v>
      </c>
      <c r="AC271" s="3491">
        <f t="shared" si="256"/>
        <v>1</v>
      </c>
      <c r="AD271" s="3491">
        <f t="shared" si="256"/>
        <v>1</v>
      </c>
      <c r="AE271" s="3491">
        <f t="shared" si="256"/>
        <v>1</v>
      </c>
    </row>
    <row r="272" spans="1:31">
      <c r="A272" s="3578"/>
      <c r="B272" s="3580"/>
      <c r="C272" s="1100" t="s">
        <v>302</v>
      </c>
      <c r="D272" s="1105">
        <f t="shared" ref="D272:Q272" si="257">D270/D271</f>
        <v>0.67142857142857137</v>
      </c>
      <c r="E272" s="1105">
        <f t="shared" si="257"/>
        <v>0.9859154929577465</v>
      </c>
      <c r="F272" s="1105">
        <f t="shared" si="257"/>
        <v>1</v>
      </c>
      <c r="G272" s="1105">
        <f t="shared" si="257"/>
        <v>0.98648648648648651</v>
      </c>
      <c r="H272" s="1105">
        <f t="shared" si="257"/>
        <v>0.7567567567567568</v>
      </c>
      <c r="I272" s="1105">
        <f t="shared" si="257"/>
        <v>0.93670886075949367</v>
      </c>
      <c r="J272" s="1105">
        <f t="shared" si="257"/>
        <v>0.94936708860759489</v>
      </c>
      <c r="K272" s="1105">
        <f t="shared" si="257"/>
        <v>0.82278481012658233</v>
      </c>
      <c r="L272" s="1105">
        <f t="shared" si="257"/>
        <v>0.73770491803278693</v>
      </c>
      <c r="M272" s="1105">
        <f t="shared" si="257"/>
        <v>0.90625</v>
      </c>
      <c r="N272" s="1105">
        <f t="shared" si="257"/>
        <v>0.84523809523809523</v>
      </c>
      <c r="O272" s="1105">
        <f t="shared" si="257"/>
        <v>0.90566037735849059</v>
      </c>
      <c r="P272" s="1105">
        <f t="shared" si="257"/>
        <v>0.92405063291139244</v>
      </c>
      <c r="Q272" s="1105">
        <f t="shared" si="257"/>
        <v>0.98734177215189878</v>
      </c>
      <c r="R272" s="1105">
        <f>R270/R271</f>
        <v>0.92500000000000004</v>
      </c>
      <c r="S272" s="1105">
        <f>S270/S271</f>
        <v>0.95294117647058818</v>
      </c>
      <c r="T272" s="1105">
        <f t="shared" ref="T272:W272" si="258">T270/T271</f>
        <v>0.984375</v>
      </c>
      <c r="U272" s="1105">
        <f t="shared" si="258"/>
        <v>1</v>
      </c>
      <c r="V272" s="1105">
        <f t="shared" si="258"/>
        <v>0.94915254237288138</v>
      </c>
      <c r="W272" s="1105">
        <f t="shared" si="258"/>
        <v>1</v>
      </c>
      <c r="X272" s="1105">
        <f>X270/X271</f>
        <v>0.98765432098765427</v>
      </c>
      <c r="Y272" s="1105">
        <f t="shared" ref="Y272:AA272" si="259">Y270/Y271</f>
        <v>0.98750000000000004</v>
      </c>
      <c r="Z272" s="1105">
        <f t="shared" si="259"/>
        <v>0.91249999999999998</v>
      </c>
      <c r="AA272" s="1105">
        <f t="shared" si="259"/>
        <v>0.90123456790123457</v>
      </c>
      <c r="AB272" s="1105">
        <f t="shared" ref="AB272:AE272" si="260">AB270/AB271</f>
        <v>0.98734177215189878</v>
      </c>
      <c r="AC272" s="1105">
        <f t="shared" si="260"/>
        <v>0</v>
      </c>
      <c r="AD272" s="1105">
        <f t="shared" si="260"/>
        <v>0</v>
      </c>
      <c r="AE272" s="1105">
        <f t="shared" si="260"/>
        <v>0</v>
      </c>
    </row>
  </sheetData>
  <sortState ref="C86:K90">
    <sortCondition ref="C86:C90"/>
  </sortState>
  <mergeCells count="72">
    <mergeCell ref="A222:A248"/>
    <mergeCell ref="B222:B224"/>
    <mergeCell ref="B225:B227"/>
    <mergeCell ref="A270:B272"/>
    <mergeCell ref="B261:B263"/>
    <mergeCell ref="B264:B266"/>
    <mergeCell ref="B267:B269"/>
    <mergeCell ref="B255:B257"/>
    <mergeCell ref="B258:B260"/>
    <mergeCell ref="A249:A257"/>
    <mergeCell ref="A258:A269"/>
    <mergeCell ref="B249:B251"/>
    <mergeCell ref="B237:B239"/>
    <mergeCell ref="B252:B254"/>
    <mergeCell ref="B240:B242"/>
    <mergeCell ref="B243:B245"/>
    <mergeCell ref="C267:C269"/>
    <mergeCell ref="C252:C254"/>
    <mergeCell ref="C255:C257"/>
    <mergeCell ref="C258:C260"/>
    <mergeCell ref="C249:C251"/>
    <mergeCell ref="C261:C263"/>
    <mergeCell ref="C264:C266"/>
    <mergeCell ref="B246:B248"/>
    <mergeCell ref="C222:C224"/>
    <mergeCell ref="C225:C227"/>
    <mergeCell ref="B228:B230"/>
    <mergeCell ref="B231:B233"/>
    <mergeCell ref="B234:B236"/>
    <mergeCell ref="C237:C239"/>
    <mergeCell ref="C240:C242"/>
    <mergeCell ref="C243:C245"/>
    <mergeCell ref="C246:C248"/>
    <mergeCell ref="C228:C230"/>
    <mergeCell ref="C231:C233"/>
    <mergeCell ref="C234:C236"/>
    <mergeCell ref="D2:N3"/>
    <mergeCell ref="P8:S8"/>
    <mergeCell ref="A8:A9"/>
    <mergeCell ref="C8:C9"/>
    <mergeCell ref="D8:G8"/>
    <mergeCell ref="H8:K8"/>
    <mergeCell ref="F6:L6"/>
    <mergeCell ref="E5:M5"/>
    <mergeCell ref="F7:L7"/>
    <mergeCell ref="X8:AA8"/>
    <mergeCell ref="N67:Q67"/>
    <mergeCell ref="F67:I67"/>
    <mergeCell ref="B128:B130"/>
    <mergeCell ref="N196:Q197"/>
    <mergeCell ref="N134:Q135"/>
    <mergeCell ref="N179:Q180"/>
    <mergeCell ref="F134:I135"/>
    <mergeCell ref="F179:I180"/>
    <mergeCell ref="F196:I197"/>
    <mergeCell ref="T8:W8"/>
    <mergeCell ref="AB8:AE8"/>
    <mergeCell ref="AB220:AE220"/>
    <mergeCell ref="X220:AA220"/>
    <mergeCell ref="A46:A49"/>
    <mergeCell ref="A50:A52"/>
    <mergeCell ref="A53:A55"/>
    <mergeCell ref="A56:A58"/>
    <mergeCell ref="A59:A61"/>
    <mergeCell ref="P220:S220"/>
    <mergeCell ref="T220:W220"/>
    <mergeCell ref="A219:A221"/>
    <mergeCell ref="B219:B221"/>
    <mergeCell ref="C219:C221"/>
    <mergeCell ref="H220:K220"/>
    <mergeCell ref="L220:O220"/>
    <mergeCell ref="D220:G220"/>
  </mergeCells>
  <conditionalFormatting sqref="D195:E197 K195:K197 F195:J195">
    <cfRule type="cellIs" dxfId="212" priority="142" operator="greaterThanOrEqual">
      <formula>5</formula>
    </cfRule>
  </conditionalFormatting>
  <conditionalFormatting sqref="D200:W213 D136:W173 D183:W191 X200:X201 L24:O45 L12:O22 D12:K45 R13:W45 W68 D68:V93 D23:O23 P12:Q45 D99:W122 T12:U45 W70:W93 D46:W61 Y12:AE61 Y118:AE121 Y112:AE116 Y136:AE173 Y183:AE191">
    <cfRule type="cellIs" dxfId="211" priority="119" operator="between">
      <formula>6</formula>
      <formula>8.5</formula>
    </cfRule>
  </conditionalFormatting>
  <conditionalFormatting sqref="D27:K31">
    <cfRule type="cellIs" dxfId="210" priority="102" operator="between">
      <formula>6</formula>
      <formula>8.5</formula>
    </cfRule>
    <cfRule type="cellIs" dxfId="209" priority="103" operator="between">
      <formula>6</formula>
      <formula>8.5</formula>
    </cfRule>
  </conditionalFormatting>
  <conditionalFormatting sqref="U136:U173 D46:L61 P46:AE61 Y136:AE173">
    <cfRule type="cellIs" dxfId="208" priority="36" operator="greaterThanOrEqual">
      <formula>5</formula>
    </cfRule>
  </conditionalFormatting>
  <conditionalFormatting sqref="U136:U173 Y136:AE173">
    <cfRule type="cellIs" dxfId="207" priority="34" operator="lessThan">
      <formula>5</formula>
    </cfRule>
    <cfRule type="cellIs" dxfId="206" priority="35" operator="greaterThan">
      <formula>5</formula>
    </cfRule>
  </conditionalFormatting>
  <conditionalFormatting sqref="X99:X122 X68:AE93">
    <cfRule type="cellIs" dxfId="205" priority="31" operator="between">
      <formula>6.5</formula>
      <formula>8.5</formula>
    </cfRule>
  </conditionalFormatting>
  <conditionalFormatting sqref="D46:W61 Y46:AE61">
    <cfRule type="cellIs" dxfId="204" priority="28" operator="lessThanOrEqual">
      <formula>10</formula>
    </cfRule>
  </conditionalFormatting>
  <conditionalFormatting sqref="D46:W61 Y46:AE61">
    <cfRule type="cellIs" dxfId="203" priority="26" operator="lessThan">
      <formula>10</formula>
    </cfRule>
    <cfRule type="cellIs" dxfId="202" priority="27" operator="greaterThan">
      <formula>10</formula>
    </cfRule>
  </conditionalFormatting>
  <conditionalFormatting sqref="M46:O61">
    <cfRule type="cellIs" dxfId="201" priority="24" operator="lessThanOrEqual">
      <formula>0.4</formula>
    </cfRule>
  </conditionalFormatting>
  <conditionalFormatting sqref="D46:AE61">
    <cfRule type="cellIs" dxfId="200" priority="21" operator="lessThan">
      <formula>5</formula>
    </cfRule>
    <cfRule type="cellIs" dxfId="199" priority="22" operator="greaterThan">
      <formula>5</formula>
    </cfRule>
    <cfRule type="cellIs" dxfId="198" priority="23" operator="greaterThan">
      <formula>5</formula>
    </cfRule>
  </conditionalFormatting>
  <conditionalFormatting sqref="D46:O61">
    <cfRule type="cellIs" dxfId="197" priority="20" operator="greaterThan">
      <formula>4.9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21"/>
  <sheetViews>
    <sheetView topLeftCell="A70" zoomScale="80" zoomScaleNormal="80" workbookViewId="0">
      <pane xSplit="3" topLeftCell="S1" activePane="topRight" state="frozen"/>
      <selection pane="topRight" activeCell="AB96" sqref="AB96"/>
    </sheetView>
  </sheetViews>
  <sheetFormatPr defaultRowHeight="15"/>
  <cols>
    <col min="1" max="1" width="21.7109375" customWidth="1"/>
    <col min="2" max="2" width="6.5703125" customWidth="1"/>
    <col min="3" max="3" width="41.5703125" customWidth="1"/>
  </cols>
  <sheetData>
    <row r="1" spans="1:31">
      <c r="A1" s="726"/>
      <c r="B1" s="726"/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54"/>
      <c r="Q1" s="754"/>
      <c r="R1" s="754"/>
      <c r="S1" s="754"/>
      <c r="T1" s="754"/>
      <c r="U1" s="754"/>
      <c r="V1" s="754"/>
      <c r="W1" s="754"/>
      <c r="X1" s="764"/>
      <c r="Y1" s="3104"/>
      <c r="Z1" s="3104"/>
      <c r="AA1" s="3104"/>
    </row>
    <row r="2" spans="1:31">
      <c r="A2" s="726"/>
      <c r="B2" s="726"/>
      <c r="C2" s="726"/>
      <c r="D2" s="3595" t="s">
        <v>264</v>
      </c>
      <c r="E2" s="3595"/>
      <c r="F2" s="3595"/>
      <c r="G2" s="3595"/>
      <c r="H2" s="3595"/>
      <c r="I2" s="3595"/>
      <c r="J2" s="3595"/>
      <c r="K2" s="3595"/>
      <c r="L2" s="3595"/>
      <c r="M2" s="3595"/>
      <c r="N2" s="3595"/>
      <c r="O2" s="726"/>
      <c r="P2" s="754"/>
      <c r="Q2" s="754"/>
      <c r="R2" s="754"/>
      <c r="S2" s="754"/>
      <c r="T2" s="754"/>
      <c r="U2" s="754"/>
      <c r="V2" s="754"/>
      <c r="W2" s="754"/>
      <c r="X2" s="764"/>
      <c r="Y2" s="3104"/>
      <c r="Z2" s="3104"/>
      <c r="AA2" s="3104"/>
    </row>
    <row r="3" spans="1:31">
      <c r="A3" s="726"/>
      <c r="B3" s="726"/>
      <c r="C3" s="726"/>
      <c r="D3" s="3595"/>
      <c r="E3" s="3595"/>
      <c r="F3" s="3595"/>
      <c r="G3" s="3595"/>
      <c r="H3" s="3595"/>
      <c r="I3" s="3595"/>
      <c r="J3" s="3595"/>
      <c r="K3" s="3595"/>
      <c r="L3" s="3595"/>
      <c r="M3" s="3595"/>
      <c r="N3" s="3595"/>
      <c r="O3" s="726"/>
      <c r="P3" s="754"/>
      <c r="Q3" s="754"/>
      <c r="R3" s="754"/>
      <c r="S3" s="754"/>
      <c r="T3" s="754"/>
      <c r="U3" s="754"/>
      <c r="V3" s="754"/>
      <c r="W3" s="754"/>
      <c r="X3" s="764"/>
      <c r="Y3" s="3104"/>
      <c r="Z3" s="3104"/>
      <c r="AA3" s="3104"/>
    </row>
    <row r="4" spans="1:31" ht="15.75" thickBot="1">
      <c r="A4" s="726"/>
      <c r="B4" s="726"/>
      <c r="C4" s="726"/>
      <c r="D4" s="726"/>
      <c r="E4" s="726"/>
      <c r="F4" s="726"/>
      <c r="G4" s="726"/>
      <c r="H4" s="726"/>
      <c r="I4" s="726"/>
      <c r="J4" s="726"/>
      <c r="K4" s="726"/>
      <c r="L4" s="726"/>
      <c r="M4" s="726"/>
      <c r="N4" s="726"/>
      <c r="O4" s="726"/>
      <c r="P4" s="754"/>
      <c r="Q4" s="754"/>
      <c r="R4" s="754"/>
      <c r="S4" s="754"/>
      <c r="T4" s="754"/>
      <c r="U4" s="754"/>
      <c r="V4" s="754"/>
      <c r="W4" s="754"/>
      <c r="X4" s="764"/>
      <c r="Y4" s="3104"/>
      <c r="Z4" s="3104"/>
      <c r="AA4" s="3104"/>
    </row>
    <row r="5" spans="1:31" ht="15.75" thickBot="1">
      <c r="A5" s="750"/>
      <c r="B5" s="750"/>
      <c r="C5" s="750"/>
      <c r="D5" s="750"/>
      <c r="E5" s="3538" t="s">
        <v>384</v>
      </c>
      <c r="F5" s="3539"/>
      <c r="G5" s="3539"/>
      <c r="H5" s="3539"/>
      <c r="I5" s="3539"/>
      <c r="J5" s="3539"/>
      <c r="K5" s="3539"/>
      <c r="L5" s="3539"/>
      <c r="M5" s="3540"/>
      <c r="N5" s="726"/>
      <c r="O5" s="726"/>
      <c r="P5" s="754"/>
      <c r="Q5" s="754"/>
      <c r="R5" s="754"/>
      <c r="S5" s="754"/>
      <c r="T5" s="754"/>
      <c r="U5" s="754"/>
      <c r="V5" s="754"/>
      <c r="W5" s="754"/>
      <c r="X5" s="764"/>
      <c r="Y5" s="3104"/>
      <c r="Z5" s="3104"/>
      <c r="AA5" s="3104"/>
    </row>
    <row r="6" spans="1:31" ht="15.75" thickBot="1">
      <c r="A6" s="751"/>
      <c r="B6" s="751"/>
      <c r="C6" s="751"/>
      <c r="D6" s="753"/>
      <c r="E6" s="752"/>
      <c r="F6" s="3589" t="s">
        <v>385</v>
      </c>
      <c r="G6" s="3590"/>
      <c r="H6" s="3590"/>
      <c r="I6" s="3590"/>
      <c r="J6" s="3590"/>
      <c r="K6" s="3590"/>
      <c r="L6" s="3591"/>
      <c r="M6" s="726"/>
      <c r="N6" s="726"/>
      <c r="O6" s="726"/>
      <c r="P6" s="754"/>
      <c r="Q6" s="754"/>
      <c r="R6" s="754"/>
      <c r="S6" s="754"/>
      <c r="T6" s="754"/>
      <c r="U6" s="754"/>
      <c r="V6" s="754"/>
      <c r="W6" s="754"/>
      <c r="X6" s="764"/>
      <c r="Y6" s="3104"/>
      <c r="Z6" s="3104"/>
      <c r="AA6" s="3104"/>
    </row>
    <row r="7" spans="1:31" ht="15.75" thickBot="1">
      <c r="A7" s="116"/>
      <c r="B7" s="116"/>
      <c r="C7" s="116"/>
      <c r="D7" s="237"/>
      <c r="E7" s="237"/>
      <c r="F7" s="237"/>
      <c r="G7" s="237"/>
      <c r="H7" s="237"/>
      <c r="I7" s="193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767"/>
      <c r="Y7" s="3104"/>
      <c r="Z7" s="3104"/>
      <c r="AA7" s="3104"/>
    </row>
    <row r="8" spans="1:31" ht="15.75" thickBot="1">
      <c r="A8" s="3596" t="s">
        <v>0</v>
      </c>
      <c r="B8" s="1006"/>
      <c r="C8" s="3598" t="s">
        <v>1</v>
      </c>
      <c r="D8" s="3550">
        <v>2011</v>
      </c>
      <c r="E8" s="3551"/>
      <c r="F8" s="3551"/>
      <c r="G8" s="3552"/>
      <c r="H8" s="3600">
        <v>2012</v>
      </c>
      <c r="I8" s="3548"/>
      <c r="J8" s="3548"/>
      <c r="K8" s="3601"/>
      <c r="L8" s="968">
        <v>2013</v>
      </c>
      <c r="M8" s="968"/>
      <c r="N8" s="968"/>
      <c r="O8" s="968"/>
      <c r="P8" s="3517">
        <v>2014</v>
      </c>
      <c r="Q8" s="3517"/>
      <c r="R8" s="3517"/>
      <c r="S8" s="3518"/>
      <c r="T8" s="3517">
        <v>2015</v>
      </c>
      <c r="U8" s="3517"/>
      <c r="V8" s="3517"/>
      <c r="W8" s="3518"/>
      <c r="X8" s="3516">
        <v>2016</v>
      </c>
      <c r="Y8" s="3517"/>
      <c r="Z8" s="3517"/>
      <c r="AA8" s="3518"/>
      <c r="AB8" s="3516">
        <v>2017</v>
      </c>
      <c r="AC8" s="3517"/>
      <c r="AD8" s="3517"/>
      <c r="AE8" s="3518"/>
    </row>
    <row r="9" spans="1:31" ht="15.75" thickBot="1">
      <c r="A9" s="3597"/>
      <c r="B9" s="1007"/>
      <c r="C9" s="3599"/>
      <c r="D9" s="720" t="s">
        <v>2</v>
      </c>
      <c r="E9" s="3105" t="s">
        <v>3</v>
      </c>
      <c r="F9" s="3106" t="s">
        <v>4</v>
      </c>
      <c r="G9" s="2494" t="s">
        <v>5</v>
      </c>
      <c r="H9" s="2101" t="s">
        <v>2</v>
      </c>
      <c r="I9" s="3105" t="s">
        <v>3</v>
      </c>
      <c r="J9" s="3106" t="s">
        <v>4</v>
      </c>
      <c r="K9" s="2499" t="s">
        <v>5</v>
      </c>
      <c r="L9" s="2101" t="s">
        <v>2</v>
      </c>
      <c r="M9" s="3105" t="s">
        <v>3</v>
      </c>
      <c r="N9" s="3106" t="s">
        <v>4</v>
      </c>
      <c r="O9" s="2499" t="s">
        <v>5</v>
      </c>
      <c r="P9" s="2101" t="s">
        <v>2</v>
      </c>
      <c r="Q9" s="3105" t="s">
        <v>3</v>
      </c>
      <c r="R9" s="3106" t="s">
        <v>4</v>
      </c>
      <c r="S9" s="724" t="s">
        <v>5</v>
      </c>
      <c r="T9" s="2101" t="s">
        <v>2</v>
      </c>
      <c r="U9" s="3105" t="s">
        <v>3</v>
      </c>
      <c r="V9" s="3106" t="s">
        <v>4</v>
      </c>
      <c r="W9" s="724" t="s">
        <v>5</v>
      </c>
      <c r="X9" s="2101" t="s">
        <v>2</v>
      </c>
      <c r="Y9" s="3105" t="s">
        <v>3</v>
      </c>
      <c r="Z9" s="3106" t="s">
        <v>4</v>
      </c>
      <c r="AA9" s="724" t="s">
        <v>5</v>
      </c>
      <c r="AB9" s="2101" t="s">
        <v>2</v>
      </c>
      <c r="AC9" s="3493" t="s">
        <v>3</v>
      </c>
      <c r="AD9" s="3494" t="s">
        <v>4</v>
      </c>
      <c r="AE9" s="724" t="s">
        <v>5</v>
      </c>
    </row>
    <row r="10" spans="1:31" ht="15.75" thickBot="1">
      <c r="A10" s="542" t="s">
        <v>168</v>
      </c>
      <c r="B10" s="355"/>
      <c r="C10" s="542" t="s">
        <v>168</v>
      </c>
      <c r="D10" s="355">
        <v>7.0000000000000007E-2</v>
      </c>
      <c r="E10" s="355">
        <v>7.0000000000000007E-2</v>
      </c>
      <c r="F10" s="355">
        <v>7.0000000000000007E-2</v>
      </c>
      <c r="G10" s="355">
        <v>7.0000000000000007E-2</v>
      </c>
      <c r="H10" s="355">
        <v>7.0000000000000007E-2</v>
      </c>
      <c r="I10" s="355">
        <v>7.0000000000000007E-2</v>
      </c>
      <c r="J10" s="355">
        <v>7.0000000000000007E-2</v>
      </c>
      <c r="K10" s="355">
        <v>7.0000000000000007E-2</v>
      </c>
      <c r="L10" s="355">
        <v>7.0000000000000007E-2</v>
      </c>
      <c r="M10" s="355">
        <v>7.0000000000000007E-2</v>
      </c>
      <c r="N10" s="355">
        <v>7.0000000000000007E-2</v>
      </c>
      <c r="O10" s="355">
        <v>7.0000000000000007E-2</v>
      </c>
      <c r="P10" s="355">
        <v>7.0000000000000007E-2</v>
      </c>
      <c r="Q10" s="355">
        <v>7.0000000000000007E-2</v>
      </c>
      <c r="R10" s="355">
        <v>7.0000000000000007E-2</v>
      </c>
      <c r="S10" s="355">
        <v>7.0000000000000007E-2</v>
      </c>
      <c r="T10" s="355">
        <v>7.0000000000000007E-2</v>
      </c>
      <c r="U10" s="355">
        <v>7.0000000000000007E-2</v>
      </c>
      <c r="V10" s="355">
        <v>7.0000000000000007E-2</v>
      </c>
      <c r="W10" s="355">
        <v>7.0000000000000007E-2</v>
      </c>
      <c r="X10" s="355">
        <v>7.0000000000000007E-2</v>
      </c>
      <c r="Y10" s="355">
        <v>7.0000000000000007E-2</v>
      </c>
      <c r="Z10" s="355">
        <v>0.05</v>
      </c>
      <c r="AA10" s="355">
        <v>0.05</v>
      </c>
      <c r="AB10" s="355">
        <v>0.05</v>
      </c>
      <c r="AC10" s="355">
        <v>0.05</v>
      </c>
      <c r="AD10" s="355">
        <v>0.05</v>
      </c>
      <c r="AE10" s="355">
        <v>0.05</v>
      </c>
    </row>
    <row r="11" spans="1:31" ht="18.75" customHeight="1">
      <c r="A11" s="3604" t="s">
        <v>16</v>
      </c>
      <c r="B11" s="1377">
        <f>COUNTA(C11:C14)</f>
        <v>4</v>
      </c>
      <c r="C11" s="1291" t="s">
        <v>21</v>
      </c>
      <c r="D11" s="1292"/>
      <c r="E11" s="1292"/>
      <c r="F11" s="1292"/>
      <c r="G11" s="2495"/>
      <c r="H11" s="2439"/>
      <c r="I11" s="1295"/>
      <c r="J11" s="1348"/>
      <c r="K11" s="1296"/>
      <c r="L11" s="1241"/>
      <c r="M11" s="1118"/>
      <c r="N11" s="1118"/>
      <c r="O11" s="2489"/>
      <c r="P11" s="2230"/>
      <c r="Q11" s="2452"/>
      <c r="R11" s="1577"/>
      <c r="S11" s="1577"/>
      <c r="T11" s="2230"/>
      <c r="U11" s="2452"/>
      <c r="V11" s="1577"/>
      <c r="W11" s="1577"/>
      <c r="X11" s="2230"/>
      <c r="Y11" s="2452">
        <v>5.6000000000000001E-2</v>
      </c>
      <c r="Z11" s="1577">
        <v>4.5999999999999999E-2</v>
      </c>
      <c r="AA11" s="1577">
        <v>6.8000000000000005E-2</v>
      </c>
      <c r="AB11" s="1577"/>
      <c r="AC11" s="1577"/>
      <c r="AD11" s="1577"/>
      <c r="AE11" s="1577"/>
    </row>
    <row r="12" spans="1:31" ht="18.75" customHeight="1">
      <c r="A12" s="3605"/>
      <c r="B12" s="1000"/>
      <c r="C12" s="1299" t="s">
        <v>20</v>
      </c>
      <c r="D12" s="1300"/>
      <c r="E12" s="1300"/>
      <c r="F12" s="1300"/>
      <c r="G12" s="2496"/>
      <c r="H12" s="2440"/>
      <c r="I12" s="1303"/>
      <c r="J12" s="1351"/>
      <c r="K12" s="1304"/>
      <c r="L12" s="1183"/>
      <c r="M12" s="1126"/>
      <c r="N12" s="1126"/>
      <c r="O12" s="1232"/>
      <c r="P12" s="2231"/>
      <c r="Q12" s="1305"/>
      <c r="R12" s="1305"/>
      <c r="S12" s="1245"/>
      <c r="T12" s="2231"/>
      <c r="U12" s="1305"/>
      <c r="V12" s="1305"/>
      <c r="W12" s="1245"/>
      <c r="X12" s="2231"/>
      <c r="Y12" s="1305">
        <v>9.0999999999999998E-2</v>
      </c>
      <c r="Z12" s="1305">
        <v>6.9000000000000006E-2</v>
      </c>
      <c r="AA12" s="1245">
        <v>0.10100000000000001</v>
      </c>
      <c r="AB12" s="1245"/>
      <c r="AC12" s="1245"/>
      <c r="AD12" s="1245"/>
      <c r="AE12" s="1245"/>
    </row>
    <row r="13" spans="1:31" ht="13.5" customHeight="1">
      <c r="A13" s="3605"/>
      <c r="B13" s="1000"/>
      <c r="C13" s="1299" t="s">
        <v>17</v>
      </c>
      <c r="D13" s="1300"/>
      <c r="E13" s="1300"/>
      <c r="F13" s="1300"/>
      <c r="G13" s="2496"/>
      <c r="H13" s="2440"/>
      <c r="I13" s="1303"/>
      <c r="J13" s="1351"/>
      <c r="K13" s="1304"/>
      <c r="L13" s="1183"/>
      <c r="M13" s="1126"/>
      <c r="N13" s="1126"/>
      <c r="O13" s="2490"/>
      <c r="P13" s="2231"/>
      <c r="Q13" s="1305"/>
      <c r="R13" s="1305"/>
      <c r="S13" s="1245"/>
      <c r="T13" s="2231"/>
      <c r="U13" s="1305"/>
      <c r="V13" s="1305"/>
      <c r="W13" s="1245"/>
      <c r="X13" s="2231"/>
      <c r="Y13" s="1305" t="s">
        <v>336</v>
      </c>
      <c r="Z13" s="1305" t="s">
        <v>336</v>
      </c>
      <c r="AA13" s="1245"/>
      <c r="AB13" s="1245"/>
      <c r="AC13" s="1245"/>
      <c r="AD13" s="1245"/>
      <c r="AE13" s="1245"/>
    </row>
    <row r="14" spans="1:31" ht="15.75" customHeight="1" thickBot="1">
      <c r="A14" s="3606"/>
      <c r="B14" s="1001"/>
      <c r="C14" s="1308" t="s">
        <v>18</v>
      </c>
      <c r="D14" s="1309"/>
      <c r="E14" s="1309"/>
      <c r="F14" s="1309"/>
      <c r="G14" s="2497"/>
      <c r="H14" s="2441"/>
      <c r="I14" s="1312"/>
      <c r="J14" s="1356"/>
      <c r="K14" s="1313"/>
      <c r="L14" s="1184"/>
      <c r="M14" s="1136"/>
      <c r="N14" s="1136"/>
      <c r="O14" s="2488"/>
      <c r="P14" s="2238"/>
      <c r="Q14" s="1314"/>
      <c r="R14" s="1314"/>
      <c r="S14" s="1359"/>
      <c r="T14" s="2238"/>
      <c r="U14" s="1314"/>
      <c r="V14" s="1314"/>
      <c r="W14" s="1359"/>
      <c r="X14" s="2238"/>
      <c r="Y14" s="1314">
        <v>0.05</v>
      </c>
      <c r="Z14" s="1314">
        <v>0.54900000000000004</v>
      </c>
      <c r="AA14" s="1359">
        <v>0.23899999999999999</v>
      </c>
      <c r="AB14" s="1359"/>
      <c r="AC14" s="1359"/>
      <c r="AD14" s="1359"/>
      <c r="AE14" s="1359"/>
    </row>
    <row r="15" spans="1:31" ht="15.75" customHeight="1">
      <c r="A15" s="3604" t="s">
        <v>131</v>
      </c>
      <c r="B15" s="1377">
        <f>COUNTA(C15:C17)</f>
        <v>3</v>
      </c>
      <c r="C15" s="1291" t="s">
        <v>25</v>
      </c>
      <c r="D15" s="1292"/>
      <c r="E15" s="1292"/>
      <c r="F15" s="1292"/>
      <c r="G15" s="2495"/>
      <c r="H15" s="2442"/>
      <c r="I15" s="1295"/>
      <c r="J15" s="1348"/>
      <c r="K15" s="1296"/>
      <c r="L15" s="1241"/>
      <c r="M15" s="1118"/>
      <c r="N15" s="1118"/>
      <c r="O15" s="2489"/>
      <c r="P15" s="2230"/>
      <c r="Q15" s="1317"/>
      <c r="R15" s="1317"/>
      <c r="S15" s="1211"/>
      <c r="T15" s="2230"/>
      <c r="U15" s="1317"/>
      <c r="V15" s="3080"/>
      <c r="W15" s="1211"/>
      <c r="X15" s="2230"/>
      <c r="Y15" s="3234">
        <v>12.06</v>
      </c>
      <c r="Z15" s="3080">
        <v>6.2629999999999999</v>
      </c>
      <c r="AA15" s="1211">
        <v>13.842000000000001</v>
      </c>
      <c r="AB15" s="1211"/>
      <c r="AC15" s="1211"/>
      <c r="AD15" s="1211"/>
      <c r="AE15" s="1211"/>
    </row>
    <row r="16" spans="1:31" ht="15" customHeight="1">
      <c r="A16" s="3605"/>
      <c r="B16" s="1000"/>
      <c r="C16" s="1299" t="s">
        <v>33</v>
      </c>
      <c r="D16" s="1300"/>
      <c r="E16" s="1300"/>
      <c r="F16" s="1300"/>
      <c r="G16" s="2496"/>
      <c r="H16" s="2443"/>
      <c r="I16" s="1303"/>
      <c r="J16" s="1351"/>
      <c r="K16" s="1304"/>
      <c r="L16" s="1183"/>
      <c r="M16" s="1126"/>
      <c r="N16" s="1126"/>
      <c r="O16" s="2490"/>
      <c r="P16" s="2343"/>
      <c r="Q16" s="1341"/>
      <c r="R16" s="1341"/>
      <c r="S16" s="1245"/>
      <c r="T16" s="2343"/>
      <c r="U16" s="1341"/>
      <c r="V16" s="3081"/>
      <c r="W16" s="1245"/>
      <c r="X16" s="2343"/>
      <c r="Y16" s="1341">
        <v>12.252000000000001</v>
      </c>
      <c r="Z16" s="3081">
        <v>4.3380000000000001</v>
      </c>
      <c r="AA16" s="1245">
        <v>11.622999999999999</v>
      </c>
      <c r="AB16" s="1245"/>
      <c r="AC16" s="1245"/>
      <c r="AD16" s="1245"/>
      <c r="AE16" s="1245"/>
    </row>
    <row r="17" spans="1:31" ht="18" customHeight="1" thickBot="1">
      <c r="A17" s="3606"/>
      <c r="B17" s="1001"/>
      <c r="C17" s="1308" t="s">
        <v>31</v>
      </c>
      <c r="D17" s="1309"/>
      <c r="E17" s="1309"/>
      <c r="F17" s="1309"/>
      <c r="G17" s="2497"/>
      <c r="H17" s="2444"/>
      <c r="I17" s="1312"/>
      <c r="J17" s="1356"/>
      <c r="K17" s="1313"/>
      <c r="L17" s="1184"/>
      <c r="M17" s="1136"/>
      <c r="N17" s="1136"/>
      <c r="O17" s="2488"/>
      <c r="P17" s="2344"/>
      <c r="Q17" s="1320"/>
      <c r="R17" s="1320"/>
      <c r="S17" s="1359"/>
      <c r="T17" s="2344"/>
      <c r="U17" s="1320"/>
      <c r="V17" s="3082"/>
      <c r="W17" s="1359"/>
      <c r="X17" s="2344"/>
      <c r="Y17" s="1320">
        <v>14.477</v>
      </c>
      <c r="Z17" s="3082">
        <v>3.9540000000000002</v>
      </c>
      <c r="AA17" s="1359">
        <v>13.276999999999999</v>
      </c>
      <c r="AB17" s="1359"/>
      <c r="AC17" s="1359"/>
      <c r="AD17" s="1359"/>
      <c r="AE17" s="1359"/>
    </row>
    <row r="18" spans="1:31" ht="17.25" customHeight="1">
      <c r="A18" s="3604" t="s">
        <v>185</v>
      </c>
      <c r="B18" s="1377">
        <f>COUNTA(C18:C20)</f>
        <v>3</v>
      </c>
      <c r="C18" s="1291" t="s">
        <v>19</v>
      </c>
      <c r="D18" s="1292"/>
      <c r="E18" s="1292"/>
      <c r="F18" s="1292"/>
      <c r="G18" s="2495"/>
      <c r="H18" s="2439"/>
      <c r="I18" s="1295"/>
      <c r="J18" s="1348"/>
      <c r="K18" s="1296"/>
      <c r="L18" s="1241"/>
      <c r="M18" s="1118"/>
      <c r="N18" s="1118"/>
      <c r="O18" s="2489"/>
      <c r="P18" s="1379"/>
      <c r="Q18" s="1380"/>
      <c r="R18" s="1380"/>
      <c r="S18" s="1211"/>
      <c r="T18" s="1379"/>
      <c r="U18" s="1380"/>
      <c r="V18" s="1380"/>
      <c r="W18" s="1211"/>
      <c r="X18" s="1379"/>
      <c r="Y18" s="3237">
        <v>2.2149999999999999</v>
      </c>
      <c r="Z18" s="1380">
        <v>0.83</v>
      </c>
      <c r="AA18" s="1211">
        <v>1.6439999999999999</v>
      </c>
      <c r="AB18" s="1211"/>
      <c r="AC18" s="1211"/>
      <c r="AD18" s="1211"/>
      <c r="AE18" s="1211"/>
    </row>
    <row r="19" spans="1:31" ht="15" customHeight="1">
      <c r="A19" s="3605"/>
      <c r="B19" s="1000"/>
      <c r="C19" s="1299" t="s">
        <v>37</v>
      </c>
      <c r="D19" s="1300"/>
      <c r="E19" s="1300"/>
      <c r="F19" s="1300"/>
      <c r="G19" s="2496"/>
      <c r="H19" s="2440"/>
      <c r="I19" s="1303"/>
      <c r="J19" s="1351"/>
      <c r="K19" s="1304"/>
      <c r="L19" s="1183"/>
      <c r="M19" s="1126"/>
      <c r="N19" s="1126"/>
      <c r="O19" s="2490"/>
      <c r="P19" s="1183"/>
      <c r="Q19" s="1127"/>
      <c r="R19" s="1127"/>
      <c r="S19" s="1245"/>
      <c r="T19" s="1183"/>
      <c r="U19" s="1127"/>
      <c r="V19" s="1127"/>
      <c r="W19" s="1245"/>
      <c r="X19" s="1183"/>
      <c r="Y19" s="1127">
        <v>1.1990000000000001</v>
      </c>
      <c r="Z19" s="1127">
        <v>1.6140000000000001</v>
      </c>
      <c r="AA19" s="1245">
        <v>1.25</v>
      </c>
      <c r="AB19" s="1245"/>
      <c r="AC19" s="1245"/>
      <c r="AD19" s="1245"/>
      <c r="AE19" s="1245"/>
    </row>
    <row r="20" spans="1:31" ht="18" customHeight="1" thickBot="1">
      <c r="A20" s="3606"/>
      <c r="B20" s="1001"/>
      <c r="C20" s="1308" t="s">
        <v>15</v>
      </c>
      <c r="D20" s="1309"/>
      <c r="E20" s="1309"/>
      <c r="F20" s="1309"/>
      <c r="G20" s="2497"/>
      <c r="H20" s="2444"/>
      <c r="I20" s="1309"/>
      <c r="J20" s="1356"/>
      <c r="K20" s="1313"/>
      <c r="L20" s="1184"/>
      <c r="M20" s="1136"/>
      <c r="N20" s="1136"/>
      <c r="O20" s="2490"/>
      <c r="P20" s="886"/>
      <c r="Q20" s="633"/>
      <c r="R20" s="633"/>
      <c r="S20" s="634"/>
      <c r="T20" s="886"/>
      <c r="U20" s="633"/>
      <c r="V20" s="633"/>
      <c r="W20" s="634"/>
      <c r="X20" s="886"/>
      <c r="Y20" s="633">
        <v>2.169</v>
      </c>
      <c r="Z20" s="633">
        <v>0.41</v>
      </c>
      <c r="AA20" s="634">
        <v>1.1339999999999999</v>
      </c>
      <c r="AB20" s="634"/>
      <c r="AC20" s="634"/>
      <c r="AD20" s="634"/>
      <c r="AE20" s="634"/>
    </row>
    <row r="21" spans="1:31" ht="17.25" customHeight="1">
      <c r="A21" s="3604" t="s">
        <v>132</v>
      </c>
      <c r="B21" s="1377">
        <f>COUNTA(C21:C25)</f>
        <v>5</v>
      </c>
      <c r="C21" s="1291" t="s">
        <v>20</v>
      </c>
      <c r="D21" s="1292"/>
      <c r="E21" s="1292"/>
      <c r="F21" s="1292"/>
      <c r="G21" s="2495"/>
      <c r="H21" s="2442"/>
      <c r="I21" s="1295"/>
      <c r="J21" s="1348"/>
      <c r="K21" s="1296"/>
      <c r="L21" s="1241"/>
      <c r="M21" s="1118"/>
      <c r="N21" s="1207"/>
      <c r="O21" s="2024"/>
      <c r="P21" s="1203"/>
      <c r="Q21" s="1119"/>
      <c r="R21" s="1119"/>
      <c r="S21" s="1120"/>
      <c r="T21" s="1203"/>
      <c r="U21" s="1119"/>
      <c r="V21" s="1119"/>
      <c r="W21" s="1120"/>
      <c r="X21" s="1203"/>
      <c r="Y21" s="1119">
        <v>21.076000000000001</v>
      </c>
      <c r="Z21" s="1119">
        <v>12.75</v>
      </c>
      <c r="AA21" s="1120">
        <v>21.206</v>
      </c>
      <c r="AB21" s="1120"/>
      <c r="AC21" s="1120"/>
      <c r="AD21" s="1120"/>
      <c r="AE21" s="1120"/>
    </row>
    <row r="22" spans="1:31" ht="18" customHeight="1">
      <c r="A22" s="3605"/>
      <c r="B22" s="1000"/>
      <c r="C22" s="1299" t="s">
        <v>30</v>
      </c>
      <c r="D22" s="1300"/>
      <c r="E22" s="1300"/>
      <c r="F22" s="1300"/>
      <c r="G22" s="2496"/>
      <c r="H22" s="2443"/>
      <c r="I22" s="1303"/>
      <c r="J22" s="1351"/>
      <c r="K22" s="1304"/>
      <c r="L22" s="1183"/>
      <c r="M22" s="1126"/>
      <c r="N22" s="1208"/>
      <c r="O22" s="2500"/>
      <c r="P22" s="1046"/>
      <c r="Q22" s="1127"/>
      <c r="R22" s="1127"/>
      <c r="S22" s="1128"/>
      <c r="T22" s="1046"/>
      <c r="U22" s="1127"/>
      <c r="V22" s="1127"/>
      <c r="W22" s="1128"/>
      <c r="X22" s="1046"/>
      <c r="Y22" s="1127">
        <v>25.326000000000001</v>
      </c>
      <c r="Z22" s="1127">
        <v>11.63</v>
      </c>
      <c r="AA22" s="1128">
        <v>21.675000000000001</v>
      </c>
      <c r="AB22" s="1128"/>
      <c r="AC22" s="1128"/>
      <c r="AD22" s="1128"/>
      <c r="AE22" s="1128"/>
    </row>
    <row r="23" spans="1:31" ht="15" customHeight="1">
      <c r="A23" s="3605"/>
      <c r="B23" s="1000"/>
      <c r="C23" s="1299" t="s">
        <v>12</v>
      </c>
      <c r="D23" s="1300"/>
      <c r="E23" s="1300"/>
      <c r="F23" s="1300"/>
      <c r="G23" s="2496"/>
      <c r="H23" s="2443"/>
      <c r="I23" s="1303"/>
      <c r="J23" s="1351"/>
      <c r="K23" s="1304"/>
      <c r="L23" s="1183"/>
      <c r="M23" s="1126"/>
      <c r="N23" s="1208"/>
      <c r="O23" s="2022"/>
      <c r="P23" s="1046"/>
      <c r="Q23" s="1127"/>
      <c r="R23" s="1127"/>
      <c r="S23" s="1128"/>
      <c r="T23" s="1046"/>
      <c r="U23" s="1127"/>
      <c r="V23" s="1127"/>
      <c r="W23" s="1128"/>
      <c r="X23" s="1046"/>
      <c r="Y23" s="1127">
        <v>16.71</v>
      </c>
      <c r="Z23" s="1127">
        <v>6.17</v>
      </c>
      <c r="AA23" s="1128">
        <v>16.425999999999998</v>
      </c>
      <c r="AB23" s="1128"/>
      <c r="AC23" s="1128"/>
      <c r="AD23" s="1128"/>
      <c r="AE23" s="1128"/>
    </row>
    <row r="24" spans="1:31" ht="15" customHeight="1">
      <c r="A24" s="3605"/>
      <c r="B24" s="1000"/>
      <c r="C24" s="1299" t="s">
        <v>26</v>
      </c>
      <c r="D24" s="1300"/>
      <c r="E24" s="1300"/>
      <c r="F24" s="1300"/>
      <c r="G24" s="2496"/>
      <c r="H24" s="2443"/>
      <c r="I24" s="1303"/>
      <c r="J24" s="1351"/>
      <c r="K24" s="1304"/>
      <c r="L24" s="1183"/>
      <c r="M24" s="1126"/>
      <c r="N24" s="1208"/>
      <c r="O24" s="2022"/>
      <c r="P24" s="1046"/>
      <c r="Q24" s="1127"/>
      <c r="R24" s="1127"/>
      <c r="S24" s="1128"/>
      <c r="T24" s="1046"/>
      <c r="U24" s="1127"/>
      <c r="V24" s="1127"/>
      <c r="W24" s="1128"/>
      <c r="X24" s="1046"/>
      <c r="Y24" s="1127">
        <v>25.018000000000001</v>
      </c>
      <c r="Z24" s="1127">
        <v>10.79</v>
      </c>
      <c r="AA24" s="1128">
        <v>21.702999999999999</v>
      </c>
      <c r="AB24" s="1128"/>
      <c r="AC24" s="1128"/>
      <c r="AD24" s="1128"/>
      <c r="AE24" s="1128"/>
    </row>
    <row r="25" spans="1:31" ht="15" customHeight="1" thickBot="1">
      <c r="A25" s="3606"/>
      <c r="B25" s="1001"/>
      <c r="C25" s="1308" t="s">
        <v>22</v>
      </c>
      <c r="D25" s="1309"/>
      <c r="E25" s="1309"/>
      <c r="F25" s="1309"/>
      <c r="G25" s="2497"/>
      <c r="H25" s="2444"/>
      <c r="I25" s="1312"/>
      <c r="J25" s="1356"/>
      <c r="K25" s="1313"/>
      <c r="L25" s="1184"/>
      <c r="M25" s="1136"/>
      <c r="N25" s="1209"/>
      <c r="O25" s="2023"/>
      <c r="P25" s="886"/>
      <c r="Q25" s="633"/>
      <c r="R25" s="633"/>
      <c r="S25" s="634"/>
      <c r="T25" s="886"/>
      <c r="U25" s="633"/>
      <c r="V25" s="633"/>
      <c r="W25" s="634"/>
      <c r="X25" s="886"/>
      <c r="Y25" s="633">
        <v>22.542000000000002</v>
      </c>
      <c r="Z25" s="633">
        <v>4.17</v>
      </c>
      <c r="AA25" s="634">
        <v>16.492000000000001</v>
      </c>
      <c r="AB25" s="634"/>
      <c r="AC25" s="634"/>
      <c r="AD25" s="634"/>
      <c r="AE25" s="634"/>
    </row>
    <row r="26" spans="1:31" ht="18.75" customHeight="1">
      <c r="A26" s="3604" t="s">
        <v>63</v>
      </c>
      <c r="B26" s="1377">
        <f>COUNTA(C26:C30)</f>
        <v>5</v>
      </c>
      <c r="C26" s="1291" t="s">
        <v>20</v>
      </c>
      <c r="D26" s="1292"/>
      <c r="E26" s="1292"/>
      <c r="F26" s="1292"/>
      <c r="G26" s="2495"/>
      <c r="H26" s="2442"/>
      <c r="I26" s="1295"/>
      <c r="J26" s="1348"/>
      <c r="K26" s="1296"/>
      <c r="L26" s="1241"/>
      <c r="M26" s="1118"/>
      <c r="N26" s="1118"/>
      <c r="O26" s="2490"/>
      <c r="P26" s="1203"/>
      <c r="Q26" s="1119"/>
      <c r="R26" s="1119"/>
      <c r="S26" s="1120"/>
      <c r="T26" s="1203"/>
      <c r="U26" s="1119"/>
      <c r="V26" s="1119"/>
      <c r="W26" s="1120"/>
      <c r="X26" s="1203"/>
      <c r="Y26" s="1119">
        <v>17.242999999999999</v>
      </c>
      <c r="Z26" s="1119">
        <v>9.08</v>
      </c>
      <c r="AA26" s="1120">
        <v>15.098000000000001</v>
      </c>
      <c r="AB26" s="1120"/>
      <c r="AC26" s="1120"/>
      <c r="AD26" s="1120"/>
      <c r="AE26" s="1120"/>
    </row>
    <row r="27" spans="1:31" ht="18" customHeight="1">
      <c r="A27" s="3605"/>
      <c r="B27" s="1000"/>
      <c r="C27" s="1299" t="s">
        <v>26</v>
      </c>
      <c r="D27" s="1300"/>
      <c r="E27" s="1300"/>
      <c r="F27" s="1300"/>
      <c r="G27" s="2496"/>
      <c r="H27" s="2443"/>
      <c r="I27" s="1303"/>
      <c r="J27" s="1351"/>
      <c r="K27" s="1304"/>
      <c r="L27" s="2445"/>
      <c r="M27" s="1126"/>
      <c r="N27" s="1126"/>
      <c r="O27" s="2490"/>
      <c r="P27" s="1046"/>
      <c r="Q27" s="1127"/>
      <c r="R27" s="1127"/>
      <c r="S27" s="1128"/>
      <c r="T27" s="1046"/>
      <c r="U27" s="1127"/>
      <c r="V27" s="1127"/>
      <c r="W27" s="1128"/>
      <c r="X27" s="1046"/>
      <c r="Y27" s="1127">
        <v>15.164999999999999</v>
      </c>
      <c r="Z27" s="1127">
        <v>8.67</v>
      </c>
      <c r="AA27" s="1128">
        <v>13.617000000000001</v>
      </c>
      <c r="AB27" s="1128"/>
      <c r="AC27" s="1128"/>
      <c r="AD27" s="1128"/>
      <c r="AE27" s="1128"/>
    </row>
    <row r="28" spans="1:31" ht="17.25" customHeight="1">
      <c r="A28" s="3605"/>
      <c r="B28" s="1000"/>
      <c r="C28" s="1299" t="s">
        <v>39</v>
      </c>
      <c r="D28" s="1300"/>
      <c r="E28" s="1300"/>
      <c r="F28" s="1300"/>
      <c r="G28" s="2496"/>
      <c r="H28" s="2443"/>
      <c r="I28" s="1303"/>
      <c r="J28" s="1351"/>
      <c r="K28" s="1304"/>
      <c r="L28" s="1183"/>
      <c r="M28" s="1126"/>
      <c r="N28" s="1126"/>
      <c r="O28" s="2490"/>
      <c r="P28" s="1046"/>
      <c r="Q28" s="1127"/>
      <c r="R28" s="1127"/>
      <c r="S28" s="1128"/>
      <c r="T28" s="1046"/>
      <c r="U28" s="1127"/>
      <c r="V28" s="1127"/>
      <c r="W28" s="1128"/>
      <c r="X28" s="1046"/>
      <c r="Y28" s="1127">
        <v>16.707000000000001</v>
      </c>
      <c r="Z28" s="1127">
        <v>9.09</v>
      </c>
      <c r="AA28" s="1128">
        <v>14.558999999999999</v>
      </c>
      <c r="AB28" s="1128"/>
      <c r="AC28" s="1128"/>
      <c r="AD28" s="1128"/>
      <c r="AE28" s="1128"/>
    </row>
    <row r="29" spans="1:31" ht="18" customHeight="1">
      <c r="A29" s="3605"/>
      <c r="B29" s="1000"/>
      <c r="C29" s="1299" t="s">
        <v>34</v>
      </c>
      <c r="D29" s="1300"/>
      <c r="E29" s="1300"/>
      <c r="F29" s="1300"/>
      <c r="G29" s="2496"/>
      <c r="H29" s="2443"/>
      <c r="I29" s="1303"/>
      <c r="J29" s="1351"/>
      <c r="K29" s="1304"/>
      <c r="L29" s="1183"/>
      <c r="M29" s="1126"/>
      <c r="N29" s="1126"/>
      <c r="O29" s="2490"/>
      <c r="P29" s="1046"/>
      <c r="Q29" s="1127"/>
      <c r="R29" s="1127"/>
      <c r="S29" s="1128"/>
      <c r="T29" s="1046"/>
      <c r="U29" s="1127"/>
      <c r="V29" s="1127"/>
      <c r="W29" s="1128"/>
      <c r="X29" s="1046"/>
      <c r="Y29" s="1127">
        <v>33.585999999999999</v>
      </c>
      <c r="Z29" s="1127">
        <v>7.96</v>
      </c>
      <c r="AA29" s="1128">
        <v>25.26</v>
      </c>
      <c r="AB29" s="1128"/>
      <c r="AC29" s="1128"/>
      <c r="AD29" s="1128"/>
      <c r="AE29" s="1128"/>
    </row>
    <row r="30" spans="1:31" ht="15.75" customHeight="1" thickBot="1">
      <c r="A30" s="3606"/>
      <c r="B30" s="1001"/>
      <c r="C30" s="1308" t="s">
        <v>38</v>
      </c>
      <c r="D30" s="1309"/>
      <c r="E30" s="1309"/>
      <c r="F30" s="1309"/>
      <c r="G30" s="2497"/>
      <c r="H30" s="2444"/>
      <c r="I30" s="1312"/>
      <c r="J30" s="1356"/>
      <c r="K30" s="1313"/>
      <c r="L30" s="1184"/>
      <c r="M30" s="1136"/>
      <c r="N30" s="1136"/>
      <c r="O30" s="2488"/>
      <c r="P30" s="886"/>
      <c r="Q30" s="633"/>
      <c r="R30" s="633"/>
      <c r="S30" s="634"/>
      <c r="T30" s="886"/>
      <c r="U30" s="633"/>
      <c r="V30" s="633"/>
      <c r="W30" s="634"/>
      <c r="X30" s="886"/>
      <c r="Y30" s="633">
        <v>17.016999999999999</v>
      </c>
      <c r="Z30" s="633">
        <v>9.9700000000000006</v>
      </c>
      <c r="AA30" s="634">
        <v>14.092000000000001</v>
      </c>
      <c r="AB30" s="634"/>
      <c r="AC30" s="634"/>
      <c r="AD30" s="634"/>
      <c r="AE30" s="634"/>
    </row>
    <row r="31" spans="1:31" ht="17.25" customHeight="1">
      <c r="A31" s="3604" t="s">
        <v>23</v>
      </c>
      <c r="B31" s="1377">
        <f>COUNTA(C31:C33)</f>
        <v>3</v>
      </c>
      <c r="C31" s="1291" t="s">
        <v>32</v>
      </c>
      <c r="D31" s="1292"/>
      <c r="E31" s="1292"/>
      <c r="F31" s="1292"/>
      <c r="G31" s="2495"/>
      <c r="H31" s="2442"/>
      <c r="I31" s="1295"/>
      <c r="J31" s="1348"/>
      <c r="K31" s="1381"/>
      <c r="L31" s="1241"/>
      <c r="M31" s="1118"/>
      <c r="N31" s="1118"/>
      <c r="O31" s="2489"/>
      <c r="P31" s="1241"/>
      <c r="Q31" s="1119"/>
      <c r="R31" s="1119"/>
      <c r="S31" s="1120"/>
      <c r="T31" s="1241"/>
      <c r="U31" s="1119"/>
      <c r="V31" s="1119"/>
      <c r="W31" s="1120"/>
      <c r="X31" s="1241"/>
      <c r="Y31" s="1119">
        <v>3.3769999999999998</v>
      </c>
      <c r="Z31" s="1119">
        <v>2.9950000000000001</v>
      </c>
      <c r="AA31" s="1120">
        <v>3.7610000000000001</v>
      </c>
      <c r="AB31" s="1120"/>
      <c r="AC31" s="1120"/>
      <c r="AD31" s="1120"/>
      <c r="AE31" s="1120"/>
    </row>
    <row r="32" spans="1:31" ht="18" customHeight="1">
      <c r="A32" s="3605"/>
      <c r="B32" s="1000"/>
      <c r="C32" s="1299" t="s">
        <v>24</v>
      </c>
      <c r="D32" s="1300"/>
      <c r="E32" s="1300"/>
      <c r="F32" s="1300"/>
      <c r="G32" s="2496"/>
      <c r="H32" s="2443"/>
      <c r="I32" s="1303"/>
      <c r="J32" s="1351"/>
      <c r="K32" s="1382"/>
      <c r="L32" s="1183"/>
      <c r="M32" s="1126"/>
      <c r="N32" s="1126"/>
      <c r="O32" s="2490"/>
      <c r="P32" s="1046"/>
      <c r="Q32" s="1127"/>
      <c r="R32" s="1127"/>
      <c r="S32" s="1128"/>
      <c r="T32" s="1046"/>
      <c r="U32" s="1127"/>
      <c r="V32" s="1127"/>
      <c r="W32" s="1128"/>
      <c r="X32" s="1046"/>
      <c r="Y32" s="1127">
        <v>3.71</v>
      </c>
      <c r="Z32" s="1127">
        <v>8.2140000000000004</v>
      </c>
      <c r="AA32" s="1128">
        <v>6.5410000000000004</v>
      </c>
      <c r="AB32" s="1128"/>
      <c r="AC32" s="1128"/>
      <c r="AD32" s="1128"/>
      <c r="AE32" s="1128"/>
    </row>
    <row r="33" spans="1:31" ht="15.75" customHeight="1" thickBot="1">
      <c r="A33" s="3606"/>
      <c r="B33" s="1001"/>
      <c r="C33" s="1308" t="s">
        <v>27</v>
      </c>
      <c r="D33" s="1309"/>
      <c r="E33" s="1309"/>
      <c r="F33" s="1309"/>
      <c r="G33" s="2497"/>
      <c r="H33" s="2444"/>
      <c r="I33" s="1312"/>
      <c r="J33" s="1356"/>
      <c r="K33" s="1383"/>
      <c r="L33" s="1184"/>
      <c r="M33" s="1136"/>
      <c r="N33" s="1136"/>
      <c r="O33" s="2488"/>
      <c r="P33" s="886"/>
      <c r="Q33" s="633"/>
      <c r="R33" s="633"/>
      <c r="S33" s="634"/>
      <c r="T33" s="886"/>
      <c r="U33" s="633"/>
      <c r="V33" s="633"/>
      <c r="W33" s="634"/>
      <c r="X33" s="886"/>
      <c r="Y33" s="633">
        <v>5.6879999999999997</v>
      </c>
      <c r="Z33" s="633">
        <v>2.371</v>
      </c>
      <c r="AA33" s="634">
        <v>4.3620000000000001</v>
      </c>
      <c r="AB33" s="634"/>
      <c r="AC33" s="634"/>
      <c r="AD33" s="634"/>
      <c r="AE33" s="634"/>
    </row>
    <row r="34" spans="1:31" ht="17.25" customHeight="1">
      <c r="A34" s="3604" t="s">
        <v>6</v>
      </c>
      <c r="B34" s="1377">
        <f>COUNTA(C34:C38)</f>
        <v>5</v>
      </c>
      <c r="C34" s="1291" t="s">
        <v>10</v>
      </c>
      <c r="D34" s="1292"/>
      <c r="E34" s="1292"/>
      <c r="F34" s="1292"/>
      <c r="G34" s="2495"/>
      <c r="H34" s="2442"/>
      <c r="I34" s="1295"/>
      <c r="J34" s="1348"/>
      <c r="K34" s="1381"/>
      <c r="L34" s="1241"/>
      <c r="M34" s="1118"/>
      <c r="N34" s="1118"/>
      <c r="O34" s="2489"/>
      <c r="P34" s="1203"/>
      <c r="Q34" s="1119"/>
      <c r="R34" s="1119"/>
      <c r="S34" s="1120"/>
      <c r="T34" s="1203"/>
      <c r="U34" s="1119"/>
      <c r="V34" s="1119"/>
      <c r="W34" s="1120"/>
      <c r="X34" s="1203"/>
      <c r="Y34" s="3244">
        <v>0.13600000000000001</v>
      </c>
      <c r="Z34" s="1119" t="s">
        <v>336</v>
      </c>
      <c r="AA34" s="1120">
        <v>0.16500000000000001</v>
      </c>
      <c r="AB34" s="1120"/>
      <c r="AC34" s="1120"/>
      <c r="AD34" s="1120"/>
      <c r="AE34" s="1120"/>
    </row>
    <row r="35" spans="1:31" ht="16.5" customHeight="1">
      <c r="A35" s="3605"/>
      <c r="B35" s="1000"/>
      <c r="C35" s="1299" t="s">
        <v>20</v>
      </c>
      <c r="D35" s="1300"/>
      <c r="E35" s="1300"/>
      <c r="F35" s="1300"/>
      <c r="G35" s="2496"/>
      <c r="H35" s="2443"/>
      <c r="I35" s="1303"/>
      <c r="J35" s="1351"/>
      <c r="K35" s="1382"/>
      <c r="L35" s="1183"/>
      <c r="M35" s="1126"/>
      <c r="N35" s="1126"/>
      <c r="O35" s="2490"/>
      <c r="P35" s="1046"/>
      <c r="Q35" s="1127"/>
      <c r="R35" s="1127"/>
      <c r="S35" s="1128"/>
      <c r="T35" s="1046"/>
      <c r="U35" s="1127"/>
      <c r="V35" s="1127"/>
      <c r="W35" s="1128"/>
      <c r="X35" s="1046"/>
      <c r="Y35" s="3245">
        <v>0.33800000000000002</v>
      </c>
      <c r="Z35" s="1127" t="s">
        <v>336</v>
      </c>
      <c r="AA35" s="1128">
        <v>0.307</v>
      </c>
      <c r="AB35" s="1128"/>
      <c r="AC35" s="1128"/>
      <c r="AD35" s="1128"/>
      <c r="AE35" s="1128"/>
    </row>
    <row r="36" spans="1:31" ht="18" customHeight="1">
      <c r="A36" s="3605"/>
      <c r="B36" s="1000"/>
      <c r="C36" s="1299" t="s">
        <v>11</v>
      </c>
      <c r="D36" s="1300"/>
      <c r="E36" s="1300"/>
      <c r="F36" s="1300"/>
      <c r="G36" s="2496"/>
      <c r="H36" s="2443"/>
      <c r="I36" s="1303"/>
      <c r="J36" s="1351"/>
      <c r="K36" s="1382"/>
      <c r="L36" s="1183"/>
      <c r="M36" s="1126"/>
      <c r="N36" s="1126"/>
      <c r="O36" s="2490"/>
      <c r="P36" s="1046"/>
      <c r="Q36" s="1127"/>
      <c r="R36" s="1127"/>
      <c r="S36" s="1128"/>
      <c r="T36" s="1046"/>
      <c r="U36" s="1127"/>
      <c r="V36" s="1127"/>
      <c r="W36" s="1128"/>
      <c r="X36" s="1046"/>
      <c r="Y36" s="3245">
        <v>0.14199999999999999</v>
      </c>
      <c r="Z36" s="1127" t="s">
        <v>336</v>
      </c>
      <c r="AA36" s="1128">
        <v>0.13200000000000001</v>
      </c>
      <c r="AB36" s="1128"/>
      <c r="AC36" s="1128"/>
      <c r="AD36" s="1128"/>
      <c r="AE36" s="1128"/>
    </row>
    <row r="37" spans="1:31" ht="18" customHeight="1">
      <c r="A37" s="3605"/>
      <c r="B37" s="1000"/>
      <c r="C37" s="1299" t="s">
        <v>14</v>
      </c>
      <c r="D37" s="1300"/>
      <c r="E37" s="1300"/>
      <c r="F37" s="1300"/>
      <c r="G37" s="2496"/>
      <c r="H37" s="2443"/>
      <c r="I37" s="1303"/>
      <c r="J37" s="1351"/>
      <c r="K37" s="1382"/>
      <c r="L37" s="1183"/>
      <c r="M37" s="1126"/>
      <c r="N37" s="1126"/>
      <c r="O37" s="2490"/>
      <c r="P37" s="1046"/>
      <c r="Q37" s="1127"/>
      <c r="R37" s="1127"/>
      <c r="S37" s="1128"/>
      <c r="T37" s="1046"/>
      <c r="U37" s="1127"/>
      <c r="V37" s="1127"/>
      <c r="W37" s="1128"/>
      <c r="X37" s="1046"/>
      <c r="Y37" s="3245">
        <v>0.245</v>
      </c>
      <c r="Z37" s="1127" t="s">
        <v>336</v>
      </c>
      <c r="AA37" s="1128">
        <v>0.185</v>
      </c>
      <c r="AB37" s="1128"/>
      <c r="AC37" s="1128"/>
      <c r="AD37" s="1128"/>
      <c r="AE37" s="1128"/>
    </row>
    <row r="38" spans="1:31" ht="15.75" customHeight="1" thickBot="1">
      <c r="A38" s="3606"/>
      <c r="B38" s="1001"/>
      <c r="C38" s="1308" t="s">
        <v>7</v>
      </c>
      <c r="D38" s="1309"/>
      <c r="E38" s="1309"/>
      <c r="F38" s="1309"/>
      <c r="G38" s="2497"/>
      <c r="H38" s="2444"/>
      <c r="I38" s="1312"/>
      <c r="J38" s="1356"/>
      <c r="K38" s="1383"/>
      <c r="L38" s="1184"/>
      <c r="M38" s="1136"/>
      <c r="N38" s="1136"/>
      <c r="O38" s="2488"/>
      <c r="P38" s="886"/>
      <c r="Q38" s="633"/>
      <c r="R38" s="633"/>
      <c r="S38" s="634"/>
      <c r="T38" s="886"/>
      <c r="U38" s="633"/>
      <c r="V38" s="633"/>
      <c r="W38" s="634"/>
      <c r="X38" s="886"/>
      <c r="Y38" s="3246">
        <v>0.14899999999999999</v>
      </c>
      <c r="Z38" s="633" t="s">
        <v>336</v>
      </c>
      <c r="AA38" s="634">
        <v>0.112</v>
      </c>
      <c r="AB38" s="634"/>
      <c r="AC38" s="634"/>
      <c r="AD38" s="634"/>
      <c r="AE38" s="634"/>
    </row>
    <row r="39" spans="1:31" ht="18" customHeight="1">
      <c r="A39" s="3604" t="s">
        <v>28</v>
      </c>
      <c r="B39" s="1377">
        <f>COUNTA(C39:C41)</f>
        <v>3</v>
      </c>
      <c r="C39" s="1291" t="s">
        <v>35</v>
      </c>
      <c r="D39" s="1292"/>
      <c r="E39" s="1292"/>
      <c r="F39" s="1292"/>
      <c r="G39" s="2495"/>
      <c r="H39" s="2439"/>
      <c r="I39" s="1295"/>
      <c r="J39" s="1348"/>
      <c r="K39" s="1381"/>
      <c r="L39" s="1241"/>
      <c r="M39" s="1118"/>
      <c r="N39" s="1118"/>
      <c r="O39" s="2489"/>
      <c r="P39" s="1203"/>
      <c r="Q39" s="1119"/>
      <c r="R39" s="1119"/>
      <c r="S39" s="1120"/>
      <c r="T39" s="1203"/>
      <c r="U39" s="1119"/>
      <c r="V39" s="1119"/>
      <c r="W39" s="1120"/>
      <c r="X39" s="1203"/>
      <c r="Y39" s="1119">
        <v>35.003</v>
      </c>
      <c r="Z39" s="1119">
        <v>18.584</v>
      </c>
      <c r="AA39" s="1120">
        <v>27.018999999999998</v>
      </c>
      <c r="AB39" s="1120"/>
      <c r="AC39" s="1120"/>
      <c r="AD39" s="1120"/>
      <c r="AE39" s="1120"/>
    </row>
    <row r="40" spans="1:31" ht="15" customHeight="1">
      <c r="A40" s="3605"/>
      <c r="B40" s="1000"/>
      <c r="C40" s="1299" t="s">
        <v>29</v>
      </c>
      <c r="D40" s="1300"/>
      <c r="E40" s="1300"/>
      <c r="F40" s="1300"/>
      <c r="G40" s="2496"/>
      <c r="H40" s="2440"/>
      <c r="I40" s="1303"/>
      <c r="J40" s="1351"/>
      <c r="K40" s="1382"/>
      <c r="L40" s="1183"/>
      <c r="M40" s="1126"/>
      <c r="N40" s="1126"/>
      <c r="O40" s="2490"/>
      <c r="P40" s="1046"/>
      <c r="Q40" s="1127"/>
      <c r="R40" s="1127"/>
      <c r="S40" s="1128"/>
      <c r="T40" s="1046"/>
      <c r="U40" s="1127"/>
      <c r="V40" s="1127"/>
      <c r="W40" s="1128"/>
      <c r="X40" s="1046"/>
      <c r="Y40" s="1127">
        <v>33.786999999999999</v>
      </c>
      <c r="Z40" s="1127">
        <v>3.85</v>
      </c>
      <c r="AA40" s="1128">
        <v>21.382999999999999</v>
      </c>
      <c r="AB40" s="1128"/>
      <c r="AC40" s="1128"/>
      <c r="AD40" s="1128"/>
      <c r="AE40" s="1128"/>
    </row>
    <row r="41" spans="1:31" ht="16.5" customHeight="1" thickBot="1">
      <c r="A41" s="3606"/>
      <c r="B41" s="1001"/>
      <c r="C41" s="1308" t="s">
        <v>36</v>
      </c>
      <c r="D41" s="1309"/>
      <c r="E41" s="1309"/>
      <c r="F41" s="1309"/>
      <c r="G41" s="2497"/>
      <c r="H41" s="2441"/>
      <c r="I41" s="1312"/>
      <c r="J41" s="1356"/>
      <c r="K41" s="1383"/>
      <c r="L41" s="1184"/>
      <c r="M41" s="1136"/>
      <c r="N41" s="1136"/>
      <c r="O41" s="2490"/>
      <c r="P41" s="886"/>
      <c r="Q41" s="633"/>
      <c r="R41" s="633"/>
      <c r="S41" s="634"/>
      <c r="T41" s="886"/>
      <c r="U41" s="633"/>
      <c r="V41" s="633"/>
      <c r="W41" s="634"/>
      <c r="X41" s="886"/>
      <c r="Y41" s="633">
        <v>30.067</v>
      </c>
      <c r="Z41" s="633">
        <v>4.774</v>
      </c>
      <c r="AA41" s="634">
        <v>18.036999999999999</v>
      </c>
      <c r="AB41" s="634"/>
      <c r="AC41" s="634"/>
      <c r="AD41" s="634"/>
      <c r="AE41" s="634"/>
    </row>
    <row r="42" spans="1:31" ht="18.75" customHeight="1">
      <c r="A42" s="3607" t="s">
        <v>8</v>
      </c>
      <c r="B42" s="1377">
        <f>COUNTA(C42:C44)</f>
        <v>3</v>
      </c>
      <c r="C42" s="1334" t="s">
        <v>9</v>
      </c>
      <c r="D42" s="1295"/>
      <c r="E42" s="1295"/>
      <c r="F42" s="1295"/>
      <c r="G42" s="2498"/>
      <c r="H42" s="2439"/>
      <c r="I42" s="1295"/>
      <c r="J42" s="1348"/>
      <c r="K42" s="1381"/>
      <c r="L42" s="1241"/>
      <c r="M42" s="1118"/>
      <c r="N42" s="1207"/>
      <c r="O42" s="3221"/>
      <c r="P42" s="1203"/>
      <c r="Q42" s="1119"/>
      <c r="R42" s="1119"/>
      <c r="S42" s="1120"/>
      <c r="T42" s="1203"/>
      <c r="U42" s="1119"/>
      <c r="V42" s="1119"/>
      <c r="W42" s="1120"/>
      <c r="X42" s="1344"/>
      <c r="Y42" s="1203">
        <v>0.627</v>
      </c>
      <c r="Z42" s="3244" t="s">
        <v>336</v>
      </c>
      <c r="AA42" s="1120">
        <v>0.436</v>
      </c>
      <c r="AB42" s="1120"/>
      <c r="AC42" s="1120"/>
      <c r="AD42" s="1120"/>
      <c r="AE42" s="1120"/>
    </row>
    <row r="43" spans="1:31" ht="17.25" customHeight="1">
      <c r="A43" s="3608"/>
      <c r="B43" s="1002"/>
      <c r="C43" s="1336" t="s">
        <v>271</v>
      </c>
      <c r="D43" s="1303"/>
      <c r="E43" s="1303"/>
      <c r="F43" s="1303"/>
      <c r="G43" s="1345"/>
      <c r="H43" s="2440"/>
      <c r="I43" s="1303"/>
      <c r="J43" s="1351"/>
      <c r="K43" s="1382"/>
      <c r="L43" s="1183"/>
      <c r="M43" s="1126"/>
      <c r="N43" s="1208"/>
      <c r="O43" s="3222"/>
      <c r="P43" s="1046"/>
      <c r="Q43" s="1127"/>
      <c r="R43" s="1127"/>
      <c r="S43" s="1128"/>
      <c r="T43" s="1046"/>
      <c r="U43" s="1127"/>
      <c r="V43" s="1127"/>
      <c r="W43" s="1128"/>
      <c r="X43" s="3194"/>
      <c r="Y43" s="1046">
        <v>0.105</v>
      </c>
      <c r="Z43" s="3245" t="s">
        <v>336</v>
      </c>
      <c r="AA43" s="1128">
        <v>0.15</v>
      </c>
      <c r="AB43" s="1128"/>
      <c r="AC43" s="1128"/>
      <c r="AD43" s="1128"/>
      <c r="AE43" s="1128"/>
    </row>
    <row r="44" spans="1:31" ht="19.5" customHeight="1" thickBot="1">
      <c r="A44" s="3609"/>
      <c r="B44" s="1386"/>
      <c r="C44" s="1338" t="s">
        <v>13</v>
      </c>
      <c r="D44" s="1312"/>
      <c r="E44" s="1312"/>
      <c r="F44" s="1312"/>
      <c r="G44" s="1346"/>
      <c r="H44" s="2441"/>
      <c r="I44" s="1312"/>
      <c r="J44" s="1356"/>
      <c r="K44" s="1383"/>
      <c r="L44" s="1184"/>
      <c r="M44" s="1136"/>
      <c r="N44" s="1209"/>
      <c r="O44" s="2502"/>
      <c r="P44" s="886"/>
      <c r="Q44" s="633"/>
      <c r="R44" s="633"/>
      <c r="S44" s="634"/>
      <c r="T44" s="886"/>
      <c r="U44" s="633"/>
      <c r="V44" s="633"/>
      <c r="W44" s="634"/>
      <c r="X44" s="633"/>
      <c r="Y44" s="886">
        <v>9.4E-2</v>
      </c>
      <c r="Z44" s="3246" t="s">
        <v>336</v>
      </c>
      <c r="AA44" s="634">
        <v>7.8E-2</v>
      </c>
      <c r="AB44" s="634"/>
      <c r="AC44" s="634"/>
      <c r="AD44" s="634"/>
      <c r="AE44" s="634"/>
    </row>
    <row r="45" spans="1:31" ht="20.25" customHeight="1">
      <c r="A45" s="3526" t="s">
        <v>386</v>
      </c>
      <c r="B45" s="1011">
        <v>4</v>
      </c>
      <c r="C45" s="3253" t="s">
        <v>391</v>
      </c>
      <c r="D45" s="3207"/>
      <c r="E45" s="3207"/>
      <c r="F45" s="3207"/>
      <c r="G45" s="3207"/>
      <c r="H45" s="3207"/>
      <c r="I45" s="3207"/>
      <c r="J45" s="3207"/>
      <c r="K45" s="3207"/>
      <c r="L45" s="3207"/>
      <c r="M45" s="3207"/>
      <c r="N45" s="3207"/>
      <c r="O45" s="3207"/>
      <c r="P45" s="3207"/>
      <c r="Q45" s="3207"/>
      <c r="R45" s="3207"/>
      <c r="S45" s="3207"/>
      <c r="T45" s="3207"/>
      <c r="U45" s="3207"/>
      <c r="V45" s="3207"/>
      <c r="W45" s="3207"/>
      <c r="X45" s="2926"/>
      <c r="Y45" s="2859">
        <v>0.13400000000000001</v>
      </c>
      <c r="Z45" s="3336" t="s">
        <v>336</v>
      </c>
      <c r="AA45" s="2861">
        <v>0.13900000000000001</v>
      </c>
      <c r="AB45" s="2861"/>
      <c r="AC45" s="2861"/>
      <c r="AD45" s="2861"/>
      <c r="AE45" s="2861"/>
    </row>
    <row r="46" spans="1:31" ht="19.5" customHeight="1">
      <c r="A46" s="3527"/>
      <c r="B46" s="1108"/>
      <c r="C46" s="3254" t="s">
        <v>392</v>
      </c>
      <c r="D46" s="3207"/>
      <c r="E46" s="3207"/>
      <c r="F46" s="3207"/>
      <c r="G46" s="3207"/>
      <c r="H46" s="3207"/>
      <c r="I46" s="3207"/>
      <c r="J46" s="3207"/>
      <c r="K46" s="3207"/>
      <c r="L46" s="3207"/>
      <c r="M46" s="3207"/>
      <c r="N46" s="3207"/>
      <c r="O46" s="3207"/>
      <c r="P46" s="3207"/>
      <c r="Q46" s="3207"/>
      <c r="R46" s="3207"/>
      <c r="S46" s="3207"/>
      <c r="T46" s="3207"/>
      <c r="U46" s="3207"/>
      <c r="V46" s="3207"/>
      <c r="W46" s="3207"/>
      <c r="X46" s="2927"/>
      <c r="Y46" s="2862">
        <v>0.371</v>
      </c>
      <c r="Z46" s="3268" t="s">
        <v>336</v>
      </c>
      <c r="AA46" s="2863">
        <v>0.26300000000000001</v>
      </c>
      <c r="AB46" s="2863"/>
      <c r="AC46" s="2863"/>
      <c r="AD46" s="2863"/>
      <c r="AE46" s="2863"/>
    </row>
    <row r="47" spans="1:31">
      <c r="A47" s="3527"/>
      <c r="B47" s="1108"/>
      <c r="C47" s="3254" t="s">
        <v>393</v>
      </c>
      <c r="D47" s="3207"/>
      <c r="E47" s="3207"/>
      <c r="F47" s="3207"/>
      <c r="G47" s="3207"/>
      <c r="H47" s="3207"/>
      <c r="I47" s="3207"/>
      <c r="J47" s="3207"/>
      <c r="K47" s="3207"/>
      <c r="L47" s="3207"/>
      <c r="M47" s="3207"/>
      <c r="N47" s="3207"/>
      <c r="O47" s="3207"/>
      <c r="P47" s="3207"/>
      <c r="Q47" s="3207"/>
      <c r="R47" s="3207"/>
      <c r="S47" s="3207"/>
      <c r="T47" s="3207"/>
      <c r="U47" s="3207"/>
      <c r="V47" s="3207"/>
      <c r="W47" s="3207"/>
      <c r="X47" s="2927"/>
      <c r="Y47" s="2862">
        <v>0.215</v>
      </c>
      <c r="Z47" s="3268" t="s">
        <v>336</v>
      </c>
      <c r="AA47" s="2863">
        <v>0.189</v>
      </c>
      <c r="AB47" s="2863"/>
      <c r="AC47" s="2863"/>
      <c r="AD47" s="2863"/>
      <c r="AE47" s="2863"/>
    </row>
    <row r="48" spans="1:31" ht="15.75" thickBot="1">
      <c r="A48" s="3528"/>
      <c r="B48" s="1110"/>
      <c r="C48" s="3255" t="s">
        <v>394</v>
      </c>
      <c r="D48" s="3207"/>
      <c r="E48" s="3207"/>
      <c r="F48" s="3207"/>
      <c r="G48" s="3207"/>
      <c r="H48" s="3207"/>
      <c r="I48" s="3207"/>
      <c r="J48" s="3207"/>
      <c r="K48" s="3207"/>
      <c r="L48" s="3207"/>
      <c r="M48" s="3207"/>
      <c r="N48" s="3207"/>
      <c r="O48" s="3207"/>
      <c r="P48" s="3207"/>
      <c r="Q48" s="3207"/>
      <c r="R48" s="3207"/>
      <c r="S48" s="3207"/>
      <c r="T48" s="3207"/>
      <c r="U48" s="3207"/>
      <c r="V48" s="3207"/>
      <c r="W48" s="3207"/>
      <c r="X48" s="2928"/>
      <c r="Y48" s="2864">
        <v>0.19600000000000001</v>
      </c>
      <c r="Z48" s="3335" t="s">
        <v>336</v>
      </c>
      <c r="AA48" s="2866">
        <v>0.20499999999999999</v>
      </c>
      <c r="AB48" s="2866"/>
      <c r="AC48" s="2866"/>
      <c r="AD48" s="2866"/>
      <c r="AE48" s="2866"/>
    </row>
    <row r="49" spans="1:31">
      <c r="A49" s="3526" t="s">
        <v>387</v>
      </c>
      <c r="B49" s="1011">
        <v>3</v>
      </c>
      <c r="C49" s="3253" t="s">
        <v>395</v>
      </c>
      <c r="D49" s="3207"/>
      <c r="E49" s="3207"/>
      <c r="F49" s="3207"/>
      <c r="G49" s="3207"/>
      <c r="H49" s="3207"/>
      <c r="I49" s="3207"/>
      <c r="J49" s="3207"/>
      <c r="K49" s="3207"/>
      <c r="L49" s="3207"/>
      <c r="M49" s="3207"/>
      <c r="N49" s="3207"/>
      <c r="O49" s="3207"/>
      <c r="P49" s="3207"/>
      <c r="Q49" s="3207"/>
      <c r="R49" s="3207"/>
      <c r="S49" s="3207"/>
      <c r="T49" s="3207"/>
      <c r="U49" s="3207"/>
      <c r="V49" s="3207"/>
      <c r="W49" s="3207"/>
      <c r="X49" s="2859"/>
      <c r="Y49" s="2926">
        <v>4.5999999999999999E-2</v>
      </c>
      <c r="Z49" s="2861" t="s">
        <v>336</v>
      </c>
      <c r="AA49" s="2861">
        <v>4.5999999999999999E-2</v>
      </c>
      <c r="AB49" s="2861"/>
      <c r="AC49" s="2861"/>
      <c r="AD49" s="2861"/>
      <c r="AE49" s="2861"/>
    </row>
    <row r="50" spans="1:31">
      <c r="A50" s="3527"/>
      <c r="B50" s="1108"/>
      <c r="C50" s="3254" t="s">
        <v>396</v>
      </c>
      <c r="D50" s="3207"/>
      <c r="E50" s="3207"/>
      <c r="F50" s="3207"/>
      <c r="G50" s="3207"/>
      <c r="H50" s="3207"/>
      <c r="I50" s="3207"/>
      <c r="J50" s="3207"/>
      <c r="K50" s="3207"/>
      <c r="L50" s="3207"/>
      <c r="M50" s="3207"/>
      <c r="N50" s="3207"/>
      <c r="O50" s="3207"/>
      <c r="P50" s="3207"/>
      <c r="Q50" s="3207"/>
      <c r="R50" s="3207"/>
      <c r="S50" s="3207"/>
      <c r="T50" s="3207"/>
      <c r="U50" s="3207"/>
      <c r="V50" s="3207"/>
      <c r="W50" s="3207"/>
      <c r="X50" s="2862"/>
      <c r="Y50" s="2927">
        <v>4.5999999999999999E-2</v>
      </c>
      <c r="Z50" s="2863" t="s">
        <v>336</v>
      </c>
      <c r="AA50" s="2863">
        <v>4.5999999999999999E-2</v>
      </c>
      <c r="AB50" s="2863"/>
      <c r="AC50" s="2863"/>
      <c r="AD50" s="2863"/>
      <c r="AE50" s="2863"/>
    </row>
    <row r="51" spans="1:31" ht="15.75" thickBot="1">
      <c r="A51" s="3528"/>
      <c r="B51" s="1110"/>
      <c r="C51" s="3255" t="s">
        <v>397</v>
      </c>
      <c r="D51" s="3207"/>
      <c r="E51" s="3207"/>
      <c r="F51" s="3207"/>
      <c r="G51" s="3207"/>
      <c r="H51" s="3207"/>
      <c r="I51" s="3207"/>
      <c r="J51" s="3207"/>
      <c r="K51" s="3207"/>
      <c r="L51" s="3207"/>
      <c r="M51" s="3207"/>
      <c r="N51" s="3207"/>
      <c r="O51" s="3207"/>
      <c r="P51" s="3207"/>
      <c r="Q51" s="3207"/>
      <c r="R51" s="3207"/>
      <c r="S51" s="3207"/>
      <c r="T51" s="3207"/>
      <c r="U51" s="3207"/>
      <c r="V51" s="3207"/>
      <c r="W51" s="3207"/>
      <c r="X51" s="2864"/>
      <c r="Y51" s="2928">
        <v>4.5999999999999999E-2</v>
      </c>
      <c r="Z51" s="2866" t="s">
        <v>336</v>
      </c>
      <c r="AA51" s="2866">
        <v>4.5999999999999999E-2</v>
      </c>
      <c r="AB51" s="2866"/>
      <c r="AC51" s="2866"/>
      <c r="AD51" s="2866"/>
      <c r="AE51" s="2866"/>
    </row>
    <row r="52" spans="1:31">
      <c r="A52" s="3526" t="s">
        <v>388</v>
      </c>
      <c r="B52" s="1011">
        <v>3</v>
      </c>
      <c r="C52" s="3253" t="s">
        <v>398</v>
      </c>
      <c r="D52" s="3207"/>
      <c r="E52" s="3207"/>
      <c r="F52" s="3207"/>
      <c r="G52" s="3207"/>
      <c r="H52" s="3207"/>
      <c r="I52" s="3207"/>
      <c r="J52" s="3207"/>
      <c r="K52" s="3207"/>
      <c r="L52" s="3207"/>
      <c r="M52" s="3207"/>
      <c r="N52" s="3207"/>
      <c r="O52" s="3207"/>
      <c r="P52" s="3207"/>
      <c r="Q52" s="3207"/>
      <c r="R52" s="3207"/>
      <c r="S52" s="3207"/>
      <c r="T52" s="3207"/>
      <c r="U52" s="3207"/>
      <c r="V52" s="3207"/>
      <c r="W52" s="3207"/>
      <c r="X52" s="2926"/>
      <c r="Y52" s="2862">
        <v>1.6850000000000001</v>
      </c>
      <c r="Z52" s="2926">
        <v>1.603</v>
      </c>
      <c r="AA52" s="2861">
        <v>1.5189999999999999</v>
      </c>
      <c r="AB52" s="2861"/>
      <c r="AC52" s="2861"/>
      <c r="AD52" s="2861"/>
      <c r="AE52" s="2861"/>
    </row>
    <row r="53" spans="1:31">
      <c r="A53" s="3527"/>
      <c r="B53" s="1108"/>
      <c r="C53" s="3254" t="s">
        <v>399</v>
      </c>
      <c r="D53" s="3207"/>
      <c r="E53" s="3207"/>
      <c r="F53" s="3207"/>
      <c r="G53" s="3207"/>
      <c r="H53" s="3207"/>
      <c r="I53" s="3207"/>
      <c r="J53" s="3207"/>
      <c r="K53" s="3207"/>
      <c r="L53" s="3207"/>
      <c r="M53" s="3207"/>
      <c r="N53" s="3207"/>
      <c r="O53" s="3207"/>
      <c r="P53" s="3207"/>
      <c r="Q53" s="3207"/>
      <c r="R53" s="3207"/>
      <c r="S53" s="3207"/>
      <c r="T53" s="3207"/>
      <c r="U53" s="3207"/>
      <c r="V53" s="3207"/>
      <c r="W53" s="3207"/>
      <c r="X53" s="2927"/>
      <c r="Y53" s="2862">
        <v>1.7709999999999999</v>
      </c>
      <c r="Z53" s="2927">
        <v>1.579</v>
      </c>
      <c r="AA53" s="2863">
        <v>1.6140000000000001</v>
      </c>
      <c r="AB53" s="2863"/>
      <c r="AC53" s="2863"/>
      <c r="AD53" s="2863"/>
      <c r="AE53" s="2863"/>
    </row>
    <row r="54" spans="1:31" ht="15.75" thickBot="1">
      <c r="A54" s="3528"/>
      <c r="B54" s="1110"/>
      <c r="C54" s="3255" t="s">
        <v>400</v>
      </c>
      <c r="D54" s="3207"/>
      <c r="E54" s="3207"/>
      <c r="F54" s="3207"/>
      <c r="G54" s="3207"/>
      <c r="H54" s="3207"/>
      <c r="I54" s="3207"/>
      <c r="J54" s="3207"/>
      <c r="K54" s="3207"/>
      <c r="L54" s="3207"/>
      <c r="M54" s="3207"/>
      <c r="N54" s="3207"/>
      <c r="O54" s="3207"/>
      <c r="P54" s="3207"/>
      <c r="Q54" s="3207"/>
      <c r="R54" s="3207"/>
      <c r="S54" s="3207"/>
      <c r="T54" s="3207"/>
      <c r="U54" s="3207"/>
      <c r="V54" s="3207"/>
      <c r="W54" s="3207"/>
      <c r="X54" s="2928"/>
      <c r="Y54" s="2864">
        <v>0.46500000000000002</v>
      </c>
      <c r="Z54" s="2928">
        <v>2.3039999999999998</v>
      </c>
      <c r="AA54" s="2866">
        <v>1.474</v>
      </c>
      <c r="AB54" s="2866"/>
      <c r="AC54" s="2866"/>
      <c r="AD54" s="2866"/>
      <c r="AE54" s="2866"/>
    </row>
    <row r="55" spans="1:31">
      <c r="A55" s="3526" t="s">
        <v>389</v>
      </c>
      <c r="B55" s="1011">
        <v>3</v>
      </c>
      <c r="C55" s="3253" t="s">
        <v>17</v>
      </c>
      <c r="D55" s="3207"/>
      <c r="E55" s="3207"/>
      <c r="F55" s="3207"/>
      <c r="G55" s="3207"/>
      <c r="H55" s="3207"/>
      <c r="I55" s="3207"/>
      <c r="J55" s="3207"/>
      <c r="K55" s="3207"/>
      <c r="L55" s="3207"/>
      <c r="M55" s="3207"/>
      <c r="N55" s="3207"/>
      <c r="O55" s="3207"/>
      <c r="P55" s="3207"/>
      <c r="Q55" s="3207"/>
      <c r="R55" s="3207"/>
      <c r="S55" s="3207"/>
      <c r="T55" s="3207"/>
      <c r="U55" s="3207"/>
      <c r="V55" s="3207"/>
      <c r="W55" s="3207"/>
      <c r="X55" s="2926"/>
      <c r="Y55" s="2859">
        <v>5.8999999999999997E-2</v>
      </c>
      <c r="Z55" s="2926">
        <v>0.18</v>
      </c>
      <c r="AA55" s="2861">
        <v>0.154</v>
      </c>
      <c r="AB55" s="2861"/>
      <c r="AC55" s="2861"/>
      <c r="AD55" s="2861"/>
      <c r="AE55" s="2861"/>
    </row>
    <row r="56" spans="1:31">
      <c r="A56" s="3527"/>
      <c r="B56" s="1108"/>
      <c r="C56" s="3254" t="s">
        <v>401</v>
      </c>
      <c r="D56" s="3207"/>
      <c r="E56" s="3207"/>
      <c r="F56" s="3207"/>
      <c r="G56" s="3207"/>
      <c r="H56" s="3207"/>
      <c r="I56" s="3207"/>
      <c r="J56" s="3207"/>
      <c r="K56" s="3207"/>
      <c r="L56" s="3207"/>
      <c r="M56" s="3207"/>
      <c r="N56" s="3207"/>
      <c r="O56" s="3207"/>
      <c r="P56" s="3207"/>
      <c r="Q56" s="3207"/>
      <c r="R56" s="3207"/>
      <c r="S56" s="3207"/>
      <c r="T56" s="3207"/>
      <c r="U56" s="3207"/>
      <c r="V56" s="3207"/>
      <c r="W56" s="3207"/>
      <c r="X56" s="2927"/>
      <c r="Y56" s="3262">
        <v>0.06</v>
      </c>
      <c r="Z56" s="2927">
        <v>0.19400000000000001</v>
      </c>
      <c r="AA56" s="2863">
        <v>0.16300000000000001</v>
      </c>
      <c r="AB56" s="2863"/>
      <c r="AC56" s="2863"/>
      <c r="AD56" s="2863"/>
      <c r="AE56" s="2863"/>
    </row>
    <row r="57" spans="1:31" ht="15.75" thickBot="1">
      <c r="A57" s="3528"/>
      <c r="B57" s="1110"/>
      <c r="C57" s="3255" t="s">
        <v>402</v>
      </c>
      <c r="D57" s="3207"/>
      <c r="E57" s="3207"/>
      <c r="F57" s="3207"/>
      <c r="G57" s="3207"/>
      <c r="H57" s="3207"/>
      <c r="I57" s="3207"/>
      <c r="J57" s="3207"/>
      <c r="K57" s="3207"/>
      <c r="L57" s="3207"/>
      <c r="M57" s="3207"/>
      <c r="N57" s="3207"/>
      <c r="O57" s="3207"/>
      <c r="P57" s="3207"/>
      <c r="Q57" s="3207"/>
      <c r="R57" s="3207"/>
      <c r="S57" s="3207"/>
      <c r="T57" s="3207"/>
      <c r="U57" s="3207"/>
      <c r="V57" s="3207"/>
      <c r="W57" s="3207"/>
      <c r="X57" s="2928"/>
      <c r="Y57" s="2864">
        <v>6.6000000000000003E-2</v>
      </c>
      <c r="Z57" s="2928">
        <v>0.22800000000000001</v>
      </c>
      <c r="AA57" s="2866">
        <v>0.159</v>
      </c>
      <c r="AB57" s="2866"/>
      <c r="AC57" s="2866"/>
      <c r="AD57" s="2866"/>
      <c r="AE57" s="2866"/>
    </row>
    <row r="58" spans="1:31">
      <c r="A58" s="3526" t="s">
        <v>390</v>
      </c>
      <c r="B58" s="1108">
        <v>3</v>
      </c>
      <c r="C58" s="3254" t="s">
        <v>393</v>
      </c>
      <c r="D58" s="3207"/>
      <c r="E58" s="3207"/>
      <c r="F58" s="3207"/>
      <c r="G58" s="3207"/>
      <c r="H58" s="3207"/>
      <c r="I58" s="3207"/>
      <c r="J58" s="3207"/>
      <c r="K58" s="3207"/>
      <c r="L58" s="3207"/>
      <c r="M58" s="3207"/>
      <c r="N58" s="3207"/>
      <c r="O58" s="3207"/>
      <c r="P58" s="3207"/>
      <c r="Q58" s="3207"/>
      <c r="R58" s="3207"/>
      <c r="S58" s="3207"/>
      <c r="T58" s="3207"/>
      <c r="U58" s="3207"/>
      <c r="V58" s="3207"/>
      <c r="W58" s="3207"/>
      <c r="X58" s="2927"/>
      <c r="Y58" s="2862">
        <v>7.8E-2</v>
      </c>
      <c r="Z58" s="2927" t="s">
        <v>336</v>
      </c>
      <c r="AA58" s="2926">
        <v>6.2E-2</v>
      </c>
      <c r="AB58" s="2926"/>
      <c r="AC58" s="2926"/>
      <c r="AD58" s="2926"/>
      <c r="AE58" s="2926"/>
    </row>
    <row r="59" spans="1:31">
      <c r="A59" s="3527"/>
      <c r="B59" s="1108"/>
      <c r="C59" s="3254" t="s">
        <v>403</v>
      </c>
      <c r="D59" s="3207"/>
      <c r="E59" s="3207"/>
      <c r="F59" s="3207"/>
      <c r="G59" s="3207"/>
      <c r="H59" s="3207"/>
      <c r="I59" s="3207"/>
      <c r="J59" s="3207"/>
      <c r="K59" s="3207"/>
      <c r="L59" s="3207"/>
      <c r="M59" s="3207"/>
      <c r="N59" s="3207"/>
      <c r="O59" s="3207"/>
      <c r="P59" s="3207"/>
      <c r="Q59" s="3207"/>
      <c r="R59" s="3207"/>
      <c r="S59" s="3207"/>
      <c r="T59" s="3207"/>
      <c r="U59" s="3207"/>
      <c r="V59" s="3207"/>
      <c r="W59" s="3207"/>
      <c r="X59" s="2927"/>
      <c r="Y59" s="2862">
        <v>4.8000000000000001E-2</v>
      </c>
      <c r="Z59" s="2927" t="s">
        <v>336</v>
      </c>
      <c r="AA59" s="2927">
        <v>6.2E-2</v>
      </c>
      <c r="AB59" s="2927"/>
      <c r="AC59" s="2927"/>
      <c r="AD59" s="2927"/>
      <c r="AE59" s="2927"/>
    </row>
    <row r="60" spans="1:31" ht="15.75" thickBot="1">
      <c r="A60" s="3528"/>
      <c r="B60" s="1110"/>
      <c r="C60" s="3255" t="s">
        <v>404</v>
      </c>
      <c r="D60" s="3207"/>
      <c r="E60" s="3207"/>
      <c r="F60" s="3207"/>
      <c r="G60" s="3207"/>
      <c r="H60" s="3207"/>
      <c r="I60" s="3207"/>
      <c r="J60" s="3207"/>
      <c r="K60" s="3207"/>
      <c r="L60" s="3207"/>
      <c r="M60" s="3207"/>
      <c r="N60" s="3207"/>
      <c r="O60" s="3207"/>
      <c r="P60" s="3207"/>
      <c r="Q60" s="3207"/>
      <c r="R60" s="3207"/>
      <c r="S60" s="3207"/>
      <c r="T60" s="3207"/>
      <c r="U60" s="3207"/>
      <c r="V60" s="3207"/>
      <c r="W60" s="3207"/>
      <c r="X60" s="2928"/>
      <c r="Y60" s="2864">
        <v>4.5999999999999999E-2</v>
      </c>
      <c r="Z60" s="2928" t="s">
        <v>336</v>
      </c>
      <c r="AA60" s="2928">
        <v>4.5999999999999999E-2</v>
      </c>
      <c r="AB60" s="2928"/>
      <c r="AC60" s="2928"/>
      <c r="AD60" s="2928"/>
      <c r="AE60" s="2928"/>
    </row>
    <row r="61" spans="1:31">
      <c r="A61" s="114"/>
      <c r="B61" s="114">
        <f>SUM(B11:B60)</f>
        <v>50</v>
      </c>
      <c r="C61" s="775" t="s">
        <v>285</v>
      </c>
      <c r="D61" s="1025">
        <f t="shared" ref="D61:X61" si="0">COUNTIFS(D11:D44,"&gt;=6",D11:D44,"&lt;=8.5")</f>
        <v>0</v>
      </c>
      <c r="E61" s="1025">
        <f t="shared" si="0"/>
        <v>0</v>
      </c>
      <c r="F61" s="1025">
        <f t="shared" si="0"/>
        <v>0</v>
      </c>
      <c r="G61" s="1025">
        <f t="shared" si="0"/>
        <v>0</v>
      </c>
      <c r="H61" s="1025">
        <f t="shared" si="0"/>
        <v>0</v>
      </c>
      <c r="I61" s="1025">
        <f t="shared" si="0"/>
        <v>0</v>
      </c>
      <c r="J61" s="1025">
        <f t="shared" si="0"/>
        <v>0</v>
      </c>
      <c r="K61" s="1025">
        <f t="shared" si="0"/>
        <v>0</v>
      </c>
      <c r="L61" s="1025">
        <f t="shared" si="0"/>
        <v>0</v>
      </c>
      <c r="M61" s="1025">
        <f t="shared" si="0"/>
        <v>0</v>
      </c>
      <c r="N61" s="1025">
        <f t="shared" si="0"/>
        <v>0</v>
      </c>
      <c r="O61" s="1025">
        <f t="shared" si="0"/>
        <v>0</v>
      </c>
      <c r="P61" s="1025">
        <f t="shared" si="0"/>
        <v>0</v>
      </c>
      <c r="Q61" s="1025">
        <f t="shared" si="0"/>
        <v>0</v>
      </c>
      <c r="R61" s="1025">
        <f t="shared" si="0"/>
        <v>0</v>
      </c>
      <c r="S61" s="1025">
        <f t="shared" si="0"/>
        <v>0</v>
      </c>
      <c r="T61" s="1025">
        <f t="shared" si="0"/>
        <v>0</v>
      </c>
      <c r="U61" s="1025">
        <f t="shared" si="0"/>
        <v>0</v>
      </c>
      <c r="V61" s="1025">
        <f t="shared" si="0"/>
        <v>0</v>
      </c>
      <c r="W61" s="1025">
        <f t="shared" si="0"/>
        <v>0</v>
      </c>
      <c r="X61" s="1025">
        <f t="shared" si="0"/>
        <v>0</v>
      </c>
      <c r="Y61" s="1025">
        <f>COUNTIFS(Y11:Y44,"&lt;=0.07")</f>
        <v>2</v>
      </c>
      <c r="Z61" s="1025">
        <f>COUNTIFS(Z11:Z44,"&lt;=0.05")</f>
        <v>1</v>
      </c>
      <c r="AA61" s="1025">
        <f t="shared" ref="AA61:AE61" si="1">COUNTIFS(AA11:AA44,"&lt;=0.07")</f>
        <v>1</v>
      </c>
      <c r="AB61" s="1025">
        <f t="shared" si="1"/>
        <v>0</v>
      </c>
      <c r="AC61" s="1025">
        <f t="shared" si="1"/>
        <v>0</v>
      </c>
      <c r="AD61" s="1025">
        <f t="shared" si="1"/>
        <v>0</v>
      </c>
      <c r="AE61" s="1025">
        <f t="shared" si="1"/>
        <v>0</v>
      </c>
    </row>
    <row r="62" spans="1:31">
      <c r="A62" s="114"/>
      <c r="B62" s="114"/>
      <c r="C62" s="775" t="s">
        <v>287</v>
      </c>
      <c r="D62" s="1027">
        <f>COUNT(D11:D44)</f>
        <v>0</v>
      </c>
      <c r="E62" s="1027">
        <f t="shared" ref="E62:Q62" si="2">COUNT(E11:E44)</f>
        <v>0</v>
      </c>
      <c r="F62" s="1027">
        <f t="shared" si="2"/>
        <v>0</v>
      </c>
      <c r="G62" s="1027">
        <f t="shared" si="2"/>
        <v>0</v>
      </c>
      <c r="H62" s="1027">
        <f t="shared" si="2"/>
        <v>0</v>
      </c>
      <c r="I62" s="1027">
        <f t="shared" si="2"/>
        <v>0</v>
      </c>
      <c r="J62" s="1027">
        <f t="shared" si="2"/>
        <v>0</v>
      </c>
      <c r="K62" s="1027">
        <f t="shared" si="2"/>
        <v>0</v>
      </c>
      <c r="L62" s="1027">
        <f t="shared" si="2"/>
        <v>0</v>
      </c>
      <c r="M62" s="1027">
        <f t="shared" si="2"/>
        <v>0</v>
      </c>
      <c r="N62" s="1027">
        <f t="shared" si="2"/>
        <v>0</v>
      </c>
      <c r="O62" s="1027">
        <f t="shared" si="2"/>
        <v>0</v>
      </c>
      <c r="P62" s="1027">
        <f t="shared" si="2"/>
        <v>0</v>
      </c>
      <c r="Q62" s="1027">
        <f t="shared" si="2"/>
        <v>0</v>
      </c>
      <c r="R62" s="1027">
        <f>COUNT(R11:R44)</f>
        <v>0</v>
      </c>
      <c r="S62" s="1027">
        <f>COUNT(S11:S44)</f>
        <v>0</v>
      </c>
      <c r="T62" s="1027">
        <f>COUNT(T11:T44)</f>
        <v>0</v>
      </c>
      <c r="U62" s="1027">
        <f>COUNT(U11:U44)</f>
        <v>0</v>
      </c>
      <c r="V62" s="1027">
        <f t="shared" ref="V62:Y62" si="3">COUNT(V11:V44)</f>
        <v>0</v>
      </c>
      <c r="W62" s="1027">
        <f t="shared" si="3"/>
        <v>0</v>
      </c>
      <c r="X62" s="1027">
        <f t="shared" si="3"/>
        <v>0</v>
      </c>
      <c r="Y62" s="1027">
        <f t="shared" si="3"/>
        <v>33</v>
      </c>
      <c r="Z62" s="1027">
        <f t="shared" ref="Z62:AA62" si="4">COUNT(Z11:Z44)</f>
        <v>25</v>
      </c>
      <c r="AA62" s="1027">
        <f t="shared" si="4"/>
        <v>33</v>
      </c>
      <c r="AB62" s="1027">
        <f t="shared" ref="AB62:AE62" si="5">COUNT(AB11:AB44)</f>
        <v>0</v>
      </c>
      <c r="AC62" s="1027">
        <f t="shared" si="5"/>
        <v>0</v>
      </c>
      <c r="AD62" s="1027">
        <f t="shared" si="5"/>
        <v>0</v>
      </c>
      <c r="AE62" s="1027">
        <f t="shared" si="5"/>
        <v>0</v>
      </c>
    </row>
    <row r="63" spans="1:31">
      <c r="A63" s="114"/>
      <c r="B63" s="114"/>
      <c r="C63" s="775" t="s">
        <v>286</v>
      </c>
      <c r="D63" s="1026" t="e">
        <f>D61/D62</f>
        <v>#DIV/0!</v>
      </c>
      <c r="E63" s="1026" t="e">
        <f t="shared" ref="E63:Q63" si="6">E61/E62</f>
        <v>#DIV/0!</v>
      </c>
      <c r="F63" s="1026" t="e">
        <f t="shared" si="6"/>
        <v>#DIV/0!</v>
      </c>
      <c r="G63" s="1026" t="e">
        <f t="shared" si="6"/>
        <v>#DIV/0!</v>
      </c>
      <c r="H63" s="1026" t="e">
        <f t="shared" si="6"/>
        <v>#DIV/0!</v>
      </c>
      <c r="I63" s="1026" t="e">
        <f t="shared" si="6"/>
        <v>#DIV/0!</v>
      </c>
      <c r="J63" s="1026" t="e">
        <f t="shared" si="6"/>
        <v>#DIV/0!</v>
      </c>
      <c r="K63" s="1026" t="e">
        <f t="shared" si="6"/>
        <v>#DIV/0!</v>
      </c>
      <c r="L63" s="1026" t="e">
        <f t="shared" si="6"/>
        <v>#DIV/0!</v>
      </c>
      <c r="M63" s="1026" t="e">
        <f t="shared" si="6"/>
        <v>#DIV/0!</v>
      </c>
      <c r="N63" s="1026" t="e">
        <f t="shared" si="6"/>
        <v>#DIV/0!</v>
      </c>
      <c r="O63" s="1026" t="e">
        <f t="shared" si="6"/>
        <v>#DIV/0!</v>
      </c>
      <c r="P63" s="1026" t="e">
        <f t="shared" si="6"/>
        <v>#DIV/0!</v>
      </c>
      <c r="Q63" s="1026" t="e">
        <f t="shared" si="6"/>
        <v>#DIV/0!</v>
      </c>
      <c r="R63" s="1026" t="e">
        <f>R61/R62</f>
        <v>#DIV/0!</v>
      </c>
      <c r="S63" s="1026" t="e">
        <f>S61/S62</f>
        <v>#DIV/0!</v>
      </c>
      <c r="T63" s="1026" t="e">
        <f>T61/T62</f>
        <v>#DIV/0!</v>
      </c>
      <c r="U63" s="1026" t="e">
        <f>U61/U62</f>
        <v>#DIV/0!</v>
      </c>
      <c r="V63" s="1026" t="e">
        <f t="shared" ref="V63:Y63" si="7">V61/V62</f>
        <v>#DIV/0!</v>
      </c>
      <c r="W63" s="1026" t="e">
        <f t="shared" si="7"/>
        <v>#DIV/0!</v>
      </c>
      <c r="X63" s="1026" t="e">
        <f t="shared" si="7"/>
        <v>#DIV/0!</v>
      </c>
      <c r="Y63" s="1026">
        <f t="shared" si="7"/>
        <v>6.0606060606060608E-2</v>
      </c>
      <c r="Z63" s="1026">
        <f t="shared" ref="Z63:AA63" si="8">Z61/Z62</f>
        <v>0.04</v>
      </c>
      <c r="AA63" s="1026">
        <f t="shared" si="8"/>
        <v>3.0303030303030304E-2</v>
      </c>
      <c r="AB63" s="1026" t="e">
        <f t="shared" ref="AB63:AE63" si="9">AB61/AB62</f>
        <v>#DIV/0!</v>
      </c>
      <c r="AC63" s="1026" t="e">
        <f t="shared" si="9"/>
        <v>#DIV/0!</v>
      </c>
      <c r="AD63" s="1026" t="e">
        <f t="shared" si="9"/>
        <v>#DIV/0!</v>
      </c>
      <c r="AE63" s="1026" t="e">
        <f t="shared" si="9"/>
        <v>#DIV/0!</v>
      </c>
    </row>
    <row r="68" spans="1:31" ht="15.75" thickBot="1"/>
    <row r="69" spans="1:31" ht="15.75" thickBot="1">
      <c r="A69" s="3596" t="s">
        <v>0</v>
      </c>
      <c r="B69" s="1006"/>
      <c r="C69" s="3598" t="s">
        <v>1</v>
      </c>
      <c r="D69" s="3550">
        <v>2011</v>
      </c>
      <c r="E69" s="3551"/>
      <c r="F69" s="3551"/>
      <c r="G69" s="3552"/>
      <c r="H69" s="3600">
        <v>2012</v>
      </c>
      <c r="I69" s="3548"/>
      <c r="J69" s="3548"/>
      <c r="K69" s="3601"/>
      <c r="L69" s="968">
        <v>2013</v>
      </c>
      <c r="M69" s="968"/>
      <c r="N69" s="968"/>
      <c r="O69" s="968"/>
      <c r="P69" s="3517">
        <v>2014</v>
      </c>
      <c r="Q69" s="3517"/>
      <c r="R69" s="3517"/>
      <c r="S69" s="3518"/>
      <c r="T69" s="3517">
        <v>2015</v>
      </c>
      <c r="U69" s="3517"/>
      <c r="V69" s="3517"/>
      <c r="W69" s="3518"/>
      <c r="X69" s="3516">
        <v>2016</v>
      </c>
      <c r="Y69" s="3517"/>
      <c r="Z69" s="3517"/>
      <c r="AA69" s="3518"/>
      <c r="AB69" s="3516">
        <v>2017</v>
      </c>
      <c r="AC69" s="3517"/>
      <c r="AD69" s="3517"/>
      <c r="AE69" s="3518"/>
    </row>
    <row r="70" spans="1:31" ht="15.75" thickBot="1">
      <c r="A70" s="3597"/>
      <c r="B70" s="1007"/>
      <c r="C70" s="3599"/>
      <c r="D70" s="720" t="s">
        <v>2</v>
      </c>
      <c r="E70" s="3192" t="s">
        <v>3</v>
      </c>
      <c r="F70" s="3193" t="s">
        <v>4</v>
      </c>
      <c r="G70" s="2494" t="s">
        <v>5</v>
      </c>
      <c r="H70" s="2101" t="s">
        <v>2</v>
      </c>
      <c r="I70" s="3192" t="s">
        <v>3</v>
      </c>
      <c r="J70" s="3193" t="s">
        <v>4</v>
      </c>
      <c r="K70" s="2499" t="s">
        <v>5</v>
      </c>
      <c r="L70" s="2101" t="s">
        <v>2</v>
      </c>
      <c r="M70" s="3192" t="s">
        <v>3</v>
      </c>
      <c r="N70" s="3193" t="s">
        <v>4</v>
      </c>
      <c r="O70" s="2499" t="s">
        <v>5</v>
      </c>
      <c r="P70" s="2101" t="s">
        <v>2</v>
      </c>
      <c r="Q70" s="3192" t="s">
        <v>3</v>
      </c>
      <c r="R70" s="3193" t="s">
        <v>4</v>
      </c>
      <c r="S70" s="724" t="s">
        <v>5</v>
      </c>
      <c r="T70" s="2101" t="s">
        <v>2</v>
      </c>
      <c r="U70" s="3192" t="s">
        <v>3</v>
      </c>
      <c r="V70" s="3193" t="s">
        <v>4</v>
      </c>
      <c r="W70" s="724" t="s">
        <v>5</v>
      </c>
      <c r="X70" s="2101" t="s">
        <v>2</v>
      </c>
      <c r="Y70" s="3192" t="s">
        <v>3</v>
      </c>
      <c r="Z70" s="3193" t="s">
        <v>4</v>
      </c>
      <c r="AA70" s="724" t="s">
        <v>5</v>
      </c>
      <c r="AB70" s="2101" t="s">
        <v>2</v>
      </c>
      <c r="AC70" s="3493" t="s">
        <v>3</v>
      </c>
      <c r="AD70" s="3494" t="s">
        <v>4</v>
      </c>
      <c r="AE70" s="724" t="s">
        <v>5</v>
      </c>
    </row>
    <row r="71" spans="1:31" ht="15.75" thickBot="1">
      <c r="A71" s="1370" t="s">
        <v>300</v>
      </c>
      <c r="B71" s="1371"/>
      <c r="C71" s="542" t="s">
        <v>168</v>
      </c>
      <c r="D71" s="355"/>
      <c r="E71" s="355"/>
      <c r="F71" s="355"/>
      <c r="G71" s="543"/>
      <c r="H71" s="547"/>
      <c r="I71" s="355"/>
      <c r="J71" s="355"/>
      <c r="K71" s="1215"/>
      <c r="L71" s="547"/>
      <c r="M71" s="355"/>
      <c r="N71" s="355"/>
      <c r="O71" s="2438"/>
      <c r="P71" s="547"/>
      <c r="Q71" s="355"/>
      <c r="R71" s="355"/>
      <c r="S71" s="356"/>
      <c r="T71" s="356"/>
      <c r="U71" s="356"/>
      <c r="V71" s="356"/>
      <c r="W71" s="356"/>
      <c r="X71" s="356"/>
      <c r="Y71" s="356">
        <v>7.0000000000000007E-2</v>
      </c>
      <c r="Z71" s="132">
        <v>0.05</v>
      </c>
      <c r="AA71" s="132">
        <v>0.05</v>
      </c>
      <c r="AB71" s="3497">
        <v>0.05</v>
      </c>
      <c r="AC71" s="3497">
        <v>0.05</v>
      </c>
      <c r="AD71" s="3497">
        <v>0.05</v>
      </c>
      <c r="AE71" s="3497">
        <v>0.05</v>
      </c>
    </row>
    <row r="72" spans="1:31">
      <c r="A72" s="1023" t="s">
        <v>67</v>
      </c>
      <c r="B72" s="995">
        <f>COUNTA(C72:C77)</f>
        <v>6</v>
      </c>
      <c r="C72" s="1161" t="s">
        <v>190</v>
      </c>
      <c r="D72" s="1149"/>
      <c r="E72" s="1149"/>
      <c r="F72" s="1149"/>
      <c r="G72" s="1200"/>
      <c r="H72" s="2429"/>
      <c r="I72" s="1149"/>
      <c r="J72" s="1150"/>
      <c r="K72" s="1202"/>
      <c r="L72" s="1241"/>
      <c r="M72" s="1207"/>
      <c r="N72" s="1623"/>
      <c r="O72" s="2019"/>
      <c r="P72" s="1603"/>
      <c r="Q72" s="1297"/>
      <c r="R72" s="1221"/>
      <c r="S72" s="1222"/>
      <c r="T72" s="1603"/>
      <c r="U72" s="3007"/>
      <c r="V72" s="1221"/>
      <c r="W72" s="1222"/>
      <c r="X72" s="3135"/>
      <c r="Y72" s="3197">
        <v>9.5000000000000001E-2</v>
      </c>
      <c r="Z72" s="3197">
        <v>4.5999999999999999E-2</v>
      </c>
      <c r="AA72" s="3197">
        <v>1.069</v>
      </c>
      <c r="AB72" s="3197">
        <v>1.851</v>
      </c>
      <c r="AC72" s="3197"/>
      <c r="AD72" s="3197"/>
      <c r="AE72" s="3197"/>
    </row>
    <row r="73" spans="1:31">
      <c r="A73" s="1199" t="s">
        <v>67</v>
      </c>
      <c r="B73" s="996"/>
      <c r="C73" s="1163" t="s">
        <v>191</v>
      </c>
      <c r="D73" s="1151"/>
      <c r="E73" s="1151"/>
      <c r="F73" s="1151"/>
      <c r="G73" s="1155"/>
      <c r="H73" s="1272"/>
      <c r="I73" s="1151"/>
      <c r="J73" s="1152"/>
      <c r="K73" s="1204"/>
      <c r="L73" s="1183"/>
      <c r="M73" s="1208"/>
      <c r="N73" s="1624"/>
      <c r="O73" s="143"/>
      <c r="P73" s="1604"/>
      <c r="Q73" s="1262"/>
      <c r="R73" s="1262"/>
      <c r="S73" s="1263"/>
      <c r="T73" s="1604"/>
      <c r="U73" s="3008"/>
      <c r="V73" s="1262"/>
      <c r="W73" s="1263"/>
      <c r="X73" s="3116"/>
      <c r="Y73" s="3198">
        <v>9.5000000000000001E-2</v>
      </c>
      <c r="Z73" s="3198">
        <v>4.2000000000000003E-2</v>
      </c>
      <c r="AA73" s="3198">
        <v>0.55300000000000005</v>
      </c>
      <c r="AB73" s="3198">
        <v>1.7669999999999999</v>
      </c>
      <c r="AC73" s="3198"/>
      <c r="AD73" s="3198"/>
      <c r="AE73" s="3198"/>
    </row>
    <row r="74" spans="1:31">
      <c r="A74" s="1199" t="s">
        <v>67</v>
      </c>
      <c r="B74" s="996"/>
      <c r="C74" s="1163" t="s">
        <v>267</v>
      </c>
      <c r="D74" s="1151"/>
      <c r="E74" s="1151"/>
      <c r="F74" s="1151"/>
      <c r="G74" s="1155"/>
      <c r="H74" s="1272"/>
      <c r="I74" s="1151"/>
      <c r="J74" s="1152"/>
      <c r="K74" s="1204"/>
      <c r="L74" s="1183"/>
      <c r="M74" s="1208"/>
      <c r="N74" s="1624"/>
      <c r="O74" s="143"/>
      <c r="P74" s="1604"/>
      <c r="Q74" s="1262"/>
      <c r="R74" s="1262"/>
      <c r="S74" s="1263"/>
      <c r="T74" s="1604"/>
      <c r="U74" s="3008"/>
      <c r="V74" s="1262"/>
      <c r="W74" s="1263"/>
      <c r="X74" s="3116"/>
      <c r="Y74" s="3198">
        <v>0.107</v>
      </c>
      <c r="Z74" s="3198">
        <v>2.4E-2</v>
      </c>
      <c r="AA74" s="3198">
        <v>0.436</v>
      </c>
      <c r="AB74" s="3198">
        <v>3.4000000000000002E-2</v>
      </c>
      <c r="AC74" s="3198"/>
      <c r="AD74" s="3198"/>
      <c r="AE74" s="3198"/>
    </row>
    <row r="75" spans="1:31">
      <c r="A75" s="1199" t="s">
        <v>67</v>
      </c>
      <c r="B75" s="996"/>
      <c r="C75" s="1163" t="s">
        <v>268</v>
      </c>
      <c r="D75" s="1151"/>
      <c r="E75" s="1151"/>
      <c r="F75" s="1151"/>
      <c r="G75" s="1155"/>
      <c r="H75" s="1272"/>
      <c r="I75" s="1151"/>
      <c r="J75" s="1152"/>
      <c r="K75" s="1204"/>
      <c r="L75" s="1183"/>
      <c r="M75" s="1208"/>
      <c r="N75" s="1621"/>
      <c r="O75" s="49"/>
      <c r="P75" s="2237"/>
      <c r="Q75" s="2451"/>
      <c r="R75" s="1264"/>
      <c r="S75" s="1265"/>
      <c r="T75" s="2237"/>
      <c r="U75" s="1152"/>
      <c r="V75" s="1264"/>
      <c r="W75" s="1265"/>
      <c r="X75" s="3136"/>
      <c r="Y75" s="3199">
        <v>0.19400000000000001</v>
      </c>
      <c r="Z75" s="3199">
        <v>5.0999999999999997E-2</v>
      </c>
      <c r="AA75" s="3199">
        <v>0.41099999999999998</v>
      </c>
      <c r="AB75" s="3199">
        <v>3.1E-2</v>
      </c>
      <c r="AC75" s="3199"/>
      <c r="AD75" s="3199"/>
      <c r="AE75" s="3199"/>
    </row>
    <row r="76" spans="1:31">
      <c r="A76" s="1199" t="s">
        <v>67</v>
      </c>
      <c r="B76" s="996"/>
      <c r="C76" s="1163" t="s">
        <v>77</v>
      </c>
      <c r="D76" s="1151"/>
      <c r="E76" s="1151"/>
      <c r="F76" s="1151"/>
      <c r="G76" s="1155"/>
      <c r="H76" s="1272"/>
      <c r="I76" s="1151"/>
      <c r="J76" s="1152"/>
      <c r="K76" s="1204"/>
      <c r="L76" s="1183"/>
      <c r="M76" s="1208"/>
      <c r="N76" s="1621"/>
      <c r="O76" s="49"/>
      <c r="P76" s="2237"/>
      <c r="Q76" s="1264"/>
      <c r="R76" s="1264"/>
      <c r="S76" s="1265"/>
      <c r="T76" s="2237"/>
      <c r="U76" s="1228"/>
      <c r="V76" s="1264"/>
      <c r="W76" s="1265"/>
      <c r="X76" s="3136"/>
      <c r="Y76" s="3199">
        <v>7.3999999999999996E-2</v>
      </c>
      <c r="Z76" s="3199">
        <v>0.03</v>
      </c>
      <c r="AA76" s="3199">
        <v>0.74199999999999999</v>
      </c>
      <c r="AB76" s="3199">
        <v>2.286</v>
      </c>
      <c r="AC76" s="3199"/>
      <c r="AD76" s="3199"/>
      <c r="AE76" s="3199"/>
    </row>
    <row r="77" spans="1:31" ht="15.75" thickBot="1">
      <c r="A77" s="1205" t="s">
        <v>67</v>
      </c>
      <c r="B77" s="997"/>
      <c r="C77" s="1165" t="s">
        <v>269</v>
      </c>
      <c r="D77" s="1130"/>
      <c r="E77" s="1130"/>
      <c r="F77" s="1130"/>
      <c r="G77" s="1131"/>
      <c r="H77" s="1611"/>
      <c r="I77" s="1130"/>
      <c r="J77" s="1133"/>
      <c r="K77" s="1206"/>
      <c r="L77" s="1184"/>
      <c r="M77" s="1209"/>
      <c r="N77" s="1622"/>
      <c r="O77" s="2020"/>
      <c r="P77" s="1605"/>
      <c r="Q77" s="2465"/>
      <c r="R77" s="1266"/>
      <c r="S77" s="1267"/>
      <c r="T77" s="1605"/>
      <c r="U77" s="1133"/>
      <c r="V77" s="1266"/>
      <c r="W77" s="1267"/>
      <c r="X77" s="3137"/>
      <c r="Y77" s="3200">
        <v>9.7000000000000003E-2</v>
      </c>
      <c r="Z77" s="3200">
        <v>4.1000000000000002E-2</v>
      </c>
      <c r="AA77" s="3200">
        <v>0.57799999999999996</v>
      </c>
      <c r="AB77" s="3200">
        <v>2.5999999999999999E-2</v>
      </c>
      <c r="AC77" s="3200"/>
      <c r="AD77" s="3200"/>
      <c r="AE77" s="3200"/>
    </row>
    <row r="78" spans="1:31">
      <c r="A78" s="1023" t="s">
        <v>186</v>
      </c>
      <c r="B78" s="995"/>
      <c r="C78" s="1344" t="s">
        <v>265</v>
      </c>
      <c r="D78" s="1181"/>
      <c r="E78" s="1181"/>
      <c r="F78" s="1181"/>
      <c r="G78" s="2446"/>
      <c r="H78" s="1610"/>
      <c r="I78" s="1181"/>
      <c r="J78" s="1612"/>
      <c r="K78" s="1182"/>
      <c r="L78" s="1241"/>
      <c r="M78" s="1207"/>
      <c r="N78" s="1623"/>
      <c r="O78" s="2019"/>
      <c r="P78" s="2227"/>
      <c r="Q78" s="2462"/>
      <c r="R78" s="1270"/>
      <c r="S78" s="1271"/>
      <c r="T78" s="2227"/>
      <c r="U78" s="1150"/>
      <c r="V78" s="1270"/>
      <c r="W78" s="1271"/>
      <c r="X78" s="3138"/>
      <c r="Y78" s="3201">
        <v>0.113</v>
      </c>
      <c r="Z78" s="3339">
        <v>1E-3</v>
      </c>
      <c r="AA78" s="3201">
        <v>4.7E-2</v>
      </c>
      <c r="AB78" s="3201">
        <v>5.0000000000000001E-3</v>
      </c>
      <c r="AC78" s="3201"/>
      <c r="AD78" s="3201"/>
      <c r="AE78" s="3201"/>
    </row>
    <row r="79" spans="1:31">
      <c r="A79" s="1199" t="s">
        <v>186</v>
      </c>
      <c r="B79" s="996"/>
      <c r="C79" s="1163" t="s">
        <v>79</v>
      </c>
      <c r="D79" s="1151"/>
      <c r="E79" s="1151"/>
      <c r="F79" s="1151"/>
      <c r="G79" s="1155"/>
      <c r="H79" s="1272"/>
      <c r="I79" s="1151"/>
      <c r="J79" s="1152"/>
      <c r="K79" s="1204"/>
      <c r="L79" s="1183"/>
      <c r="M79" s="1208"/>
      <c r="N79" s="1624"/>
      <c r="O79" s="143"/>
      <c r="P79" s="2228"/>
      <c r="Q79" s="1264"/>
      <c r="R79" s="1264"/>
      <c r="S79" s="1265"/>
      <c r="T79" s="2228"/>
      <c r="U79" s="1228"/>
      <c r="V79" s="1264"/>
      <c r="W79" s="1265"/>
      <c r="X79" s="3136"/>
      <c r="Y79" s="3199">
        <v>9.7000000000000003E-2</v>
      </c>
      <c r="Z79" s="3340">
        <v>1E-3</v>
      </c>
      <c r="AA79" s="3199">
        <v>4.4999999999999998E-2</v>
      </c>
      <c r="AB79" s="3199">
        <v>5.3019999999999996</v>
      </c>
      <c r="AC79" s="3199"/>
      <c r="AD79" s="3199"/>
      <c r="AE79" s="3199"/>
    </row>
    <row r="80" spans="1:31">
      <c r="A80" s="1199" t="s">
        <v>186</v>
      </c>
      <c r="B80" s="996"/>
      <c r="C80" s="1163" t="s">
        <v>188</v>
      </c>
      <c r="D80" s="1151"/>
      <c r="E80" s="1151"/>
      <c r="F80" s="1151"/>
      <c r="G80" s="1155"/>
      <c r="H80" s="1272"/>
      <c r="I80" s="1151"/>
      <c r="J80" s="1152"/>
      <c r="K80" s="1204"/>
      <c r="L80" s="1183"/>
      <c r="M80" s="1208"/>
      <c r="N80" s="1624"/>
      <c r="O80" s="143"/>
      <c r="P80" s="2228"/>
      <c r="Q80" s="1264"/>
      <c r="R80" s="1264"/>
      <c r="S80" s="1265"/>
      <c r="T80" s="2228"/>
      <c r="U80" s="1228"/>
      <c r="V80" s="1264"/>
      <c r="W80" s="1265"/>
      <c r="X80" s="3136"/>
      <c r="Y80" s="3199">
        <v>0.20599999999999999</v>
      </c>
      <c r="Z80" s="3199">
        <v>1.4999999999999999E-2</v>
      </c>
      <c r="AA80" s="3199">
        <v>0.10199999999999999</v>
      </c>
      <c r="AB80" s="3199">
        <v>8.3119999999999994</v>
      </c>
      <c r="AC80" s="3199"/>
      <c r="AD80" s="3199"/>
      <c r="AE80" s="3199"/>
    </row>
    <row r="81" spans="1:31">
      <c r="A81" s="1199" t="s">
        <v>186</v>
      </c>
      <c r="B81" s="996"/>
      <c r="C81" s="1163" t="s">
        <v>72</v>
      </c>
      <c r="D81" s="1151"/>
      <c r="E81" s="1151"/>
      <c r="F81" s="1151"/>
      <c r="G81" s="1155"/>
      <c r="H81" s="1272"/>
      <c r="I81" s="1151"/>
      <c r="J81" s="1152"/>
      <c r="K81" s="1204"/>
      <c r="L81" s="1183"/>
      <c r="M81" s="1208"/>
      <c r="N81" s="1624"/>
      <c r="O81" s="143"/>
      <c r="P81" s="2228"/>
      <c r="Q81" s="2451"/>
      <c r="R81" s="1264"/>
      <c r="S81" s="1265"/>
      <c r="T81" s="2228"/>
      <c r="U81" s="1152"/>
      <c r="V81" s="1264"/>
      <c r="W81" s="1265"/>
      <c r="X81" s="3136"/>
      <c r="Y81" s="3199">
        <v>8.3000000000000004E-2</v>
      </c>
      <c r="Z81" s="3199">
        <v>0.123</v>
      </c>
      <c r="AA81" s="3199">
        <v>0.13600000000000001</v>
      </c>
      <c r="AB81" s="3199">
        <v>9.5760000000000005</v>
      </c>
      <c r="AC81" s="3199"/>
      <c r="AD81" s="3199"/>
      <c r="AE81" s="3199"/>
    </row>
    <row r="82" spans="1:31">
      <c r="A82" s="1199" t="s">
        <v>186</v>
      </c>
      <c r="B82" s="996"/>
      <c r="C82" s="1163" t="s">
        <v>76</v>
      </c>
      <c r="D82" s="1151"/>
      <c r="E82" s="1151"/>
      <c r="F82" s="1151"/>
      <c r="G82" s="1155"/>
      <c r="H82" s="1272"/>
      <c r="I82" s="1151"/>
      <c r="J82" s="1152"/>
      <c r="K82" s="1204"/>
      <c r="L82" s="1273"/>
      <c r="M82" s="1614"/>
      <c r="N82" s="1624"/>
      <c r="O82" s="143"/>
      <c r="P82" s="2228"/>
      <c r="Q82" s="2460"/>
      <c r="R82" s="1275"/>
      <c r="S82" s="1276"/>
      <c r="T82" s="2228"/>
      <c r="U82" s="3009"/>
      <c r="V82" s="1275"/>
      <c r="W82" s="1276"/>
      <c r="X82" s="3139"/>
      <c r="Y82" s="3202">
        <v>1.4850000000000001</v>
      </c>
      <c r="Z82" s="3202">
        <v>1.748</v>
      </c>
      <c r="AA82" s="3202">
        <v>0.33600000000000002</v>
      </c>
      <c r="AB82" s="3202">
        <v>8.0830000000000002</v>
      </c>
      <c r="AC82" s="3202"/>
      <c r="AD82" s="3202"/>
      <c r="AE82" s="3202"/>
    </row>
    <row r="83" spans="1:31">
      <c r="A83" s="1199" t="s">
        <v>186</v>
      </c>
      <c r="B83" s="996"/>
      <c r="C83" s="1163" t="s">
        <v>189</v>
      </c>
      <c r="D83" s="1151"/>
      <c r="E83" s="1151"/>
      <c r="F83" s="1151"/>
      <c r="G83" s="1155"/>
      <c r="H83" s="1272"/>
      <c r="I83" s="1151"/>
      <c r="J83" s="1152"/>
      <c r="K83" s="1204"/>
      <c r="L83" s="1273"/>
      <c r="M83" s="1614"/>
      <c r="N83" s="1624"/>
      <c r="O83" s="143"/>
      <c r="P83" s="2228"/>
      <c r="Q83" s="1277"/>
      <c r="R83" s="1277"/>
      <c r="S83" s="1278"/>
      <c r="T83" s="2228"/>
      <c r="U83" s="3010"/>
      <c r="V83" s="1277"/>
      <c r="W83" s="1278"/>
      <c r="X83" s="3140"/>
      <c r="Y83" s="3203">
        <v>0.17299999999999999</v>
      </c>
      <c r="Z83" s="3203"/>
      <c r="AA83" s="3203">
        <v>0.14399999999999999</v>
      </c>
      <c r="AB83" s="3203">
        <v>3.1160000000000001</v>
      </c>
      <c r="AC83" s="3203"/>
      <c r="AD83" s="3203"/>
      <c r="AE83" s="3203"/>
    </row>
    <row r="84" spans="1:31">
      <c r="A84" s="1199" t="s">
        <v>186</v>
      </c>
      <c r="B84" s="996"/>
      <c r="C84" s="1163" t="s">
        <v>266</v>
      </c>
      <c r="D84" s="1151"/>
      <c r="E84" s="1151"/>
      <c r="F84" s="1151"/>
      <c r="G84" s="1155"/>
      <c r="H84" s="1272"/>
      <c r="I84" s="1151"/>
      <c r="J84" s="1152"/>
      <c r="K84" s="1213"/>
      <c r="L84" s="1273"/>
      <c r="M84" s="1614"/>
      <c r="N84" s="1624"/>
      <c r="O84" s="143"/>
      <c r="P84" s="2228"/>
      <c r="Q84" s="1277"/>
      <c r="R84" s="1277"/>
      <c r="S84" s="1278"/>
      <c r="T84" s="2228"/>
      <c r="U84" s="3010"/>
      <c r="V84" s="1277"/>
      <c r="W84" s="1278"/>
      <c r="X84" s="3140"/>
      <c r="Y84" s="3203">
        <v>0.1</v>
      </c>
      <c r="Z84" s="3340">
        <v>1E-3</v>
      </c>
      <c r="AA84" s="3203">
        <v>0.05</v>
      </c>
      <c r="AB84" s="3203">
        <v>1.6E-2</v>
      </c>
      <c r="AC84" s="3203"/>
      <c r="AD84" s="3203"/>
      <c r="AE84" s="3203"/>
    </row>
    <row r="85" spans="1:31" ht="15.75" thickBot="1">
      <c r="A85" s="1205" t="s">
        <v>186</v>
      </c>
      <c r="B85" s="997">
        <f>COUNTA(C85:C92)</f>
        <v>8</v>
      </c>
      <c r="C85" s="1165" t="s">
        <v>80</v>
      </c>
      <c r="D85" s="1130"/>
      <c r="E85" s="1130"/>
      <c r="F85" s="1130"/>
      <c r="G85" s="1131"/>
      <c r="H85" s="1611"/>
      <c r="I85" s="1130"/>
      <c r="J85" s="1133"/>
      <c r="K85" s="1214"/>
      <c r="L85" s="1613"/>
      <c r="M85" s="1615"/>
      <c r="N85" s="1622"/>
      <c r="O85" s="2020"/>
      <c r="P85" s="2229"/>
      <c r="Q85" s="633"/>
      <c r="R85" s="633"/>
      <c r="S85" s="634"/>
      <c r="T85" s="2229"/>
      <c r="U85" s="1136"/>
      <c r="V85" s="633"/>
      <c r="W85" s="634"/>
      <c r="X85" s="3141"/>
      <c r="Y85" s="3204">
        <v>0.182</v>
      </c>
      <c r="Z85" s="3341">
        <v>1E-3</v>
      </c>
      <c r="AA85" s="3204">
        <v>6.4000000000000001E-2</v>
      </c>
      <c r="AB85" s="3204">
        <v>4.7759999999999998</v>
      </c>
      <c r="AC85" s="3204"/>
      <c r="AD85" s="3204"/>
      <c r="AE85" s="3204"/>
    </row>
    <row r="86" spans="1:31">
      <c r="A86" s="1023" t="s">
        <v>68</v>
      </c>
      <c r="B86" s="995"/>
      <c r="C86" s="1161" t="s">
        <v>351</v>
      </c>
      <c r="D86" s="1280"/>
      <c r="E86" s="1280"/>
      <c r="F86" s="1280"/>
      <c r="G86" s="1281"/>
      <c r="H86" s="2447"/>
      <c r="I86" s="1149"/>
      <c r="J86" s="1150"/>
      <c r="K86" s="1202"/>
      <c r="L86" s="1241"/>
      <c r="M86" s="1207"/>
      <c r="N86" s="1623"/>
      <c r="O86" s="2019"/>
      <c r="P86" s="1603"/>
      <c r="Q86" s="1119"/>
      <c r="R86" s="1119"/>
      <c r="S86" s="1120"/>
      <c r="T86" s="1603"/>
      <c r="U86" s="1118"/>
      <c r="V86" s="1119"/>
      <c r="W86" s="1120"/>
      <c r="X86" s="3145"/>
      <c r="Y86" s="3205">
        <v>0.254</v>
      </c>
      <c r="Z86" s="3205">
        <v>4.2999999999999997E-2</v>
      </c>
      <c r="AA86" s="3205">
        <v>9.1499999999999998E-2</v>
      </c>
      <c r="AB86" s="3205">
        <v>2.7E-2</v>
      </c>
      <c r="AC86" s="3205"/>
      <c r="AD86" s="3205"/>
      <c r="AE86" s="3205"/>
    </row>
    <row r="87" spans="1:31">
      <c r="A87" s="1199" t="s">
        <v>68</v>
      </c>
      <c r="B87" s="996"/>
      <c r="C87" s="1163" t="s">
        <v>78</v>
      </c>
      <c r="D87" s="1282"/>
      <c r="E87" s="1282"/>
      <c r="F87" s="1282"/>
      <c r="G87" s="1283"/>
      <c r="H87" s="2448"/>
      <c r="I87" s="1151"/>
      <c r="J87" s="1152"/>
      <c r="K87" s="1204"/>
      <c r="L87" s="1183"/>
      <c r="M87" s="1208"/>
      <c r="N87" s="1624"/>
      <c r="O87" s="143"/>
      <c r="P87" s="1604"/>
      <c r="Q87" s="1127"/>
      <c r="R87" s="1127"/>
      <c r="S87" s="1128"/>
      <c r="T87" s="1604"/>
      <c r="U87" s="1126"/>
      <c r="V87" s="1127"/>
      <c r="W87" s="1128"/>
      <c r="X87" s="3107"/>
      <c r="Y87" s="3206">
        <v>0.17299999999999999</v>
      </c>
      <c r="Z87" s="3206">
        <v>3.6999999999999998E-2</v>
      </c>
      <c r="AA87" s="3206">
        <v>6.5750000000000003E-2</v>
      </c>
      <c r="AB87" s="3206">
        <v>1.7999999999999999E-2</v>
      </c>
      <c r="AC87" s="3206"/>
      <c r="AD87" s="3206"/>
      <c r="AE87" s="3206"/>
    </row>
    <row r="88" spans="1:31">
      <c r="A88" s="1199" t="s">
        <v>68</v>
      </c>
      <c r="B88" s="996">
        <f>COUNTA(C88:C92)</f>
        <v>5</v>
      </c>
      <c r="C88" s="1163" t="s">
        <v>69</v>
      </c>
      <c r="D88" s="1282"/>
      <c r="E88" s="1282"/>
      <c r="F88" s="1282"/>
      <c r="G88" s="1283"/>
      <c r="H88" s="2448"/>
      <c r="I88" s="1151"/>
      <c r="J88" s="1152"/>
      <c r="K88" s="1204"/>
      <c r="L88" s="1183"/>
      <c r="M88" s="1208"/>
      <c r="N88" s="1624"/>
      <c r="O88" s="143"/>
      <c r="P88" s="1604"/>
      <c r="Q88" s="1127"/>
      <c r="R88" s="1127"/>
      <c r="S88" s="1128"/>
      <c r="T88" s="1604"/>
      <c r="U88" s="1126"/>
      <c r="V88" s="1127"/>
      <c r="W88" s="1128"/>
      <c r="X88" s="3107"/>
      <c r="Y88" s="3206">
        <v>0.128</v>
      </c>
      <c r="Z88" s="3206">
        <v>1.9E-2</v>
      </c>
      <c r="AA88" s="3206">
        <v>4.3749999999999997E-2</v>
      </c>
      <c r="AB88" s="3206">
        <v>1.2999999999999999E-2</v>
      </c>
      <c r="AC88" s="3206"/>
      <c r="AD88" s="3206"/>
      <c r="AE88" s="3206"/>
    </row>
    <row r="89" spans="1:31">
      <c r="A89" s="1199" t="s">
        <v>68</v>
      </c>
      <c r="B89" s="996"/>
      <c r="C89" s="1163" t="s">
        <v>75</v>
      </c>
      <c r="D89" s="1282"/>
      <c r="E89" s="1282"/>
      <c r="F89" s="1282"/>
      <c r="G89" s="1283"/>
      <c r="H89" s="2448"/>
      <c r="I89" s="1151"/>
      <c r="J89" s="1152"/>
      <c r="K89" s="1204"/>
      <c r="L89" s="1183"/>
      <c r="M89" s="1208"/>
      <c r="N89" s="1624"/>
      <c r="O89" s="143"/>
      <c r="P89" s="1604"/>
      <c r="Q89" s="1127"/>
      <c r="R89" s="1127"/>
      <c r="S89" s="1128"/>
      <c r="T89" s="1604"/>
      <c r="U89" s="1126"/>
      <c r="V89" s="1127"/>
      <c r="W89" s="1128"/>
      <c r="X89" s="3107"/>
      <c r="Y89" s="3206">
        <v>0.14299999999999999</v>
      </c>
      <c r="Z89" s="3206">
        <v>9.7000000000000003E-2</v>
      </c>
      <c r="AA89" s="3206">
        <f>AVERAGE(0.06625,0.08075,0.07325)</f>
        <v>7.3416666666666672E-2</v>
      </c>
      <c r="AB89" s="3206"/>
      <c r="AC89" s="3206"/>
      <c r="AD89" s="3206"/>
      <c r="AE89" s="3206"/>
    </row>
    <row r="90" spans="1:31" ht="15.75" thickBot="1">
      <c r="A90" s="1205" t="s">
        <v>68</v>
      </c>
      <c r="B90" s="997"/>
      <c r="C90" s="1165" t="s">
        <v>73</v>
      </c>
      <c r="D90" s="1284"/>
      <c r="E90" s="1284"/>
      <c r="F90" s="1284"/>
      <c r="G90" s="1285"/>
      <c r="H90" s="2449"/>
      <c r="I90" s="1130"/>
      <c r="J90" s="1133"/>
      <c r="K90" s="1206"/>
      <c r="L90" s="1184"/>
      <c r="M90" s="1209"/>
      <c r="N90" s="1622"/>
      <c r="O90" s="2020"/>
      <c r="P90" s="1605"/>
      <c r="Q90" s="633"/>
      <c r="R90" s="633"/>
      <c r="S90" s="634"/>
      <c r="T90" s="1605"/>
      <c r="U90" s="1136"/>
      <c r="V90" s="633"/>
      <c r="W90" s="634"/>
      <c r="X90" s="3141"/>
      <c r="Y90" s="3342" t="s">
        <v>336</v>
      </c>
      <c r="Z90" s="3342">
        <v>0.158</v>
      </c>
      <c r="AA90" s="3342">
        <v>9.7500000000000003E-2</v>
      </c>
      <c r="AB90" s="3342" t="s">
        <v>336</v>
      </c>
      <c r="AC90" s="3342"/>
      <c r="AD90" s="3342"/>
      <c r="AE90" s="3342"/>
    </row>
    <row r="91" spans="1:31">
      <c r="A91" s="1024" t="s">
        <v>70</v>
      </c>
      <c r="B91" s="1065"/>
      <c r="C91" s="1286" t="s">
        <v>192</v>
      </c>
      <c r="D91" s="1149"/>
      <c r="E91" s="1149"/>
      <c r="F91" s="1149"/>
      <c r="G91" s="1200"/>
      <c r="H91" s="2429"/>
      <c r="I91" s="1149"/>
      <c r="J91" s="1150"/>
      <c r="K91" s="1202"/>
      <c r="L91" s="1241"/>
      <c r="M91" s="1207"/>
      <c r="N91" s="1623"/>
      <c r="O91" s="2019"/>
      <c r="P91" s="1603"/>
      <c r="Q91" s="1119"/>
      <c r="R91" s="1119"/>
      <c r="S91" s="1120"/>
      <c r="T91" s="1603"/>
      <c r="U91" s="1118"/>
      <c r="V91" s="1119"/>
      <c r="W91" s="1120"/>
      <c r="X91" s="3107"/>
      <c r="Y91" s="3206">
        <v>0.115</v>
      </c>
      <c r="Z91" s="3206">
        <v>3.5999999999999997E-2</v>
      </c>
      <c r="AA91" s="3206">
        <v>4.3249999999999997E-2</v>
      </c>
      <c r="AB91" s="3206">
        <v>2.7E-2</v>
      </c>
      <c r="AC91" s="3206"/>
      <c r="AD91" s="3206"/>
      <c r="AE91" s="3206"/>
    </row>
    <row r="92" spans="1:31">
      <c r="A92" s="1279" t="s">
        <v>70</v>
      </c>
      <c r="B92" s="998"/>
      <c r="C92" s="1197" t="s">
        <v>281</v>
      </c>
      <c r="D92" s="1151"/>
      <c r="E92" s="1151"/>
      <c r="F92" s="1151"/>
      <c r="G92" s="1155"/>
      <c r="H92" s="1272"/>
      <c r="I92" s="1151"/>
      <c r="J92" s="1152"/>
      <c r="K92" s="1204"/>
      <c r="L92" s="1183"/>
      <c r="M92" s="1208"/>
      <c r="N92" s="1624"/>
      <c r="O92" s="143"/>
      <c r="P92" s="1604"/>
      <c r="Q92" s="1127"/>
      <c r="R92" s="1127"/>
      <c r="S92" s="1128"/>
      <c r="T92" s="1604"/>
      <c r="U92" s="1126"/>
      <c r="V92" s="1127"/>
      <c r="W92" s="1128"/>
      <c r="X92" s="3107"/>
      <c r="Y92" s="3206">
        <v>0.17499999999999999</v>
      </c>
      <c r="Z92" s="3206">
        <v>2.5000000000000001E-2</v>
      </c>
      <c r="AA92" s="3206">
        <v>6.2E-2</v>
      </c>
      <c r="AB92" s="3206">
        <v>3.1E-2</v>
      </c>
      <c r="AC92" s="3206"/>
      <c r="AD92" s="3206"/>
      <c r="AE92" s="3206"/>
    </row>
    <row r="93" spans="1:31">
      <c r="A93" s="1279" t="s">
        <v>70</v>
      </c>
      <c r="B93" s="998"/>
      <c r="C93" s="1197" t="s">
        <v>270</v>
      </c>
      <c r="D93" s="1151"/>
      <c r="E93" s="1151"/>
      <c r="F93" s="1151"/>
      <c r="G93" s="1155"/>
      <c r="H93" s="1272"/>
      <c r="I93" s="1151"/>
      <c r="J93" s="1152"/>
      <c r="K93" s="1204"/>
      <c r="L93" s="1183"/>
      <c r="M93" s="1208"/>
      <c r="N93" s="1624"/>
      <c r="O93" s="143"/>
      <c r="P93" s="1604"/>
      <c r="Q93" s="1127"/>
      <c r="R93" s="1127"/>
      <c r="S93" s="1128"/>
      <c r="T93" s="1604"/>
      <c r="U93" s="1126"/>
      <c r="V93" s="1127"/>
      <c r="W93" s="1128"/>
      <c r="X93" s="3107"/>
      <c r="Y93" s="3206">
        <v>0.113</v>
      </c>
      <c r="Z93" s="3206">
        <v>5.5E-2</v>
      </c>
      <c r="AA93" s="3206">
        <v>0.36749999999999999</v>
      </c>
      <c r="AB93" s="3206">
        <v>2.5999999999999999E-2</v>
      </c>
      <c r="AC93" s="3206"/>
      <c r="AD93" s="3206"/>
      <c r="AE93" s="3206"/>
    </row>
    <row r="94" spans="1:31">
      <c r="A94" s="1279" t="s">
        <v>70</v>
      </c>
      <c r="B94" s="998">
        <f>COUNTA(C94:C98)</f>
        <v>5</v>
      </c>
      <c r="C94" s="1197" t="s">
        <v>71</v>
      </c>
      <c r="D94" s="1151"/>
      <c r="E94" s="1151"/>
      <c r="F94" s="1151"/>
      <c r="G94" s="1155"/>
      <c r="H94" s="1272"/>
      <c r="I94" s="1151"/>
      <c r="J94" s="1152"/>
      <c r="K94" s="1204"/>
      <c r="L94" s="1183"/>
      <c r="M94" s="1208"/>
      <c r="N94" s="1624"/>
      <c r="O94" s="143"/>
      <c r="P94" s="1604"/>
      <c r="Q94" s="1127"/>
      <c r="R94" s="1127"/>
      <c r="S94" s="1128"/>
      <c r="T94" s="1604"/>
      <c r="U94" s="1126"/>
      <c r="V94" s="1127"/>
      <c r="W94" s="1128"/>
      <c r="X94" s="3107"/>
      <c r="Y94" s="3206">
        <v>0.111</v>
      </c>
      <c r="Z94" s="3206">
        <v>2.5000000000000001E-2</v>
      </c>
      <c r="AA94" s="3206">
        <v>4.2999999999999997E-2</v>
      </c>
      <c r="AB94" s="3206">
        <v>2.3E-2</v>
      </c>
      <c r="AC94" s="3206"/>
      <c r="AD94" s="3206"/>
      <c r="AE94" s="3206"/>
    </row>
    <row r="95" spans="1:31" ht="15.75" thickBot="1">
      <c r="A95" s="1287" t="s">
        <v>70</v>
      </c>
      <c r="B95" s="1288"/>
      <c r="C95" s="1198" t="s">
        <v>81</v>
      </c>
      <c r="D95" s="1130"/>
      <c r="E95" s="1130"/>
      <c r="F95" s="1130"/>
      <c r="G95" s="1131"/>
      <c r="H95" s="1611"/>
      <c r="I95" s="1130"/>
      <c r="J95" s="1133"/>
      <c r="K95" s="1206"/>
      <c r="L95" s="1184"/>
      <c r="M95" s="1209"/>
      <c r="N95" s="1622"/>
      <c r="O95" s="2020"/>
      <c r="P95" s="1605"/>
      <c r="Q95" s="633"/>
      <c r="R95" s="633"/>
      <c r="S95" s="634"/>
      <c r="T95" s="1605"/>
      <c r="U95" s="1136"/>
      <c r="V95" s="633"/>
      <c r="W95" s="634"/>
      <c r="X95" s="3141"/>
      <c r="Y95" s="3204">
        <v>1.3460000000000001</v>
      </c>
      <c r="Z95" s="3204">
        <v>0.87</v>
      </c>
      <c r="AA95" s="3204">
        <v>2.181</v>
      </c>
      <c r="AB95" s="3204">
        <v>6.367</v>
      </c>
      <c r="AC95" s="3204"/>
      <c r="AD95" s="3204"/>
      <c r="AE95" s="3204"/>
    </row>
    <row r="96" spans="1:31">
      <c r="A96" s="114"/>
      <c r="B96" s="114"/>
      <c r="C96" s="775" t="s">
        <v>285</v>
      </c>
      <c r="D96" s="1025">
        <f>COUNTIF(D72:D95,"&lt;=10")</f>
        <v>0</v>
      </c>
      <c r="E96" s="1025">
        <f t="shared" ref="E96:W96" si="10">COUNTIF(E72:E95,"&lt;=10")</f>
        <v>0</v>
      </c>
      <c r="F96" s="1025">
        <f t="shared" si="10"/>
        <v>0</v>
      </c>
      <c r="G96" s="1025">
        <f t="shared" si="10"/>
        <v>0</v>
      </c>
      <c r="H96" s="1025">
        <f t="shared" si="10"/>
        <v>0</v>
      </c>
      <c r="I96" s="1025">
        <f t="shared" si="10"/>
        <v>0</v>
      </c>
      <c r="J96" s="1025">
        <f t="shared" si="10"/>
        <v>0</v>
      </c>
      <c r="K96" s="1025">
        <f t="shared" si="10"/>
        <v>0</v>
      </c>
      <c r="L96" s="1025">
        <f t="shared" si="10"/>
        <v>0</v>
      </c>
      <c r="M96" s="1025">
        <f t="shared" si="10"/>
        <v>0</v>
      </c>
      <c r="N96" s="1025">
        <f>COUNTIF(N72:N95,"&lt;=10")</f>
        <v>0</v>
      </c>
      <c r="O96" s="1025">
        <f t="shared" si="10"/>
        <v>0</v>
      </c>
      <c r="P96" s="1025">
        <f t="shared" si="10"/>
        <v>0</v>
      </c>
      <c r="Q96" s="1025">
        <f t="shared" si="10"/>
        <v>0</v>
      </c>
      <c r="R96" s="1025">
        <f t="shared" si="10"/>
        <v>0</v>
      </c>
      <c r="S96" s="1025">
        <f t="shared" si="10"/>
        <v>0</v>
      </c>
      <c r="T96" s="1025">
        <f t="shared" si="10"/>
        <v>0</v>
      </c>
      <c r="U96" s="1025">
        <f t="shared" si="10"/>
        <v>0</v>
      </c>
      <c r="V96" s="1025">
        <f t="shared" si="10"/>
        <v>0</v>
      </c>
      <c r="W96" s="1025">
        <f t="shared" si="10"/>
        <v>0</v>
      </c>
      <c r="X96" s="770"/>
      <c r="Y96" s="1025">
        <f>COUNTIF(Y72:Y95,"&lt;=.07")</f>
        <v>0</v>
      </c>
      <c r="Z96" s="1025">
        <f>COUNTIF(Z72:Z95,"&lt;=.05")</f>
        <v>16</v>
      </c>
      <c r="AA96" s="1025">
        <f>COUNTIF(AA72:AA95,"&lt;=.05")</f>
        <v>6</v>
      </c>
      <c r="AB96" s="1025">
        <f t="shared" ref="AB96:AE96" si="11">COUNTIF(AB72:AB95,"&lt;=.05")</f>
        <v>12</v>
      </c>
      <c r="AC96" s="1025">
        <f t="shared" si="11"/>
        <v>0</v>
      </c>
      <c r="AD96" s="1025">
        <f t="shared" si="11"/>
        <v>0</v>
      </c>
      <c r="AE96" s="1025">
        <f t="shared" si="11"/>
        <v>0</v>
      </c>
    </row>
    <row r="97" spans="1:31">
      <c r="A97" s="114"/>
      <c r="B97" s="114"/>
      <c r="C97" s="775" t="s">
        <v>287</v>
      </c>
      <c r="D97" s="1027">
        <f>COUNT(D72:D95)</f>
        <v>0</v>
      </c>
      <c r="E97" s="1027">
        <f t="shared" ref="E97:W97" si="12">COUNT(E72:E95)</f>
        <v>0</v>
      </c>
      <c r="F97" s="1027">
        <f t="shared" si="12"/>
        <v>0</v>
      </c>
      <c r="G97" s="1027">
        <f t="shared" si="12"/>
        <v>0</v>
      </c>
      <c r="H97" s="1027">
        <f t="shared" si="12"/>
        <v>0</v>
      </c>
      <c r="I97" s="1027">
        <f t="shared" si="12"/>
        <v>0</v>
      </c>
      <c r="J97" s="1027">
        <f t="shared" si="12"/>
        <v>0</v>
      </c>
      <c r="K97" s="1027">
        <f t="shared" si="12"/>
        <v>0</v>
      </c>
      <c r="L97" s="1027">
        <f t="shared" si="12"/>
        <v>0</v>
      </c>
      <c r="M97" s="1027">
        <f t="shared" si="12"/>
        <v>0</v>
      </c>
      <c r="N97" s="1027">
        <f>COUNT(N72:N95)</f>
        <v>0</v>
      </c>
      <c r="O97" s="1027">
        <f t="shared" si="12"/>
        <v>0</v>
      </c>
      <c r="P97" s="1027">
        <f t="shared" si="12"/>
        <v>0</v>
      </c>
      <c r="Q97" s="1027">
        <f t="shared" si="12"/>
        <v>0</v>
      </c>
      <c r="R97" s="1027">
        <f t="shared" si="12"/>
        <v>0</v>
      </c>
      <c r="S97" s="1027">
        <f t="shared" si="12"/>
        <v>0</v>
      </c>
      <c r="T97" s="1027">
        <f t="shared" si="12"/>
        <v>0</v>
      </c>
      <c r="U97" s="1027">
        <f t="shared" si="12"/>
        <v>0</v>
      </c>
      <c r="V97" s="1027">
        <f t="shared" si="12"/>
        <v>0</v>
      </c>
      <c r="W97" s="1027">
        <f t="shared" si="12"/>
        <v>0</v>
      </c>
      <c r="X97" s="770"/>
      <c r="Y97" s="1027">
        <f t="shared" ref="Y97:Z97" si="13">COUNT(Y72:Y95)</f>
        <v>23</v>
      </c>
      <c r="Z97" s="1027">
        <f t="shared" si="13"/>
        <v>23</v>
      </c>
      <c r="AA97" s="1027">
        <f>COUNT(AA72:AA95)</f>
        <v>24</v>
      </c>
      <c r="AB97" s="1027">
        <f t="shared" ref="AB97:AE97" si="14">COUNT(AB72:AB95)</f>
        <v>22</v>
      </c>
      <c r="AC97" s="1027">
        <f t="shared" si="14"/>
        <v>0</v>
      </c>
      <c r="AD97" s="1027">
        <f t="shared" si="14"/>
        <v>0</v>
      </c>
      <c r="AE97" s="1027">
        <f t="shared" si="14"/>
        <v>0</v>
      </c>
    </row>
    <row r="98" spans="1:31">
      <c r="A98" s="114"/>
      <c r="B98" s="114"/>
      <c r="C98" s="775" t="s">
        <v>286</v>
      </c>
      <c r="D98" s="1026" t="e">
        <f t="shared" ref="D98:W98" si="15">D96/D97</f>
        <v>#DIV/0!</v>
      </c>
      <c r="E98" s="1026" t="e">
        <f t="shared" si="15"/>
        <v>#DIV/0!</v>
      </c>
      <c r="F98" s="1026" t="e">
        <f t="shared" si="15"/>
        <v>#DIV/0!</v>
      </c>
      <c r="G98" s="1026" t="e">
        <f t="shared" si="15"/>
        <v>#DIV/0!</v>
      </c>
      <c r="H98" s="1026" t="e">
        <f t="shared" si="15"/>
        <v>#DIV/0!</v>
      </c>
      <c r="I98" s="1026" t="e">
        <f t="shared" si="15"/>
        <v>#DIV/0!</v>
      </c>
      <c r="J98" s="1026" t="e">
        <f t="shared" si="15"/>
        <v>#DIV/0!</v>
      </c>
      <c r="K98" s="1026" t="e">
        <f t="shared" si="15"/>
        <v>#DIV/0!</v>
      </c>
      <c r="L98" s="1026" t="e">
        <f t="shared" si="15"/>
        <v>#DIV/0!</v>
      </c>
      <c r="M98" s="1026" t="e">
        <f t="shared" si="15"/>
        <v>#DIV/0!</v>
      </c>
      <c r="N98" s="1026" t="e">
        <f t="shared" si="15"/>
        <v>#DIV/0!</v>
      </c>
      <c r="O98" s="1026" t="e">
        <f t="shared" si="15"/>
        <v>#DIV/0!</v>
      </c>
      <c r="P98" s="1026" t="e">
        <f t="shared" si="15"/>
        <v>#DIV/0!</v>
      </c>
      <c r="Q98" s="1026" t="e">
        <f t="shared" si="15"/>
        <v>#DIV/0!</v>
      </c>
      <c r="R98" s="1026" t="e">
        <f t="shared" si="15"/>
        <v>#DIV/0!</v>
      </c>
      <c r="S98" s="1026" t="e">
        <f t="shared" si="15"/>
        <v>#DIV/0!</v>
      </c>
      <c r="T98" s="1026" t="e">
        <f t="shared" si="15"/>
        <v>#DIV/0!</v>
      </c>
      <c r="U98" s="1026" t="e">
        <f t="shared" si="15"/>
        <v>#DIV/0!</v>
      </c>
      <c r="V98" s="1026" t="e">
        <f t="shared" si="15"/>
        <v>#DIV/0!</v>
      </c>
      <c r="W98" s="1026" t="e">
        <f t="shared" si="15"/>
        <v>#DIV/0!</v>
      </c>
      <c r="X98" s="770"/>
      <c r="Y98" s="1026">
        <f t="shared" ref="Y98:AA98" si="16">Y96/Y97</f>
        <v>0</v>
      </c>
      <c r="Z98" s="1026">
        <f t="shared" si="16"/>
        <v>0.69565217391304346</v>
      </c>
      <c r="AA98" s="1026">
        <f t="shared" si="16"/>
        <v>0.25</v>
      </c>
      <c r="AB98" s="1026">
        <f t="shared" ref="AB98:AE98" si="17">AB96/AB97</f>
        <v>0.54545454545454541</v>
      </c>
      <c r="AC98" s="1026" t="e">
        <f t="shared" si="17"/>
        <v>#DIV/0!</v>
      </c>
      <c r="AD98" s="1026" t="e">
        <f t="shared" si="17"/>
        <v>#DIV/0!</v>
      </c>
      <c r="AE98" s="1026" t="e">
        <f t="shared" si="17"/>
        <v>#DIV/0!</v>
      </c>
    </row>
    <row r="99" spans="1:31">
      <c r="A99" s="776"/>
      <c r="B99" s="1090"/>
      <c r="C99" s="1088" t="s">
        <v>296</v>
      </c>
      <c r="D99" s="1059">
        <f>COUNTA(C72:C95)</f>
        <v>24</v>
      </c>
      <c r="E99" s="1091"/>
      <c r="F99" s="1091"/>
      <c r="G99" s="1091"/>
      <c r="H99" s="1091"/>
      <c r="I99" s="1092"/>
      <c r="J99" s="1091"/>
      <c r="K99" s="1093"/>
      <c r="L99" s="776"/>
      <c r="M99" s="776"/>
      <c r="N99" s="776"/>
      <c r="O99" s="776"/>
      <c r="P99" s="776"/>
      <c r="Q99" s="776"/>
      <c r="R99" s="776"/>
      <c r="S99" s="776"/>
      <c r="T99" s="776"/>
      <c r="U99" s="776"/>
      <c r="V99" s="776"/>
      <c r="W99" s="776"/>
      <c r="X99" s="770"/>
      <c r="Y99" s="4"/>
      <c r="Z99" s="4"/>
    </row>
    <row r="100" spans="1:31">
      <c r="A100" s="114"/>
      <c r="B100" s="114"/>
      <c r="C100" s="775"/>
      <c r="D100" s="1026"/>
      <c r="E100" s="1026"/>
      <c r="F100" s="1026"/>
      <c r="G100" s="1026"/>
      <c r="H100" s="1026"/>
      <c r="I100" s="1026"/>
      <c r="J100" s="1026"/>
      <c r="K100" s="1026"/>
      <c r="L100" s="1026"/>
      <c r="M100" s="1026"/>
      <c r="N100" s="1026"/>
      <c r="O100" s="1026"/>
      <c r="P100" s="1026"/>
      <c r="Q100" s="1026"/>
      <c r="R100" s="1026"/>
      <c r="S100" s="1026"/>
      <c r="T100" s="1026"/>
      <c r="U100" s="1026"/>
      <c r="V100" s="1026"/>
      <c r="W100" s="1026"/>
      <c r="X100" s="770"/>
      <c r="Y100" s="4"/>
      <c r="Z100" s="4"/>
    </row>
    <row r="101" spans="1:31">
      <c r="A101" s="114"/>
      <c r="B101" s="3568" t="s">
        <v>291</v>
      </c>
      <c r="C101" s="775" t="s">
        <v>289</v>
      </c>
      <c r="D101" s="1027">
        <f t="shared" ref="D101:W101" si="18">SUM(D18,D66,D96)</f>
        <v>0</v>
      </c>
      <c r="E101" s="1027">
        <f t="shared" si="18"/>
        <v>0</v>
      </c>
      <c r="F101" s="1027">
        <f t="shared" si="18"/>
        <v>0</v>
      </c>
      <c r="G101" s="1027">
        <f t="shared" si="18"/>
        <v>0</v>
      </c>
      <c r="H101" s="1027">
        <f t="shared" si="18"/>
        <v>0</v>
      </c>
      <c r="I101" s="1049">
        <f t="shared" si="18"/>
        <v>0</v>
      </c>
      <c r="J101" s="1027">
        <f t="shared" si="18"/>
        <v>0</v>
      </c>
      <c r="K101" s="1027">
        <f t="shared" si="18"/>
        <v>0</v>
      </c>
      <c r="L101" s="1049">
        <f t="shared" si="18"/>
        <v>0</v>
      </c>
      <c r="M101" s="1049">
        <f t="shared" si="18"/>
        <v>0</v>
      </c>
      <c r="N101" s="1027">
        <f t="shared" si="18"/>
        <v>0</v>
      </c>
      <c r="O101" s="1027">
        <f t="shared" si="18"/>
        <v>0</v>
      </c>
      <c r="P101" s="1027">
        <f t="shared" si="18"/>
        <v>0</v>
      </c>
      <c r="Q101" s="1027">
        <f t="shared" si="18"/>
        <v>0</v>
      </c>
      <c r="R101" s="1027">
        <f t="shared" si="18"/>
        <v>0</v>
      </c>
      <c r="S101" s="1027">
        <f t="shared" si="18"/>
        <v>0</v>
      </c>
      <c r="T101" s="1027">
        <f t="shared" si="18"/>
        <v>0</v>
      </c>
      <c r="U101" s="1027">
        <f t="shared" si="18"/>
        <v>0</v>
      </c>
      <c r="V101" s="1027">
        <f t="shared" si="18"/>
        <v>0</v>
      </c>
      <c r="W101" s="1027">
        <f t="shared" si="18"/>
        <v>0</v>
      </c>
      <c r="X101" s="1027">
        <f t="shared" ref="X101:AA101" si="19">SUM(X18,X66,X96)</f>
        <v>0</v>
      </c>
      <c r="Y101" s="1027">
        <f t="shared" si="19"/>
        <v>2.2149999999999999</v>
      </c>
      <c r="Z101" s="1027">
        <f t="shared" si="19"/>
        <v>16.829999999999998</v>
      </c>
      <c r="AA101" s="1027">
        <f t="shared" si="19"/>
        <v>7.6440000000000001</v>
      </c>
      <c r="AB101" s="1027">
        <f t="shared" ref="AB101:AE101" si="20">SUM(AB18,AB66,AB96)</f>
        <v>12</v>
      </c>
      <c r="AC101" s="1027">
        <f t="shared" si="20"/>
        <v>0</v>
      </c>
      <c r="AD101" s="1027">
        <f t="shared" si="20"/>
        <v>0</v>
      </c>
      <c r="AE101" s="1027">
        <f t="shared" si="20"/>
        <v>0</v>
      </c>
    </row>
    <row r="102" spans="1:31">
      <c r="A102" s="114"/>
      <c r="B102" s="3568"/>
      <c r="C102" s="775" t="s">
        <v>288</v>
      </c>
      <c r="D102" s="1027">
        <f t="shared" ref="D102:W102" si="21">SUM(D19,D67,D97)</f>
        <v>0</v>
      </c>
      <c r="E102" s="1027">
        <f t="shared" si="21"/>
        <v>0</v>
      </c>
      <c r="F102" s="1027">
        <f t="shared" si="21"/>
        <v>0</v>
      </c>
      <c r="G102" s="1027">
        <f t="shared" si="21"/>
        <v>0</v>
      </c>
      <c r="H102" s="1027">
        <f t="shared" si="21"/>
        <v>0</v>
      </c>
      <c r="I102" s="1049">
        <f t="shared" si="21"/>
        <v>0</v>
      </c>
      <c r="J102" s="1027">
        <f t="shared" si="21"/>
        <v>0</v>
      </c>
      <c r="K102" s="1027">
        <f t="shared" si="21"/>
        <v>0</v>
      </c>
      <c r="L102" s="1049">
        <f t="shared" si="21"/>
        <v>0</v>
      </c>
      <c r="M102" s="1049">
        <f t="shared" si="21"/>
        <v>0</v>
      </c>
      <c r="N102" s="1027">
        <f t="shared" si="21"/>
        <v>0</v>
      </c>
      <c r="O102" s="1027">
        <f t="shared" si="21"/>
        <v>0</v>
      </c>
      <c r="P102" s="1027">
        <f t="shared" si="21"/>
        <v>0</v>
      </c>
      <c r="Q102" s="1027">
        <f t="shared" si="21"/>
        <v>0</v>
      </c>
      <c r="R102" s="1027">
        <f t="shared" si="21"/>
        <v>0</v>
      </c>
      <c r="S102" s="1027">
        <f t="shared" si="21"/>
        <v>0</v>
      </c>
      <c r="T102" s="1027">
        <f t="shared" si="21"/>
        <v>0</v>
      </c>
      <c r="U102" s="1027">
        <f t="shared" si="21"/>
        <v>0</v>
      </c>
      <c r="V102" s="1027">
        <f t="shared" si="21"/>
        <v>0</v>
      </c>
      <c r="W102" s="1027">
        <f t="shared" si="21"/>
        <v>0</v>
      </c>
      <c r="X102" s="1027">
        <f t="shared" ref="X102:AA102" si="22">SUM(X19,X67,X97)</f>
        <v>0</v>
      </c>
      <c r="Y102" s="1027">
        <f t="shared" si="22"/>
        <v>24.199000000000002</v>
      </c>
      <c r="Z102" s="1027">
        <f t="shared" si="22"/>
        <v>24.614000000000001</v>
      </c>
      <c r="AA102" s="1027">
        <f t="shared" si="22"/>
        <v>25.25</v>
      </c>
      <c r="AB102" s="1027">
        <f t="shared" ref="AB102:AE102" si="23">SUM(AB19,AB67,AB97)</f>
        <v>22</v>
      </c>
      <c r="AC102" s="1027">
        <f t="shared" si="23"/>
        <v>0</v>
      </c>
      <c r="AD102" s="1027">
        <f t="shared" si="23"/>
        <v>0</v>
      </c>
      <c r="AE102" s="1027">
        <f t="shared" si="23"/>
        <v>0</v>
      </c>
    </row>
    <row r="103" spans="1:31">
      <c r="A103" s="114"/>
      <c r="B103" s="3568"/>
      <c r="C103" s="775" t="s">
        <v>290</v>
      </c>
      <c r="D103" s="1026" t="e">
        <f>D101/D102</f>
        <v>#DIV/0!</v>
      </c>
      <c r="E103" s="1026" t="e">
        <f t="shared" ref="E103:W103" si="24">E101/E102</f>
        <v>#DIV/0!</v>
      </c>
      <c r="F103" s="1026" t="e">
        <f t="shared" si="24"/>
        <v>#DIV/0!</v>
      </c>
      <c r="G103" s="1026" t="e">
        <f t="shared" si="24"/>
        <v>#DIV/0!</v>
      </c>
      <c r="H103" s="1026" t="e">
        <f t="shared" si="24"/>
        <v>#DIV/0!</v>
      </c>
      <c r="I103" s="1050" t="e">
        <f t="shared" si="24"/>
        <v>#DIV/0!</v>
      </c>
      <c r="J103" s="1026" t="e">
        <f t="shared" si="24"/>
        <v>#DIV/0!</v>
      </c>
      <c r="K103" s="1026" t="e">
        <f t="shared" si="24"/>
        <v>#DIV/0!</v>
      </c>
      <c r="L103" s="1050" t="e">
        <f t="shared" si="24"/>
        <v>#DIV/0!</v>
      </c>
      <c r="M103" s="1050" t="e">
        <f t="shared" si="24"/>
        <v>#DIV/0!</v>
      </c>
      <c r="N103" s="1026" t="e">
        <f t="shared" si="24"/>
        <v>#DIV/0!</v>
      </c>
      <c r="O103" s="1026" t="e">
        <f t="shared" si="24"/>
        <v>#DIV/0!</v>
      </c>
      <c r="P103" s="1026" t="e">
        <f t="shared" si="24"/>
        <v>#DIV/0!</v>
      </c>
      <c r="Q103" s="1026" t="e">
        <f t="shared" si="24"/>
        <v>#DIV/0!</v>
      </c>
      <c r="R103" s="1026" t="e">
        <f t="shared" si="24"/>
        <v>#DIV/0!</v>
      </c>
      <c r="S103" s="1026" t="e">
        <f t="shared" si="24"/>
        <v>#DIV/0!</v>
      </c>
      <c r="T103" s="1026" t="e">
        <f t="shared" si="24"/>
        <v>#DIV/0!</v>
      </c>
      <c r="U103" s="1026" t="e">
        <f t="shared" si="24"/>
        <v>#DIV/0!</v>
      </c>
      <c r="V103" s="1026" t="e">
        <f t="shared" si="24"/>
        <v>#DIV/0!</v>
      </c>
      <c r="W103" s="1026" t="e">
        <f t="shared" si="24"/>
        <v>#DIV/0!</v>
      </c>
      <c r="X103" s="1026" t="e">
        <f t="shared" ref="X103:AA103" si="25">X101/X102</f>
        <v>#DIV/0!</v>
      </c>
      <c r="Y103" s="1026">
        <f t="shared" si="25"/>
        <v>9.1532707963138962E-2</v>
      </c>
      <c r="Z103" s="1026">
        <f t="shared" si="25"/>
        <v>0.68375721134313794</v>
      </c>
      <c r="AA103" s="1026">
        <f t="shared" si="25"/>
        <v>0.30273267326732672</v>
      </c>
      <c r="AB103" s="1026">
        <f t="shared" ref="AB103:AE103" si="26">AB101/AB102</f>
        <v>0.54545454545454541</v>
      </c>
      <c r="AC103" s="1026" t="e">
        <f t="shared" si="26"/>
        <v>#DIV/0!</v>
      </c>
      <c r="AD103" s="1026" t="e">
        <f t="shared" si="26"/>
        <v>#DIV/0!</v>
      </c>
      <c r="AE103" s="1026" t="e">
        <f t="shared" si="26"/>
        <v>#DIV/0!</v>
      </c>
    </row>
    <row r="104" spans="1:31">
      <c r="A104" s="776"/>
      <c r="B104" s="1090"/>
      <c r="C104" s="1088" t="s">
        <v>296</v>
      </c>
      <c r="D104" s="1059">
        <f>SUM(D21,D69,D99)</f>
        <v>2035</v>
      </c>
      <c r="E104" s="1091"/>
      <c r="F104" s="1091"/>
      <c r="G104" s="1091"/>
      <c r="H104" s="1091"/>
      <c r="I104" s="1092"/>
      <c r="J104" s="1091"/>
      <c r="K104" s="1093"/>
      <c r="L104" s="776"/>
      <c r="M104" s="776"/>
      <c r="N104" s="776"/>
      <c r="O104" s="776"/>
      <c r="P104" s="776"/>
      <c r="Q104" s="776"/>
      <c r="R104" s="776"/>
      <c r="S104" s="776"/>
      <c r="T104" s="776"/>
      <c r="U104" s="776"/>
      <c r="V104" s="776"/>
      <c r="W104" s="776"/>
      <c r="X104" s="770"/>
      <c r="Y104" s="4"/>
      <c r="Z104" s="4"/>
    </row>
    <row r="105" spans="1:31" ht="15.75" thickBot="1"/>
    <row r="106" spans="1:31" ht="15.75" thickBot="1">
      <c r="C106" s="3602" t="s">
        <v>1</v>
      </c>
      <c r="D106" s="3517">
        <v>2016</v>
      </c>
      <c r="E106" s="3517"/>
      <c r="F106" s="3517"/>
      <c r="G106" s="3518"/>
    </row>
    <row r="107" spans="1:31" ht="15.75" thickBot="1">
      <c r="C107" s="3603"/>
      <c r="D107" s="2101" t="s">
        <v>2</v>
      </c>
      <c r="E107" s="3270" t="s">
        <v>3</v>
      </c>
      <c r="F107" s="3271" t="s">
        <v>4</v>
      </c>
      <c r="G107" s="724" t="s">
        <v>5</v>
      </c>
    </row>
    <row r="108" spans="1:31" ht="15.75" thickBot="1">
      <c r="C108" s="3272" t="s">
        <v>168</v>
      </c>
      <c r="D108" s="269"/>
      <c r="E108" s="269">
        <v>7.0000000000000007E-2</v>
      </c>
      <c r="F108" s="3278"/>
      <c r="G108" s="3273"/>
    </row>
    <row r="109" spans="1:31" ht="15.75" thickBot="1">
      <c r="C109" s="263" t="s">
        <v>412</v>
      </c>
      <c r="D109" s="634"/>
      <c r="E109" s="634">
        <v>0.15</v>
      </c>
      <c r="F109" s="634"/>
      <c r="G109" s="634"/>
    </row>
    <row r="110" spans="1:31" ht="15.75" thickBot="1">
      <c r="C110" s="106" t="s">
        <v>413</v>
      </c>
      <c r="D110" s="634"/>
      <c r="E110" s="634">
        <v>8.5999999999999993E-2</v>
      </c>
      <c r="F110" s="634"/>
      <c r="G110" s="634"/>
    </row>
    <row r="111" spans="1:31" ht="15.75" thickBot="1">
      <c r="C111" s="106" t="s">
        <v>414</v>
      </c>
      <c r="D111" s="634"/>
      <c r="E111" s="634">
        <v>7.6999999999999999E-2</v>
      </c>
      <c r="F111" s="634"/>
      <c r="G111" s="634"/>
    </row>
    <row r="112" spans="1:31" ht="15.75" thickBot="1">
      <c r="C112" s="106" t="s">
        <v>415</v>
      </c>
      <c r="D112" s="634"/>
      <c r="E112" s="634">
        <v>0.25600000000000001</v>
      </c>
      <c r="F112" s="634"/>
      <c r="G112" s="634"/>
    </row>
    <row r="113" spans="3:7" ht="15.75" thickBot="1">
      <c r="C113" s="106" t="s">
        <v>416</v>
      </c>
      <c r="D113" s="634"/>
      <c r="E113" s="634">
        <v>6.8000000000000005E-2</v>
      </c>
      <c r="F113" s="634"/>
      <c r="G113" s="634"/>
    </row>
    <row r="114" spans="3:7" ht="15.75" thickBot="1">
      <c r="C114" s="106" t="s">
        <v>417</v>
      </c>
      <c r="D114" s="634"/>
      <c r="E114" s="634">
        <v>7.5999999999999998E-2</v>
      </c>
      <c r="F114" s="634"/>
      <c r="G114" s="634"/>
    </row>
    <row r="115" spans="3:7" ht="15.75" thickBot="1">
      <c r="C115" s="106" t="s">
        <v>418</v>
      </c>
      <c r="D115" s="634"/>
      <c r="E115" s="634">
        <v>5.8999999999999997E-2</v>
      </c>
      <c r="F115" s="634"/>
      <c r="G115" s="634"/>
    </row>
    <row r="116" spans="3:7" ht="15.75" thickBot="1">
      <c r="C116" s="106" t="s">
        <v>419</v>
      </c>
      <c r="D116" s="634"/>
      <c r="E116" s="634">
        <v>6.0999999999999999E-2</v>
      </c>
      <c r="F116" s="634"/>
      <c r="G116" s="634"/>
    </row>
    <row r="117" spans="3:7" ht="15.75" thickBot="1">
      <c r="C117" s="106" t="s">
        <v>420</v>
      </c>
      <c r="D117" s="634"/>
      <c r="E117" s="634">
        <v>5.1999999999999998E-2</v>
      </c>
      <c r="F117" s="634"/>
      <c r="G117" s="634"/>
    </row>
    <row r="118" spans="3:7">
      <c r="C118" s="775" t="s">
        <v>285</v>
      </c>
      <c r="D118" s="1025">
        <f>COUNTIF(D109:D117,"&lt;=.07")</f>
        <v>0</v>
      </c>
      <c r="E118" s="1025">
        <f>COUNTIF(E109:E117,"&lt;=.07")</f>
        <v>4</v>
      </c>
      <c r="F118" s="1025">
        <f>COUNTIF(F109:F117,"&lt;=.07")</f>
        <v>0</v>
      </c>
      <c r="G118" s="1025">
        <f>COUNTIF(G109:G117,"&lt;=.07")</f>
        <v>0</v>
      </c>
    </row>
    <row r="119" spans="3:7">
      <c r="C119" s="775" t="s">
        <v>287</v>
      </c>
      <c r="D119" s="1027">
        <f>COUNT(D109:D117)</f>
        <v>0</v>
      </c>
      <c r="E119" s="1027">
        <f>COUNT(E109:E117)</f>
        <v>9</v>
      </c>
      <c r="F119" s="1027">
        <f>COUNT(F109:F117)</f>
        <v>0</v>
      </c>
      <c r="G119" s="1027">
        <f>COUNT(G109:G117)</f>
        <v>0</v>
      </c>
    </row>
    <row r="120" spans="3:7">
      <c r="C120" s="775" t="s">
        <v>286</v>
      </c>
      <c r="D120" s="1026" t="e">
        <f t="shared" ref="D120:G120" si="27">D118/D119</f>
        <v>#DIV/0!</v>
      </c>
      <c r="E120" s="1026">
        <f t="shared" si="27"/>
        <v>0.44444444444444442</v>
      </c>
      <c r="F120" s="1026" t="e">
        <f t="shared" si="27"/>
        <v>#DIV/0!</v>
      </c>
      <c r="G120" s="1026" t="e">
        <f t="shared" si="27"/>
        <v>#DIV/0!</v>
      </c>
    </row>
    <row r="121" spans="3:7">
      <c r="C121" s="1088" t="s">
        <v>296</v>
      </c>
      <c r="D121" s="1059">
        <f>COUNTA(C109:C117)</f>
        <v>9</v>
      </c>
      <c r="E121" s="1059">
        <f>COUNTA(D109:D117)</f>
        <v>0</v>
      </c>
      <c r="F121" s="1059">
        <f>COUNTA(E109:E117)</f>
        <v>9</v>
      </c>
      <c r="G121" s="1059">
        <f>COUNTA(F109:F117)</f>
        <v>0</v>
      </c>
    </row>
  </sheetData>
  <mergeCells count="36">
    <mergeCell ref="A45:A48"/>
    <mergeCell ref="P8:S8"/>
    <mergeCell ref="T8:W8"/>
    <mergeCell ref="X8:AA8"/>
    <mergeCell ref="A11:A14"/>
    <mergeCell ref="A15:A17"/>
    <mergeCell ref="A42:A44"/>
    <mergeCell ref="A18:A20"/>
    <mergeCell ref="A21:A25"/>
    <mergeCell ref="A26:A30"/>
    <mergeCell ref="A31:A33"/>
    <mergeCell ref="A34:A38"/>
    <mergeCell ref="A39:A41"/>
    <mergeCell ref="D2:N3"/>
    <mergeCell ref="E5:M5"/>
    <mergeCell ref="F6:L6"/>
    <mergeCell ref="A8:A9"/>
    <mergeCell ref="C8:C9"/>
    <mergeCell ref="D8:G8"/>
    <mergeCell ref="H8:K8"/>
    <mergeCell ref="AB8:AE8"/>
    <mergeCell ref="AB69:AE69"/>
    <mergeCell ref="D106:G106"/>
    <mergeCell ref="C106:C107"/>
    <mergeCell ref="A49:A51"/>
    <mergeCell ref="A52:A54"/>
    <mergeCell ref="A55:A57"/>
    <mergeCell ref="A58:A60"/>
    <mergeCell ref="X69:AA69"/>
    <mergeCell ref="T69:W69"/>
    <mergeCell ref="A69:A70"/>
    <mergeCell ref="B101:B103"/>
    <mergeCell ref="C69:C70"/>
    <mergeCell ref="D69:G69"/>
    <mergeCell ref="H69:K69"/>
    <mergeCell ref="P69:S69"/>
  </mergeCells>
  <conditionalFormatting sqref="R12:W44 D11:Q44 T11:U11 X11:Y11 X12:X41 X44 Y12:AE44 D45:AE60">
    <cfRule type="cellIs" dxfId="196" priority="21" operator="between">
      <formula>6</formula>
      <formula>8.5</formula>
    </cfRule>
  </conditionalFormatting>
  <conditionalFormatting sqref="D26:K30">
    <cfRule type="cellIs" dxfId="195" priority="22" operator="between">
      <formula>6</formula>
      <formula>8.5</formula>
    </cfRule>
    <cfRule type="cellIs" dxfId="194" priority="22" operator="between">
      <formula>6</formula>
      <formula>8.5</formula>
    </cfRule>
  </conditionalFormatting>
  <conditionalFormatting sqref="D72:W95 D45:W60 D109:G117 Y45:AE60">
    <cfRule type="cellIs" dxfId="193" priority="19" operator="lessThanOrEqual">
      <formula>10</formula>
    </cfRule>
  </conditionalFormatting>
  <conditionalFormatting sqref="Y72:AE95">
    <cfRule type="cellIs" dxfId="192" priority="16" operator="greaterThan">
      <formula>0.07</formula>
    </cfRule>
  </conditionalFormatting>
  <conditionalFormatting sqref="D45:W60 Y45:AE60">
    <cfRule type="cellIs" dxfId="191" priority="12" operator="lessThan">
      <formula>10</formula>
    </cfRule>
    <cfRule type="cellIs" dxfId="190" priority="13" operator="greaterThan">
      <formula>10</formula>
    </cfRule>
  </conditionalFormatting>
  <conditionalFormatting sqref="D45:L60 P45:AE60">
    <cfRule type="cellIs" dxfId="189" priority="11" operator="greaterThanOrEqual">
      <formula>5</formula>
    </cfRule>
  </conditionalFormatting>
  <conditionalFormatting sqref="M45:O60">
    <cfRule type="cellIs" dxfId="188" priority="10" operator="lessThanOrEqual">
      <formula>0.4</formula>
    </cfRule>
  </conditionalFormatting>
  <conditionalFormatting sqref="D45:AE60">
    <cfRule type="cellIs" dxfId="187" priority="7" operator="lessThan">
      <formula>5</formula>
    </cfRule>
    <cfRule type="cellIs" dxfId="186" priority="8" operator="greaterThan">
      <formula>5</formula>
    </cfRule>
    <cfRule type="cellIs" dxfId="185" priority="9" operator="greaterThan">
      <formula>5</formula>
    </cfRule>
  </conditionalFormatting>
  <conditionalFormatting sqref="D45:O60">
    <cfRule type="cellIs" dxfId="184" priority="6" operator="greaterThan">
      <formula>4.9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DA286"/>
  <sheetViews>
    <sheetView topLeftCell="A7" zoomScale="88" zoomScaleNormal="88" zoomScaleSheetLayoutView="130" workbookViewId="0">
      <pane xSplit="8460" ySplit="1065" topLeftCell="U22" activePane="bottomRight"/>
      <selection activeCell="AA12" sqref="AA12"/>
      <selection pane="topRight" activeCell="AG8" sqref="AG8"/>
      <selection pane="bottomLeft" activeCell="AA178" sqref="AA178"/>
      <selection pane="bottomRight" activeCell="AB58" sqref="AB58"/>
    </sheetView>
  </sheetViews>
  <sheetFormatPr defaultRowHeight="15"/>
  <cols>
    <col min="1" max="1" width="23.140625" customWidth="1"/>
    <col min="2" max="2" width="23.140625" style="11" customWidth="1"/>
    <col min="3" max="3" width="40.85546875" customWidth="1"/>
    <col min="4" max="4" width="9.28515625" bestFit="1" customWidth="1"/>
    <col min="14" max="14" width="9.140625" style="2100"/>
    <col min="20" max="23" width="9.140625" style="2845"/>
  </cols>
  <sheetData>
    <row r="1" spans="1:95">
      <c r="A1" s="726"/>
      <c r="B1" s="1030"/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2077"/>
      <c r="O1" s="726"/>
      <c r="P1" s="726"/>
      <c r="Q1" s="726"/>
      <c r="R1" s="726"/>
      <c r="S1" s="726"/>
      <c r="T1" s="726"/>
      <c r="U1" s="726"/>
      <c r="V1" s="726"/>
      <c r="W1" s="726"/>
      <c r="X1" s="764"/>
    </row>
    <row r="2" spans="1:95">
      <c r="A2" s="726"/>
      <c r="B2" s="1030"/>
      <c r="C2" s="726"/>
      <c r="D2" s="3595" t="s">
        <v>264</v>
      </c>
      <c r="E2" s="3595"/>
      <c r="F2" s="3595"/>
      <c r="G2" s="3595"/>
      <c r="H2" s="3595"/>
      <c r="I2" s="3595"/>
      <c r="J2" s="3595"/>
      <c r="K2" s="3595"/>
      <c r="L2" s="3595"/>
      <c r="M2" s="3595"/>
      <c r="N2" s="3595"/>
      <c r="O2" s="726"/>
      <c r="P2" s="726"/>
      <c r="Q2" s="726"/>
      <c r="R2" s="726"/>
      <c r="S2" s="726"/>
      <c r="T2" s="726"/>
      <c r="U2" s="726"/>
      <c r="V2" s="726"/>
      <c r="W2" s="726"/>
      <c r="X2" s="764"/>
    </row>
    <row r="3" spans="1:95">
      <c r="A3" s="726"/>
      <c r="B3" s="1030"/>
      <c r="C3" s="726"/>
      <c r="D3" s="3595"/>
      <c r="E3" s="3595"/>
      <c r="F3" s="3595"/>
      <c r="G3" s="3595"/>
      <c r="H3" s="3595"/>
      <c r="I3" s="3595"/>
      <c r="J3" s="3595"/>
      <c r="K3" s="3595"/>
      <c r="L3" s="3595"/>
      <c r="M3" s="3595"/>
      <c r="N3" s="3595"/>
      <c r="O3" s="726"/>
      <c r="P3" s="726"/>
      <c r="Q3" s="726"/>
      <c r="R3" s="726"/>
      <c r="S3" s="726"/>
      <c r="T3" s="726"/>
      <c r="U3" s="726"/>
      <c r="V3" s="726"/>
      <c r="W3" s="726"/>
      <c r="X3" s="764"/>
    </row>
    <row r="4" spans="1:95" ht="15.75" thickBot="1">
      <c r="A4" s="726"/>
      <c r="B4" s="1030"/>
      <c r="C4" s="726"/>
      <c r="D4" s="726"/>
      <c r="E4" s="726"/>
      <c r="F4" s="726"/>
      <c r="G4" s="726"/>
      <c r="H4" s="726"/>
      <c r="I4" s="726"/>
      <c r="J4" s="726"/>
      <c r="K4" s="726"/>
      <c r="L4" s="726"/>
      <c r="M4" s="726"/>
      <c r="N4" s="2077"/>
      <c r="O4" s="726"/>
      <c r="P4" s="726"/>
      <c r="Q4" s="726"/>
      <c r="R4" s="726"/>
      <c r="S4" s="726"/>
      <c r="T4" s="726"/>
      <c r="U4" s="726"/>
      <c r="V4" s="726"/>
      <c r="W4" s="726"/>
      <c r="X4" s="764"/>
    </row>
    <row r="5" spans="1:95" ht="15.75" thickBot="1">
      <c r="A5" s="750"/>
      <c r="B5" s="1017"/>
      <c r="C5" s="750"/>
      <c r="D5" s="750"/>
      <c r="E5" s="3538" t="s">
        <v>170</v>
      </c>
      <c r="F5" s="3539"/>
      <c r="G5" s="3539"/>
      <c r="H5" s="3539"/>
      <c r="I5" s="3539"/>
      <c r="J5" s="3539"/>
      <c r="K5" s="3539"/>
      <c r="L5" s="3539"/>
      <c r="M5" s="3540"/>
      <c r="N5" s="2077"/>
      <c r="O5" s="726"/>
      <c r="P5" s="726"/>
      <c r="Q5" s="726"/>
      <c r="R5" s="726"/>
      <c r="S5" s="726"/>
      <c r="T5" s="726"/>
      <c r="U5" s="726"/>
      <c r="V5" s="726"/>
      <c r="W5" s="726"/>
      <c r="X5" s="764"/>
    </row>
    <row r="6" spans="1:95" ht="15.75" thickBot="1">
      <c r="A6" s="751"/>
      <c r="B6" s="1018"/>
      <c r="C6" s="751"/>
      <c r="D6" s="753"/>
      <c r="E6" s="752"/>
      <c r="F6" s="3589" t="s">
        <v>230</v>
      </c>
      <c r="G6" s="3590"/>
      <c r="H6" s="3590"/>
      <c r="I6" s="3590"/>
      <c r="J6" s="3590"/>
      <c r="K6" s="3590"/>
      <c r="L6" s="3591"/>
      <c r="M6" s="726"/>
      <c r="N6" s="2077"/>
      <c r="O6" s="726"/>
      <c r="P6" s="726"/>
      <c r="Q6" s="726"/>
      <c r="R6" s="726"/>
      <c r="S6" s="726"/>
      <c r="T6" s="726"/>
      <c r="U6" s="726"/>
      <c r="V6" s="726"/>
      <c r="W6" s="726"/>
      <c r="X6" s="764"/>
    </row>
    <row r="7" spans="1:95" ht="15.75" thickBot="1">
      <c r="A7" s="116"/>
      <c r="B7" s="580"/>
      <c r="C7" s="116"/>
      <c r="D7" s="237"/>
      <c r="E7" s="237"/>
      <c r="F7" s="3589" t="s">
        <v>424</v>
      </c>
      <c r="G7" s="3590"/>
      <c r="H7" s="3590"/>
      <c r="I7" s="3590"/>
      <c r="J7" s="3590"/>
      <c r="K7" s="3590"/>
      <c r="L7" s="3591"/>
      <c r="M7" s="107"/>
      <c r="N7" s="2078"/>
      <c r="O7" s="107"/>
      <c r="P7" s="107"/>
      <c r="Q7" s="107"/>
      <c r="R7" s="107"/>
      <c r="S7" s="107"/>
      <c r="T7" s="107"/>
      <c r="U7" s="107"/>
      <c r="V7" s="107"/>
      <c r="W7" s="107"/>
      <c r="X7" s="767"/>
    </row>
    <row r="8" spans="1:95" ht="15.75" thickBot="1">
      <c r="A8" s="3519" t="s">
        <v>0</v>
      </c>
      <c r="B8" s="1006"/>
      <c r="C8" s="3587" t="s">
        <v>1</v>
      </c>
      <c r="D8" s="3550">
        <v>2011</v>
      </c>
      <c r="E8" s="3551"/>
      <c r="F8" s="3551"/>
      <c r="G8" s="3552"/>
      <c r="H8" s="3547">
        <v>2012</v>
      </c>
      <c r="I8" s="3548"/>
      <c r="J8" s="3548"/>
      <c r="K8" s="3549"/>
      <c r="L8" s="967">
        <v>2013</v>
      </c>
      <c r="M8" s="968"/>
      <c r="N8" s="1867"/>
      <c r="O8" s="969"/>
      <c r="P8" s="3516">
        <v>2014</v>
      </c>
      <c r="Q8" s="3517"/>
      <c r="R8" s="3517"/>
      <c r="S8" s="3518"/>
      <c r="T8" s="3516">
        <v>2015</v>
      </c>
      <c r="U8" s="3517"/>
      <c r="V8" s="3517"/>
      <c r="W8" s="3518"/>
      <c r="X8" s="3516">
        <v>2016</v>
      </c>
      <c r="Y8" s="3517"/>
      <c r="Z8" s="3517"/>
      <c r="AA8" s="3518"/>
      <c r="AB8" s="3516">
        <v>2017</v>
      </c>
      <c r="AC8" s="3517"/>
      <c r="AD8" s="3517"/>
      <c r="AE8" s="3518"/>
    </row>
    <row r="9" spans="1:95" ht="15.75" thickBot="1">
      <c r="A9" s="3520"/>
      <c r="B9" s="1007"/>
      <c r="C9" s="3588"/>
      <c r="D9" s="720" t="s">
        <v>2</v>
      </c>
      <c r="E9" s="721" t="s">
        <v>3</v>
      </c>
      <c r="F9" s="725" t="s">
        <v>4</v>
      </c>
      <c r="G9" s="722" t="s">
        <v>5</v>
      </c>
      <c r="H9" s="723" t="s">
        <v>2</v>
      </c>
      <c r="I9" s="721" t="s">
        <v>3</v>
      </c>
      <c r="J9" s="725" t="s">
        <v>4</v>
      </c>
      <c r="K9" s="724" t="s">
        <v>5</v>
      </c>
      <c r="L9" s="723" t="s">
        <v>2</v>
      </c>
      <c r="M9" s="721" t="s">
        <v>3</v>
      </c>
      <c r="N9" s="2036" t="s">
        <v>4</v>
      </c>
      <c r="O9" s="724" t="s">
        <v>5</v>
      </c>
      <c r="P9" s="2101" t="s">
        <v>2</v>
      </c>
      <c r="Q9" s="721" t="s">
        <v>3</v>
      </c>
      <c r="R9" s="725" t="s">
        <v>4</v>
      </c>
      <c r="S9" s="724" t="s">
        <v>5</v>
      </c>
      <c r="T9" s="2101" t="s">
        <v>2</v>
      </c>
      <c r="U9" s="2846" t="s">
        <v>3</v>
      </c>
      <c r="V9" s="2847" t="s">
        <v>4</v>
      </c>
      <c r="W9" s="724" t="s">
        <v>5</v>
      </c>
      <c r="X9" s="3150" t="s">
        <v>2</v>
      </c>
      <c r="Y9" s="3208" t="s">
        <v>3</v>
      </c>
      <c r="Z9" s="3209" t="s">
        <v>4</v>
      </c>
      <c r="AA9" s="724" t="s">
        <v>5</v>
      </c>
      <c r="AB9" s="3150" t="s">
        <v>2</v>
      </c>
      <c r="AC9" s="3493" t="s">
        <v>3</v>
      </c>
      <c r="AD9" s="3494" t="s">
        <v>4</v>
      </c>
      <c r="AE9" s="724" t="s">
        <v>5</v>
      </c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</row>
    <row r="10" spans="1:95" ht="15.75" thickBot="1">
      <c r="A10" s="1372" t="s">
        <v>125</v>
      </c>
      <c r="B10" s="1373" t="s">
        <v>284</v>
      </c>
      <c r="C10" s="1403" t="s">
        <v>168</v>
      </c>
      <c r="D10" s="1404">
        <v>10</v>
      </c>
      <c r="E10" s="1404">
        <v>10</v>
      </c>
      <c r="F10" s="1404">
        <v>10</v>
      </c>
      <c r="G10" s="1404">
        <v>10</v>
      </c>
      <c r="H10" s="1404">
        <v>10</v>
      </c>
      <c r="I10" s="1404">
        <v>10</v>
      </c>
      <c r="J10" s="1404">
        <v>10</v>
      </c>
      <c r="K10" s="1405">
        <v>10</v>
      </c>
      <c r="L10" s="1404">
        <v>10</v>
      </c>
      <c r="M10" s="1404">
        <v>10</v>
      </c>
      <c r="N10" s="2079">
        <v>10</v>
      </c>
      <c r="O10" s="1404">
        <v>10</v>
      </c>
      <c r="P10" s="2102">
        <v>10</v>
      </c>
      <c r="Q10" s="1404">
        <v>10</v>
      </c>
      <c r="R10" s="1404">
        <v>10</v>
      </c>
      <c r="S10" s="1404">
        <v>10</v>
      </c>
      <c r="T10" s="2102">
        <v>10</v>
      </c>
      <c r="U10" s="1404">
        <v>10</v>
      </c>
      <c r="V10" s="1404">
        <v>10</v>
      </c>
      <c r="W10" s="1404">
        <v>10</v>
      </c>
      <c r="X10" s="1404">
        <v>10</v>
      </c>
      <c r="Y10" s="1404">
        <v>10</v>
      </c>
      <c r="Z10" s="1404">
        <v>7</v>
      </c>
      <c r="AA10" s="1404">
        <v>7</v>
      </c>
      <c r="AB10" s="1404">
        <v>7</v>
      </c>
      <c r="AC10" s="1404">
        <v>7</v>
      </c>
      <c r="AD10" s="1404">
        <v>7</v>
      </c>
      <c r="AE10" s="1404">
        <v>7</v>
      </c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</row>
    <row r="11" spans="1:95" ht="15.75" customHeight="1">
      <c r="A11" s="1023" t="s">
        <v>16</v>
      </c>
      <c r="B11" s="995">
        <f>COUNTA(C11:C14)</f>
        <v>4</v>
      </c>
      <c r="C11" s="1111" t="s">
        <v>21</v>
      </c>
      <c r="D11" s="1406"/>
      <c r="E11" s="1406"/>
      <c r="F11" s="1406"/>
      <c r="G11" s="1407"/>
      <c r="H11" s="1408"/>
      <c r="I11" s="1409">
        <v>0.17</v>
      </c>
      <c r="J11" s="1410">
        <v>0.58299999999999996</v>
      </c>
      <c r="K11" s="1411">
        <v>1.4999999999999999E-2</v>
      </c>
      <c r="L11" s="1400">
        <v>0.05</v>
      </c>
      <c r="M11" s="1118"/>
      <c r="N11" s="1520">
        <v>0.23</v>
      </c>
      <c r="O11" s="2103"/>
      <c r="P11" s="2314">
        <v>0.18</v>
      </c>
      <c r="Q11" s="1119">
        <v>0.19900000000000001</v>
      </c>
      <c r="R11" s="1119">
        <v>0.151</v>
      </c>
      <c r="S11" s="1120">
        <v>0.46</v>
      </c>
      <c r="T11" s="2867"/>
      <c r="U11" s="1119"/>
      <c r="V11" s="1119"/>
      <c r="W11" s="2861">
        <v>0.4</v>
      </c>
      <c r="X11" s="3224">
        <v>0.157</v>
      </c>
      <c r="Y11" s="1119">
        <v>0.374</v>
      </c>
      <c r="Z11" s="1119">
        <v>0.23400000000000001</v>
      </c>
      <c r="AA11" s="1120">
        <v>0.20300000000000001</v>
      </c>
      <c r="AB11" s="1120" t="s">
        <v>451</v>
      </c>
      <c r="AC11" s="1120"/>
      <c r="AD11" s="1120"/>
      <c r="AE11" s="1120"/>
      <c r="AF11" s="61"/>
      <c r="AG11" s="61"/>
      <c r="AH11" s="144"/>
      <c r="AI11" s="144"/>
      <c r="AJ11" s="144"/>
      <c r="AK11" s="61"/>
      <c r="AL11" s="61"/>
      <c r="AM11" s="61"/>
      <c r="AN11" s="61"/>
      <c r="AO11" s="133"/>
      <c r="AP11" s="133"/>
      <c r="AQ11" s="133"/>
      <c r="AR11" s="61"/>
      <c r="AS11" s="61"/>
      <c r="AT11" s="61"/>
      <c r="AU11" s="61"/>
      <c r="AV11" s="61"/>
      <c r="AW11" s="144"/>
      <c r="AX11" s="144"/>
      <c r="AY11" s="144"/>
      <c r="AZ11" s="61"/>
      <c r="BA11" s="61"/>
      <c r="BB11" s="61"/>
      <c r="BC11" s="61"/>
      <c r="BD11" s="144"/>
      <c r="BE11" s="144"/>
      <c r="BF11" s="144"/>
      <c r="BG11" s="144"/>
      <c r="BH11" s="144"/>
      <c r="BI11" s="61"/>
      <c r="BJ11" s="61"/>
      <c r="BK11" s="61"/>
      <c r="BL11" s="144"/>
      <c r="BM11" s="144"/>
      <c r="BN11" s="144"/>
      <c r="BO11" s="144"/>
      <c r="BP11" s="144"/>
      <c r="BQ11" s="61"/>
      <c r="BR11" s="61"/>
      <c r="BS11" s="61"/>
      <c r="BT11" s="144"/>
      <c r="BU11" s="144"/>
      <c r="BV11" s="144"/>
      <c r="BW11" s="61"/>
      <c r="BX11" s="61"/>
      <c r="BY11" s="61"/>
      <c r="BZ11" s="61"/>
      <c r="CA11" s="144"/>
      <c r="CB11" s="144"/>
      <c r="CC11" s="144"/>
      <c r="CD11" s="144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</row>
    <row r="12" spans="1:95">
      <c r="A12" s="1199" t="s">
        <v>16</v>
      </c>
      <c r="B12" s="996"/>
      <c r="C12" s="1121" t="s">
        <v>20</v>
      </c>
      <c r="D12" s="1412"/>
      <c r="E12" s="1412"/>
      <c r="F12" s="1412"/>
      <c r="G12" s="1413"/>
      <c r="H12" s="1414"/>
      <c r="I12" s="1415">
        <v>0.40300000000000002</v>
      </c>
      <c r="J12" s="1416">
        <v>0.77700000000000002</v>
      </c>
      <c r="K12" s="1417">
        <v>0.24399999999999999</v>
      </c>
      <c r="L12" s="1401">
        <v>0.152</v>
      </c>
      <c r="M12" s="1418"/>
      <c r="N12" s="1354">
        <v>0.2</v>
      </c>
      <c r="O12" s="2104"/>
      <c r="P12" s="2315">
        <v>0.52</v>
      </c>
      <c r="Q12" s="1420">
        <v>0.51</v>
      </c>
      <c r="R12" s="1127">
        <v>0.152</v>
      </c>
      <c r="S12" s="1128">
        <v>0.51</v>
      </c>
      <c r="T12" s="2868"/>
      <c r="U12" s="1127"/>
      <c r="V12" s="1127"/>
      <c r="W12" s="2863">
        <v>0.39800000000000002</v>
      </c>
      <c r="X12" s="3225">
        <v>0.496</v>
      </c>
      <c r="Y12" s="1420">
        <v>0.436</v>
      </c>
      <c r="Z12" s="1127">
        <v>0.17699999999999999</v>
      </c>
      <c r="AA12" s="1128">
        <v>0.28899999999999998</v>
      </c>
      <c r="AB12" s="1128">
        <v>0.13600000000000001</v>
      </c>
      <c r="AC12" s="1128"/>
      <c r="AD12" s="1128"/>
      <c r="AE12" s="1128"/>
      <c r="AF12" s="61"/>
      <c r="AG12" s="165"/>
      <c r="AH12" s="166"/>
      <c r="AI12" s="166"/>
      <c r="AJ12" s="166"/>
      <c r="AK12" s="44"/>
      <c r="AL12" s="61"/>
      <c r="AM12" s="61"/>
      <c r="AN12" s="165"/>
      <c r="AO12" s="167"/>
      <c r="AP12" s="167"/>
      <c r="AQ12" s="167"/>
      <c r="AR12" s="44"/>
      <c r="AS12" s="61"/>
      <c r="AT12" s="61"/>
      <c r="AU12" s="61"/>
      <c r="AV12" s="165"/>
      <c r="AW12" s="166"/>
      <c r="AX12" s="166"/>
      <c r="AY12" s="166"/>
      <c r="AZ12" s="44"/>
      <c r="BA12" s="61"/>
      <c r="BB12" s="61"/>
      <c r="BC12" s="165"/>
      <c r="BD12" s="166"/>
      <c r="BE12" s="166"/>
      <c r="BF12" s="166"/>
      <c r="BG12" s="166"/>
      <c r="BH12" s="166"/>
      <c r="BI12" s="44"/>
      <c r="BJ12" s="61"/>
      <c r="BK12" s="165"/>
      <c r="BL12" s="166"/>
      <c r="BM12" s="166"/>
      <c r="BN12" s="166"/>
      <c r="BO12" s="166"/>
      <c r="BP12" s="166"/>
      <c r="BQ12" s="44"/>
      <c r="BR12" s="61"/>
      <c r="BS12" s="61"/>
      <c r="BT12" s="166"/>
      <c r="BU12" s="166"/>
      <c r="BV12" s="166"/>
      <c r="BW12" s="44"/>
      <c r="BX12" s="61"/>
      <c r="BY12" s="61"/>
      <c r="BZ12" s="165"/>
      <c r="CA12" s="166"/>
      <c r="CB12" s="166"/>
      <c r="CC12" s="166"/>
      <c r="CD12" s="166"/>
      <c r="CE12" s="44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</row>
    <row r="13" spans="1:95">
      <c r="A13" s="1199" t="s">
        <v>16</v>
      </c>
      <c r="B13" s="996"/>
      <c r="C13" s="1121" t="s">
        <v>17</v>
      </c>
      <c r="D13" s="1412"/>
      <c r="E13" s="1412"/>
      <c r="F13" s="1412"/>
      <c r="G13" s="1413"/>
      <c r="H13" s="1414"/>
      <c r="I13" s="1415">
        <v>0.28899999999999998</v>
      </c>
      <c r="J13" s="1416">
        <v>0.58099999999999996</v>
      </c>
      <c r="K13" s="1417">
        <v>0.255</v>
      </c>
      <c r="L13" s="1401">
        <v>0.14699999999999999</v>
      </c>
      <c r="M13" s="1274"/>
      <c r="N13" s="1354">
        <v>0.41</v>
      </c>
      <c r="O13" s="2104"/>
      <c r="P13" s="2315">
        <v>0.29099999999999998</v>
      </c>
      <c r="Q13" s="1420">
        <v>0.54100000000000004</v>
      </c>
      <c r="R13" s="1127">
        <v>0.14099999999999999</v>
      </c>
      <c r="S13" s="1128">
        <v>0.89</v>
      </c>
      <c r="T13" s="2868"/>
      <c r="U13" s="1127"/>
      <c r="V13" s="1127"/>
      <c r="W13" s="2863">
        <v>0.40300000000000002</v>
      </c>
      <c r="X13" s="3225" t="s">
        <v>336</v>
      </c>
      <c r="Y13" s="1420" t="s">
        <v>336</v>
      </c>
      <c r="Z13" s="1127" t="s">
        <v>336</v>
      </c>
      <c r="AA13" s="1128"/>
      <c r="AB13" s="1128" t="s">
        <v>336</v>
      </c>
      <c r="AC13" s="1128"/>
      <c r="AD13" s="1128"/>
      <c r="AE13" s="1128"/>
      <c r="AF13" s="61"/>
      <c r="AG13" s="70"/>
      <c r="AH13" s="166"/>
      <c r="AI13" s="166"/>
      <c r="AJ13" s="166"/>
      <c r="AK13" s="44"/>
      <c r="AL13" s="61"/>
      <c r="AM13" s="61"/>
      <c r="AN13" s="70"/>
      <c r="AO13" s="167"/>
      <c r="AP13" s="167"/>
      <c r="AQ13" s="167"/>
      <c r="AR13" s="44"/>
      <c r="AS13" s="61"/>
      <c r="AT13" s="61"/>
      <c r="AU13" s="61"/>
      <c r="AV13" s="70"/>
      <c r="AW13" s="166"/>
      <c r="AX13" s="166"/>
      <c r="AY13" s="166"/>
      <c r="AZ13" s="44"/>
      <c r="BA13" s="61"/>
      <c r="BB13" s="61"/>
      <c r="BC13" s="70"/>
      <c r="BD13" s="166"/>
      <c r="BE13" s="166"/>
      <c r="BF13" s="166"/>
      <c r="BG13" s="166"/>
      <c r="BH13" s="166"/>
      <c r="BI13" s="44"/>
      <c r="BJ13" s="61"/>
      <c r="BK13" s="70"/>
      <c r="BL13" s="166"/>
      <c r="BM13" s="166"/>
      <c r="BN13" s="166"/>
      <c r="BO13" s="166"/>
      <c r="BP13" s="166"/>
      <c r="BQ13" s="44"/>
      <c r="BR13" s="61"/>
      <c r="BS13" s="61"/>
      <c r="BT13" s="166"/>
      <c r="BU13" s="166"/>
      <c r="BV13" s="166"/>
      <c r="BW13" s="44"/>
      <c r="BX13" s="61"/>
      <c r="BY13" s="61"/>
      <c r="BZ13" s="70"/>
      <c r="CA13" s="166"/>
      <c r="CB13" s="166"/>
      <c r="CC13" s="166"/>
      <c r="CD13" s="166"/>
      <c r="CE13" s="44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</row>
    <row r="14" spans="1:95" ht="15.75" thickBot="1">
      <c r="A14" s="1205" t="s">
        <v>16</v>
      </c>
      <c r="B14" s="997"/>
      <c r="C14" s="1129" t="s">
        <v>18</v>
      </c>
      <c r="D14" s="1421"/>
      <c r="E14" s="1421"/>
      <c r="F14" s="1421"/>
      <c r="G14" s="1422"/>
      <c r="H14" s="1423"/>
      <c r="I14" s="1424">
        <v>0.23</v>
      </c>
      <c r="J14" s="1425">
        <v>0.71299999999999997</v>
      </c>
      <c r="K14" s="1426">
        <v>0.30299999999999999</v>
      </c>
      <c r="L14" s="1402">
        <v>0.158</v>
      </c>
      <c r="M14" s="1365"/>
      <c r="N14" s="2071">
        <v>0.2</v>
      </c>
      <c r="O14" s="2105"/>
      <c r="P14" s="2316">
        <v>0.30199999999999999</v>
      </c>
      <c r="Q14" s="1427">
        <v>0.98699999999999999</v>
      </c>
      <c r="R14" s="633">
        <v>0.41799999999999998</v>
      </c>
      <c r="S14" s="634">
        <v>0.61</v>
      </c>
      <c r="T14" s="632"/>
      <c r="U14" s="633"/>
      <c r="V14" s="633"/>
      <c r="W14" s="2866">
        <v>0.47799999999999998</v>
      </c>
      <c r="X14" s="3226">
        <v>0.16700000000000001</v>
      </c>
      <c r="Y14" s="3223">
        <v>0.32100000000000001</v>
      </c>
      <c r="Z14" s="633">
        <v>0.21099999999999999</v>
      </c>
      <c r="AA14" s="634">
        <v>0.187</v>
      </c>
      <c r="AB14" s="634">
        <v>7.5999999999999998E-2</v>
      </c>
      <c r="AC14" s="634"/>
      <c r="AD14" s="634"/>
      <c r="AE14" s="634"/>
      <c r="AF14" s="61"/>
      <c r="AG14" s="70"/>
      <c r="AH14" s="166"/>
      <c r="AI14" s="166"/>
      <c r="AJ14" s="166"/>
      <c r="AK14" s="44"/>
      <c r="AL14" s="61"/>
      <c r="AM14" s="61"/>
      <c r="AN14" s="70"/>
      <c r="AO14" s="167"/>
      <c r="AP14" s="167"/>
      <c r="AQ14" s="167"/>
      <c r="AR14" s="44"/>
      <c r="AS14" s="61"/>
      <c r="AT14" s="61"/>
      <c r="AU14" s="61"/>
      <c r="AV14" s="70"/>
      <c r="AW14" s="166"/>
      <c r="AX14" s="166"/>
      <c r="AY14" s="166"/>
      <c r="AZ14" s="44"/>
      <c r="BA14" s="61"/>
      <c r="BB14" s="61"/>
      <c r="BC14" s="70"/>
      <c r="BD14" s="166"/>
      <c r="BE14" s="166"/>
      <c r="BF14" s="166"/>
      <c r="BG14" s="166"/>
      <c r="BH14" s="166"/>
      <c r="BI14" s="44"/>
      <c r="BJ14" s="61"/>
      <c r="BK14" s="70"/>
      <c r="BL14" s="166"/>
      <c r="BM14" s="166"/>
      <c r="BN14" s="166"/>
      <c r="BO14" s="166"/>
      <c r="BP14" s="166"/>
      <c r="BQ14" s="44"/>
      <c r="BR14" s="61"/>
      <c r="BS14" s="61"/>
      <c r="BT14" s="166"/>
      <c r="BU14" s="166"/>
      <c r="BV14" s="166"/>
      <c r="BW14" s="44"/>
      <c r="BX14" s="61"/>
      <c r="BY14" s="61"/>
      <c r="BZ14" s="70"/>
      <c r="CA14" s="166"/>
      <c r="CB14" s="166"/>
      <c r="CC14" s="166"/>
      <c r="CD14" s="166"/>
      <c r="CE14" s="44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</row>
    <row r="15" spans="1:95">
      <c r="A15" s="1023" t="s">
        <v>131</v>
      </c>
      <c r="B15" s="995">
        <f>COUNTA(C15:C17)</f>
        <v>3</v>
      </c>
      <c r="C15" s="1111" t="s">
        <v>25</v>
      </c>
      <c r="D15" s="1406"/>
      <c r="E15" s="1406"/>
      <c r="F15" s="1406"/>
      <c r="G15" s="1407"/>
      <c r="H15" s="1408"/>
      <c r="I15" s="1114">
        <v>0.31</v>
      </c>
      <c r="J15" s="1185">
        <v>0.95</v>
      </c>
      <c r="K15" s="1411">
        <v>7.0999999999999994E-2</v>
      </c>
      <c r="L15" s="1400">
        <v>0.17</v>
      </c>
      <c r="M15" s="1269"/>
      <c r="N15" s="1520">
        <v>0.22</v>
      </c>
      <c r="O15" s="2106"/>
      <c r="P15" s="2288">
        <v>0.24</v>
      </c>
      <c r="Q15" s="1429">
        <v>0.39</v>
      </c>
      <c r="R15" s="1119">
        <v>0.2</v>
      </c>
      <c r="S15" s="1120">
        <v>0.47</v>
      </c>
      <c r="T15" s="1117">
        <v>0.218</v>
      </c>
      <c r="U15" s="1119">
        <v>0.44</v>
      </c>
      <c r="V15" s="1119">
        <v>0.78100000000000003</v>
      </c>
      <c r="W15" s="2861">
        <v>0.2</v>
      </c>
      <c r="X15" s="3224">
        <v>4.8000000000000001E-2</v>
      </c>
      <c r="Y15" s="3235">
        <v>0.37</v>
      </c>
      <c r="Z15" s="1119">
        <v>0.76300000000000001</v>
      </c>
      <c r="AA15" s="1120">
        <v>0.41199999999999998</v>
      </c>
      <c r="AB15" s="1120">
        <v>0.32100000000000001</v>
      </c>
      <c r="AC15" s="1120"/>
      <c r="AD15" s="1120"/>
      <c r="AE15" s="1120"/>
      <c r="AF15" s="61"/>
      <c r="AG15" s="70"/>
      <c r="AH15" s="166"/>
      <c r="AI15" s="166"/>
      <c r="AJ15" s="166"/>
      <c r="AK15" s="44"/>
      <c r="AL15" s="61"/>
      <c r="AM15" s="61"/>
      <c r="AN15" s="70"/>
      <c r="AO15" s="167"/>
      <c r="AP15" s="167"/>
      <c r="AQ15" s="167"/>
      <c r="AR15" s="44"/>
      <c r="AS15" s="61"/>
      <c r="AT15" s="61"/>
      <c r="AU15" s="61"/>
      <c r="AV15" s="70"/>
      <c r="AW15" s="166"/>
      <c r="AX15" s="166"/>
      <c r="AY15" s="166"/>
      <c r="AZ15" s="44"/>
      <c r="BA15" s="61"/>
      <c r="BB15" s="61"/>
      <c r="BC15" s="70"/>
      <c r="BD15" s="166"/>
      <c r="BE15" s="166"/>
      <c r="BF15" s="166"/>
      <c r="BG15" s="166"/>
      <c r="BH15" s="166"/>
      <c r="BI15" s="44"/>
      <c r="BJ15" s="61"/>
      <c r="BK15" s="70"/>
      <c r="BL15" s="166"/>
      <c r="BM15" s="166"/>
      <c r="BN15" s="166"/>
      <c r="BO15" s="166"/>
      <c r="BP15" s="166"/>
      <c r="BQ15" s="44"/>
      <c r="BR15" s="61"/>
      <c r="BS15" s="61"/>
      <c r="BT15" s="166"/>
      <c r="BU15" s="166"/>
      <c r="BV15" s="166"/>
      <c r="BW15" s="44"/>
      <c r="BX15" s="61"/>
      <c r="BY15" s="61"/>
      <c r="BZ15" s="70"/>
      <c r="CA15" s="166"/>
      <c r="CB15" s="166"/>
      <c r="CC15" s="166"/>
      <c r="CD15" s="166"/>
      <c r="CE15" s="44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</row>
    <row r="16" spans="1:95" ht="16.5" customHeight="1">
      <c r="A16" s="1199" t="s">
        <v>131</v>
      </c>
      <c r="B16" s="996"/>
      <c r="C16" s="1121" t="s">
        <v>33</v>
      </c>
      <c r="D16" s="1412"/>
      <c r="E16" s="1412"/>
      <c r="F16" s="1412"/>
      <c r="G16" s="1413"/>
      <c r="H16" s="1414"/>
      <c r="I16" s="1003">
        <v>0.31</v>
      </c>
      <c r="J16" s="1188">
        <v>0.92</v>
      </c>
      <c r="K16" s="1417">
        <v>0.05</v>
      </c>
      <c r="L16" s="1401">
        <v>0.113</v>
      </c>
      <c r="M16" s="1430"/>
      <c r="N16" s="1354">
        <v>0.25</v>
      </c>
      <c r="O16" s="2104"/>
      <c r="P16" s="2221">
        <v>0.31</v>
      </c>
      <c r="Q16" s="1420">
        <v>0.3</v>
      </c>
      <c r="R16" s="1127">
        <v>0.28999999999999998</v>
      </c>
      <c r="S16" s="1128">
        <v>0.59</v>
      </c>
      <c r="T16" s="1125">
        <v>0.20200000000000001</v>
      </c>
      <c r="U16" s="1127">
        <v>0.41</v>
      </c>
      <c r="V16" s="1127">
        <v>0.82899999999999996</v>
      </c>
      <c r="W16" s="2863">
        <v>0.2</v>
      </c>
      <c r="X16" s="3225">
        <v>0.05</v>
      </c>
      <c r="Y16" s="3236">
        <v>0.39200000000000002</v>
      </c>
      <c r="Z16" s="1127">
        <v>0.68400000000000005</v>
      </c>
      <c r="AA16" s="1128">
        <v>0.42699999999999999</v>
      </c>
      <c r="AB16" s="1128">
        <v>0.36199999999999999</v>
      </c>
      <c r="AC16" s="1128"/>
      <c r="AD16" s="1128"/>
      <c r="AE16" s="1128"/>
      <c r="AF16" s="61"/>
      <c r="AG16" s="95"/>
      <c r="AH16" s="167"/>
      <c r="AI16" s="167"/>
      <c r="AJ16" s="167"/>
      <c r="AK16" s="44"/>
      <c r="AL16" s="61"/>
      <c r="AM16" s="61"/>
      <c r="AN16" s="95"/>
      <c r="AO16" s="167"/>
      <c r="AP16" s="167"/>
      <c r="AQ16" s="167"/>
      <c r="AR16" s="44"/>
      <c r="AS16" s="61"/>
      <c r="AT16" s="61"/>
      <c r="AU16" s="61"/>
      <c r="AV16" s="95"/>
      <c r="AW16" s="166"/>
      <c r="AX16" s="166"/>
      <c r="AY16" s="166"/>
      <c r="AZ16" s="44"/>
      <c r="BA16" s="61"/>
      <c r="BB16" s="61"/>
      <c r="BC16" s="95"/>
      <c r="BD16" s="166"/>
      <c r="BE16" s="166"/>
      <c r="BF16" s="166"/>
      <c r="BG16" s="166"/>
      <c r="BH16" s="166"/>
      <c r="BI16" s="44"/>
      <c r="BJ16" s="61"/>
      <c r="BK16" s="95"/>
      <c r="BL16" s="166"/>
      <c r="BM16" s="166"/>
      <c r="BN16" s="166"/>
      <c r="BO16" s="166"/>
      <c r="BP16" s="166"/>
      <c r="BQ16" s="44"/>
      <c r="BR16" s="61"/>
      <c r="BS16" s="61"/>
      <c r="BT16" s="166"/>
      <c r="BU16" s="166"/>
      <c r="BV16" s="166"/>
      <c r="BW16" s="44"/>
      <c r="BX16" s="61"/>
      <c r="BY16" s="61"/>
      <c r="BZ16" s="95"/>
      <c r="CA16" s="166"/>
      <c r="CB16" s="166"/>
      <c r="CC16" s="166"/>
      <c r="CD16" s="166"/>
      <c r="CE16" s="44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</row>
    <row r="17" spans="1:95" ht="15.75" thickBot="1">
      <c r="A17" s="1205" t="s">
        <v>131</v>
      </c>
      <c r="B17" s="997"/>
      <c r="C17" s="1129" t="s">
        <v>31</v>
      </c>
      <c r="D17" s="1421"/>
      <c r="E17" s="1421"/>
      <c r="F17" s="1421"/>
      <c r="G17" s="1422"/>
      <c r="H17" s="1423"/>
      <c r="I17" s="1147">
        <v>0.39</v>
      </c>
      <c r="J17" s="1193">
        <v>0.92</v>
      </c>
      <c r="K17" s="1426">
        <v>8.4000000000000005E-2</v>
      </c>
      <c r="L17" s="1402">
        <v>0.14899999999999999</v>
      </c>
      <c r="M17" s="1365"/>
      <c r="N17" s="2072">
        <v>0.63</v>
      </c>
      <c r="O17" s="2107"/>
      <c r="P17" s="2301">
        <v>0.42</v>
      </c>
      <c r="Q17" s="1427">
        <v>0.28999999999999998</v>
      </c>
      <c r="R17" s="633">
        <v>0.26</v>
      </c>
      <c r="S17" s="634">
        <v>0.59</v>
      </c>
      <c r="T17" s="1125">
        <v>0.23400000000000001</v>
      </c>
      <c r="U17" s="1127">
        <v>0.44</v>
      </c>
      <c r="V17" s="1127">
        <v>0.83899999999999997</v>
      </c>
      <c r="W17" s="2863">
        <v>0.24</v>
      </c>
      <c r="X17" s="3227">
        <v>4.8000000000000001E-2</v>
      </c>
      <c r="Y17" s="3223">
        <v>0.38600000000000001</v>
      </c>
      <c r="Z17" s="633">
        <v>0.81899999999999995</v>
      </c>
      <c r="AA17" s="634">
        <v>0.42099999999999999</v>
      </c>
      <c r="AB17" s="634">
        <v>0.20200000000000001</v>
      </c>
      <c r="AC17" s="634"/>
      <c r="AD17" s="634"/>
      <c r="AE17" s="634"/>
      <c r="AF17" s="61"/>
      <c r="AG17" s="70"/>
      <c r="AH17" s="168"/>
      <c r="AI17" s="168"/>
      <c r="AJ17" s="168"/>
      <c r="AK17" s="44"/>
      <c r="AL17" s="61"/>
      <c r="AM17" s="61"/>
      <c r="AN17" s="70"/>
      <c r="AO17" s="168"/>
      <c r="AP17" s="168"/>
      <c r="AQ17" s="168"/>
      <c r="AR17" s="44"/>
      <c r="AS17" s="61"/>
      <c r="AT17" s="61"/>
      <c r="AU17" s="61"/>
      <c r="AV17" s="70"/>
      <c r="AW17" s="168"/>
      <c r="AX17" s="168"/>
      <c r="AY17" s="168"/>
      <c r="AZ17" s="44"/>
      <c r="BA17" s="61"/>
      <c r="BB17" s="61"/>
      <c r="BC17" s="70"/>
      <c r="BD17" s="168"/>
      <c r="BE17" s="168"/>
      <c r="BF17" s="168"/>
      <c r="BG17" s="168"/>
      <c r="BH17" s="168"/>
      <c r="BI17" s="44"/>
      <c r="BJ17" s="61"/>
      <c r="BK17" s="70"/>
      <c r="BL17" s="168"/>
      <c r="BM17" s="168"/>
      <c r="BN17" s="168"/>
      <c r="BO17" s="168"/>
      <c r="BP17" s="168"/>
      <c r="BQ17" s="44"/>
      <c r="BR17" s="61"/>
      <c r="BS17" s="61"/>
      <c r="BT17" s="168"/>
      <c r="BU17" s="168"/>
      <c r="BV17" s="168"/>
      <c r="BW17" s="44"/>
      <c r="BX17" s="61"/>
      <c r="BY17" s="61"/>
      <c r="BZ17" s="70"/>
      <c r="CA17" s="168"/>
      <c r="CB17" s="168"/>
      <c r="CC17" s="168"/>
      <c r="CD17" s="168"/>
      <c r="CE17" s="44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</row>
    <row r="18" spans="1:95">
      <c r="A18" s="1023" t="s">
        <v>185</v>
      </c>
      <c r="B18" s="995">
        <f>COUNTA(C18:C20)</f>
        <v>3</v>
      </c>
      <c r="C18" s="1111" t="s">
        <v>19</v>
      </c>
      <c r="D18" s="1406"/>
      <c r="E18" s="1406"/>
      <c r="F18" s="1406"/>
      <c r="G18" s="1407"/>
      <c r="H18" s="1408"/>
      <c r="I18" s="1409">
        <v>0.246</v>
      </c>
      <c r="J18" s="1431">
        <v>0.79100000000000004</v>
      </c>
      <c r="K18" s="1411">
        <v>0.42899999999999999</v>
      </c>
      <c r="L18" s="1117"/>
      <c r="M18" s="1269"/>
      <c r="N18" s="1432"/>
      <c r="O18" s="2108"/>
      <c r="P18" s="2346">
        <v>0.184</v>
      </c>
      <c r="Q18" s="1429">
        <v>0.23599999999999999</v>
      </c>
      <c r="R18" s="1119">
        <v>0.188</v>
      </c>
      <c r="S18" s="1120">
        <v>0.26</v>
      </c>
      <c r="T18" s="2859"/>
      <c r="U18" s="2860"/>
      <c r="V18" s="2860"/>
      <c r="W18" s="2861">
        <v>0.23799999999999999</v>
      </c>
      <c r="X18" s="3228">
        <v>0.107</v>
      </c>
      <c r="Y18" s="3235">
        <v>0.27100000000000002</v>
      </c>
      <c r="Z18" s="1119">
        <v>0.38800000000000001</v>
      </c>
      <c r="AA18" s="1120">
        <v>0.20399999999999999</v>
      </c>
      <c r="AB18" s="1120" t="s">
        <v>452</v>
      </c>
      <c r="AC18" s="1120"/>
      <c r="AD18" s="1120"/>
      <c r="AE18" s="1120"/>
      <c r="AF18" s="61"/>
      <c r="AG18" s="70"/>
      <c r="AH18" s="170"/>
      <c r="AI18" s="170"/>
      <c r="AJ18" s="170"/>
      <c r="AK18" s="44"/>
      <c r="AL18" s="61"/>
      <c r="AM18" s="61"/>
      <c r="AN18" s="70"/>
      <c r="AO18" s="170"/>
      <c r="AP18" s="170"/>
      <c r="AQ18" s="170"/>
      <c r="AR18" s="44"/>
      <c r="AS18" s="61"/>
      <c r="AT18" s="61"/>
      <c r="AU18" s="61"/>
      <c r="AV18" s="70"/>
      <c r="AW18" s="170"/>
      <c r="AX18" s="170"/>
      <c r="AY18" s="170"/>
      <c r="AZ18" s="44"/>
      <c r="BA18" s="61"/>
      <c r="BB18" s="61"/>
      <c r="BC18" s="70"/>
      <c r="BD18" s="169"/>
      <c r="BE18" s="169"/>
      <c r="BF18" s="169"/>
      <c r="BG18" s="169"/>
      <c r="BH18" s="169"/>
      <c r="BI18" s="44"/>
      <c r="BJ18" s="61"/>
      <c r="BK18" s="70"/>
      <c r="BL18" s="169"/>
      <c r="BM18" s="169"/>
      <c r="BN18" s="169"/>
      <c r="BO18" s="169"/>
      <c r="BP18" s="169"/>
      <c r="BQ18" s="44"/>
      <c r="BR18" s="61"/>
      <c r="BS18" s="61"/>
      <c r="BT18" s="169"/>
      <c r="BU18" s="169"/>
      <c r="BV18" s="169"/>
      <c r="BW18" s="44"/>
      <c r="BX18" s="61"/>
      <c r="BY18" s="61"/>
      <c r="BZ18" s="70"/>
      <c r="CA18" s="169"/>
      <c r="CB18" s="169"/>
      <c r="CC18" s="169"/>
      <c r="CD18" s="169"/>
      <c r="CE18" s="44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</row>
    <row r="19" spans="1:95">
      <c r="A19" s="1199" t="s">
        <v>185</v>
      </c>
      <c r="B19" s="996"/>
      <c r="C19" s="1121" t="s">
        <v>37</v>
      </c>
      <c r="D19" s="1412"/>
      <c r="E19" s="1412"/>
      <c r="F19" s="1412"/>
      <c r="G19" s="1413"/>
      <c r="H19" s="1414"/>
      <c r="I19" s="1415">
        <v>1.113</v>
      </c>
      <c r="J19" s="1433">
        <v>0.94699999999999995</v>
      </c>
      <c r="K19" s="1417">
        <v>0.45800000000000002</v>
      </c>
      <c r="L19" s="1125"/>
      <c r="M19" s="1274"/>
      <c r="N19" s="2080"/>
      <c r="O19" s="1208"/>
      <c r="P19" s="1046">
        <v>0.92</v>
      </c>
      <c r="Q19" s="1420">
        <v>0.25600000000000001</v>
      </c>
      <c r="R19" s="1127">
        <v>0.216</v>
      </c>
      <c r="S19" s="1128">
        <v>0.45</v>
      </c>
      <c r="T19" s="2862"/>
      <c r="U19" s="61"/>
      <c r="V19" s="61"/>
      <c r="W19" s="2863">
        <v>4.8000000000000001E-2</v>
      </c>
      <c r="X19" s="3229">
        <v>8.6999999999999994E-2</v>
      </c>
      <c r="Y19" s="3236">
        <v>0.34499999999999997</v>
      </c>
      <c r="Z19" s="1127">
        <v>4.8000000000000001E-2</v>
      </c>
      <c r="AA19" s="1128">
        <v>0.13200000000000001</v>
      </c>
      <c r="AB19" s="1128">
        <v>0.156</v>
      </c>
      <c r="AC19" s="1128"/>
      <c r="AD19" s="1128"/>
      <c r="AE19" s="1128"/>
      <c r="AF19" s="61"/>
      <c r="AG19" s="70"/>
      <c r="AH19" s="61"/>
      <c r="AI19" s="61"/>
      <c r="AJ19" s="61"/>
      <c r="AK19" s="44"/>
      <c r="AL19" s="61"/>
      <c r="AM19" s="61"/>
      <c r="AN19" s="70"/>
      <c r="AO19" s="61"/>
      <c r="AP19" s="61"/>
      <c r="AQ19" s="61"/>
      <c r="AR19" s="44"/>
      <c r="AS19" s="61"/>
      <c r="AT19" s="61"/>
      <c r="AU19" s="61"/>
      <c r="AV19" s="70"/>
      <c r="AW19" s="61"/>
      <c r="AX19" s="61"/>
      <c r="AY19" s="61"/>
      <c r="AZ19" s="44"/>
      <c r="BA19" s="61"/>
      <c r="BB19" s="61"/>
      <c r="BC19" s="70"/>
      <c r="BD19" s="61"/>
      <c r="BE19" s="61"/>
      <c r="BF19" s="61"/>
      <c r="BG19" s="61"/>
      <c r="BH19" s="61"/>
      <c r="BI19" s="44"/>
      <c r="BJ19" s="61"/>
      <c r="BK19" s="70"/>
      <c r="BL19" s="61"/>
      <c r="BM19" s="61"/>
      <c r="BN19" s="61"/>
      <c r="BO19" s="61"/>
      <c r="BP19" s="61"/>
      <c r="BQ19" s="44"/>
      <c r="BR19" s="61"/>
      <c r="BS19" s="61"/>
      <c r="BT19" s="61"/>
      <c r="BU19" s="61"/>
      <c r="BV19" s="61"/>
      <c r="BW19" s="44"/>
      <c r="BX19" s="61"/>
      <c r="BY19" s="61"/>
      <c r="BZ19" s="70"/>
      <c r="CA19" s="61"/>
      <c r="CB19" s="61"/>
      <c r="CC19" s="61"/>
      <c r="CD19" s="61"/>
      <c r="CE19" s="44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</row>
    <row r="20" spans="1:95" ht="15.75" thickBot="1">
      <c r="A20" s="1205" t="s">
        <v>185</v>
      </c>
      <c r="B20" s="997"/>
      <c r="C20" s="1129" t="s">
        <v>15</v>
      </c>
      <c r="D20" s="1421"/>
      <c r="E20" s="1421"/>
      <c r="F20" s="1421"/>
      <c r="G20" s="1422"/>
      <c r="H20" s="1423"/>
      <c r="I20" s="1434">
        <v>0.13900000000000001</v>
      </c>
      <c r="J20" s="1435">
        <v>0.32400000000000001</v>
      </c>
      <c r="K20" s="1426">
        <v>0.28999999999999998</v>
      </c>
      <c r="L20" s="1135"/>
      <c r="M20" s="1136"/>
      <c r="N20" s="2081"/>
      <c r="O20" s="1209"/>
      <c r="P20" s="886">
        <v>0.13</v>
      </c>
      <c r="Q20" s="633">
        <v>0.247</v>
      </c>
      <c r="R20" s="633">
        <v>0.22900000000000001</v>
      </c>
      <c r="S20" s="634">
        <v>0.25</v>
      </c>
      <c r="T20" s="2864"/>
      <c r="U20" s="2865"/>
      <c r="V20" s="2865"/>
      <c r="W20" s="2866">
        <v>4.8000000000000001E-2</v>
      </c>
      <c r="X20" s="3230">
        <v>0.13800000000000001</v>
      </c>
      <c r="Y20" s="1518">
        <v>0.376</v>
      </c>
      <c r="Z20" s="633">
        <v>0.183</v>
      </c>
      <c r="AA20" s="634">
        <v>0.189</v>
      </c>
      <c r="AB20" s="634">
        <v>0.15</v>
      </c>
      <c r="AC20" s="634"/>
      <c r="AD20" s="634"/>
      <c r="AE20" s="634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</row>
    <row r="21" spans="1:95">
      <c r="A21" s="1023" t="s">
        <v>132</v>
      </c>
      <c r="B21" s="995">
        <f>COUNTA(C21:C25)</f>
        <v>5</v>
      </c>
      <c r="C21" s="1111" t="s">
        <v>20</v>
      </c>
      <c r="D21" s="1406"/>
      <c r="E21" s="1406"/>
      <c r="F21" s="1406"/>
      <c r="G21" s="1407"/>
      <c r="H21" s="1408"/>
      <c r="I21" s="1114">
        <v>0.4</v>
      </c>
      <c r="J21" s="1410">
        <v>0.57499999999999996</v>
      </c>
      <c r="K21" s="1411">
        <v>0.14399999999999999</v>
      </c>
      <c r="L21" s="1117">
        <v>0.99</v>
      </c>
      <c r="M21" s="1118"/>
      <c r="N21" s="2082">
        <v>1.08</v>
      </c>
      <c r="O21" s="1207"/>
      <c r="P21" s="1203">
        <v>0.6</v>
      </c>
      <c r="Q21" s="1119">
        <v>0.26</v>
      </c>
      <c r="R21" s="1119">
        <v>0.68</v>
      </c>
      <c r="S21" s="1120">
        <v>0.79</v>
      </c>
      <c r="T21" s="1240">
        <v>0.158</v>
      </c>
      <c r="U21" s="2860">
        <v>0.32</v>
      </c>
      <c r="V21" s="2860">
        <v>0.625</v>
      </c>
      <c r="W21" s="2861">
        <v>0.06</v>
      </c>
      <c r="X21" s="3231">
        <v>0.13200000000000001</v>
      </c>
      <c r="Y21" s="1119">
        <v>0.115</v>
      </c>
      <c r="Z21" s="1119">
        <v>0.70499999999999996</v>
      </c>
      <c r="AA21" s="1120">
        <v>0.25</v>
      </c>
      <c r="AB21" s="1120">
        <v>0.216</v>
      </c>
      <c r="AC21" s="1120"/>
      <c r="AD21" s="1120"/>
      <c r="AE21" s="1120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</row>
    <row r="22" spans="1:95">
      <c r="A22" s="1199" t="s">
        <v>132</v>
      </c>
      <c r="B22" s="996"/>
      <c r="C22" s="1121" t="s">
        <v>30</v>
      </c>
      <c r="D22" s="1412"/>
      <c r="E22" s="1412"/>
      <c r="F22" s="1412"/>
      <c r="G22" s="1413"/>
      <c r="H22" s="1414"/>
      <c r="I22" s="1003">
        <v>0.43</v>
      </c>
      <c r="J22" s="1416">
        <v>0.52900000000000003</v>
      </c>
      <c r="K22" s="1417">
        <v>0.129</v>
      </c>
      <c r="L22" s="1401">
        <v>0.115</v>
      </c>
      <c r="M22" s="1126"/>
      <c r="N22" s="2080">
        <v>0.84</v>
      </c>
      <c r="O22" s="1208"/>
      <c r="P22" s="1046">
        <v>0.43</v>
      </c>
      <c r="Q22" s="1127">
        <v>0.2</v>
      </c>
      <c r="R22" s="1127">
        <v>0.72</v>
      </c>
      <c r="S22" s="1128">
        <v>0.9</v>
      </c>
      <c r="T22" s="1243">
        <v>0.155</v>
      </c>
      <c r="U22" s="61">
        <v>0.23</v>
      </c>
      <c r="V22" s="61">
        <v>0.67500000000000004</v>
      </c>
      <c r="W22" s="2863">
        <v>0.08</v>
      </c>
      <c r="X22" s="3229">
        <v>9.6000000000000002E-2</v>
      </c>
      <c r="Y22" s="1127">
        <v>0.111</v>
      </c>
      <c r="Z22" s="1127">
        <v>0.94699999999999995</v>
      </c>
      <c r="AA22" s="1128">
        <v>0.314</v>
      </c>
      <c r="AB22" s="1128">
        <v>0.19600000000000001</v>
      </c>
      <c r="AC22" s="1128"/>
      <c r="AD22" s="1128"/>
      <c r="AE22" s="1128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</row>
    <row r="23" spans="1:95">
      <c r="A23" s="1199" t="s">
        <v>132</v>
      </c>
      <c r="B23" s="996"/>
      <c r="C23" s="1121" t="s">
        <v>12</v>
      </c>
      <c r="D23" s="1412"/>
      <c r="E23" s="1412"/>
      <c r="F23" s="1412"/>
      <c r="G23" s="1413"/>
      <c r="H23" s="1414"/>
      <c r="I23" s="1003">
        <v>1.43</v>
      </c>
      <c r="J23" s="1416">
        <v>0.64100000000000001</v>
      </c>
      <c r="K23" s="1417">
        <v>0.186</v>
      </c>
      <c r="L23" s="1401">
        <v>0.122</v>
      </c>
      <c r="M23" s="1126"/>
      <c r="N23" s="2080">
        <v>0.69</v>
      </c>
      <c r="O23" s="1208"/>
      <c r="P23" s="1046">
        <v>0.45</v>
      </c>
      <c r="Q23" s="1127">
        <v>0.24</v>
      </c>
      <c r="R23" s="1127">
        <v>0.73</v>
      </c>
      <c r="S23" s="1128">
        <v>1.02</v>
      </c>
      <c r="T23" s="1243">
        <v>0.22</v>
      </c>
      <c r="U23" s="61">
        <v>0.42</v>
      </c>
      <c r="V23" s="61">
        <v>0.58399999999999996</v>
      </c>
      <c r="W23" s="2863">
        <v>0.17</v>
      </c>
      <c r="X23" s="3229">
        <v>0.22500000000000001</v>
      </c>
      <c r="Y23" s="1127">
        <v>0.29699999999999999</v>
      </c>
      <c r="Z23" s="1127">
        <v>1.0369999999999999</v>
      </c>
      <c r="AA23" s="1128">
        <v>0.41</v>
      </c>
      <c r="AB23" s="1128">
        <v>0.61199999999999999</v>
      </c>
      <c r="AC23" s="1128"/>
      <c r="AD23" s="1128"/>
      <c r="AE23" s="1128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</row>
    <row r="24" spans="1:95">
      <c r="A24" s="1199" t="s">
        <v>132</v>
      </c>
      <c r="B24" s="996"/>
      <c r="C24" s="1121" t="s">
        <v>26</v>
      </c>
      <c r="D24" s="1412"/>
      <c r="E24" s="1412"/>
      <c r="F24" s="1412"/>
      <c r="G24" s="1413"/>
      <c r="H24" s="1414"/>
      <c r="I24" s="1003">
        <v>0.31</v>
      </c>
      <c r="J24" s="1416">
        <v>0.44500000000000001</v>
      </c>
      <c r="K24" s="1417">
        <v>0.13200000000000001</v>
      </c>
      <c r="L24" s="1401">
        <v>9.6000000000000002E-2</v>
      </c>
      <c r="M24" s="1126"/>
      <c r="N24" s="2080">
        <v>0.93</v>
      </c>
      <c r="O24" s="1208"/>
      <c r="P24" s="1046">
        <v>0.32</v>
      </c>
      <c r="Q24" s="1127">
        <v>0.23</v>
      </c>
      <c r="R24" s="1127">
        <v>0.65</v>
      </c>
      <c r="S24" s="1128">
        <v>0.73</v>
      </c>
      <c r="T24" s="1243">
        <v>0.155</v>
      </c>
      <c r="U24" s="61">
        <v>0.48</v>
      </c>
      <c r="V24" s="61">
        <v>0.65300000000000002</v>
      </c>
      <c r="W24" s="2863">
        <v>0.08</v>
      </c>
      <c r="X24" s="3229">
        <v>5.3999999999999999E-2</v>
      </c>
      <c r="Y24" s="1127">
        <v>0.17499999999999999</v>
      </c>
      <c r="Z24" s="1127">
        <v>1.091</v>
      </c>
      <c r="AA24" s="1128">
        <v>0.34200000000000003</v>
      </c>
      <c r="AB24" s="1128">
        <v>0.115</v>
      </c>
      <c r="AC24" s="1128"/>
      <c r="AD24" s="1128"/>
      <c r="AE24" s="1128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</row>
    <row r="25" spans="1:95" ht="15.75" thickBot="1">
      <c r="A25" s="1205" t="s">
        <v>132</v>
      </c>
      <c r="B25" s="997"/>
      <c r="C25" s="1129" t="s">
        <v>22</v>
      </c>
      <c r="D25" s="1421"/>
      <c r="E25" s="1421"/>
      <c r="F25" s="1421"/>
      <c r="G25" s="1422"/>
      <c r="H25" s="1423"/>
      <c r="I25" s="1147">
        <v>0.54</v>
      </c>
      <c r="J25" s="1425">
        <v>0.54400000000000004</v>
      </c>
      <c r="K25" s="1426">
        <v>0.45700000000000002</v>
      </c>
      <c r="L25" s="1402">
        <v>0.11600000000000001</v>
      </c>
      <c r="M25" s="1136"/>
      <c r="N25" s="2081">
        <v>1.06</v>
      </c>
      <c r="O25" s="1209"/>
      <c r="P25" s="886">
        <v>1.34</v>
      </c>
      <c r="Q25" s="633">
        <v>0.18</v>
      </c>
      <c r="R25" s="633">
        <v>0.8</v>
      </c>
      <c r="S25" s="634">
        <v>0.84</v>
      </c>
      <c r="T25" s="1246">
        <v>0.26500000000000001</v>
      </c>
      <c r="U25" s="2865">
        <v>0.41</v>
      </c>
      <c r="V25" s="2865">
        <v>0.74099999999999999</v>
      </c>
      <c r="W25" s="2866">
        <v>0.1</v>
      </c>
      <c r="X25" s="3230">
        <v>0.36499999999999999</v>
      </c>
      <c r="Y25" s="633">
        <v>0.34499999999999997</v>
      </c>
      <c r="Z25" s="633">
        <v>1.2410000000000001</v>
      </c>
      <c r="AA25" s="634">
        <v>0.52500000000000002</v>
      </c>
      <c r="AB25" s="634">
        <v>0.73499999999999999</v>
      </c>
      <c r="AC25" s="634"/>
      <c r="AD25" s="634"/>
      <c r="AE25" s="634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</row>
    <row r="26" spans="1:95">
      <c r="A26" s="1023" t="s">
        <v>63</v>
      </c>
      <c r="B26" s="995">
        <f>COUNTA(C26:C30)</f>
        <v>5</v>
      </c>
      <c r="C26" s="1111" t="s">
        <v>20</v>
      </c>
      <c r="D26" s="1406"/>
      <c r="E26" s="1406"/>
      <c r="F26" s="1406"/>
      <c r="G26" s="1407"/>
      <c r="H26" s="1408"/>
      <c r="I26" s="1114">
        <v>0.89</v>
      </c>
      <c r="J26" s="1185">
        <v>0.73</v>
      </c>
      <c r="K26" s="1411">
        <v>0.214</v>
      </c>
      <c r="L26" s="1117">
        <v>0.88</v>
      </c>
      <c r="M26" s="1118"/>
      <c r="N26" s="2082">
        <v>0.22</v>
      </c>
      <c r="O26" s="1207"/>
      <c r="P26" s="1203">
        <v>0.25</v>
      </c>
      <c r="Q26" s="1119">
        <v>0.56000000000000005</v>
      </c>
      <c r="R26" s="1119">
        <v>0.52</v>
      </c>
      <c r="S26" s="1120">
        <v>0.32</v>
      </c>
      <c r="T26" s="1240">
        <v>0.32800000000000001</v>
      </c>
      <c r="U26" s="2860">
        <v>0.34</v>
      </c>
      <c r="V26" s="2860"/>
      <c r="W26" s="2861">
        <v>0.21</v>
      </c>
      <c r="X26" s="3231">
        <v>0.11600000000000001</v>
      </c>
      <c r="Y26" s="1119">
        <v>0.222</v>
      </c>
      <c r="Z26" s="1119">
        <v>0.218</v>
      </c>
      <c r="AA26" s="1120">
        <v>0.157</v>
      </c>
      <c r="AB26" s="1120">
        <v>0.22500000000000001</v>
      </c>
      <c r="AC26" s="1120"/>
      <c r="AD26" s="1120"/>
      <c r="AE26" s="1120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</row>
    <row r="27" spans="1:95">
      <c r="A27" s="1199" t="s">
        <v>63</v>
      </c>
      <c r="B27" s="996"/>
      <c r="C27" s="1121" t="s">
        <v>26</v>
      </c>
      <c r="D27" s="1412"/>
      <c r="E27" s="1412"/>
      <c r="F27" s="1412"/>
      <c r="G27" s="1413"/>
      <c r="H27" s="1414"/>
      <c r="I27" s="1003">
        <v>0.39</v>
      </c>
      <c r="J27" s="1188">
        <v>0.66</v>
      </c>
      <c r="K27" s="1417">
        <v>0.183</v>
      </c>
      <c r="L27" s="1125">
        <v>1.46</v>
      </c>
      <c r="M27" s="1126"/>
      <c r="N27" s="2080">
        <v>8.7999999999999995E-2</v>
      </c>
      <c r="O27" s="1208"/>
      <c r="P27" s="1046">
        <v>0.65</v>
      </c>
      <c r="Q27" s="1127">
        <v>0.28999999999999998</v>
      </c>
      <c r="R27" s="1127">
        <v>0.57999999999999996</v>
      </c>
      <c r="S27" s="1128">
        <v>0.42</v>
      </c>
      <c r="T27" s="1243">
        <v>0.17699999999999999</v>
      </c>
      <c r="U27" s="61">
        <v>0.32</v>
      </c>
      <c r="V27" s="61">
        <v>0.13500000000000001</v>
      </c>
      <c r="W27" s="2863">
        <v>0.18</v>
      </c>
      <c r="X27" s="3229">
        <v>0.187</v>
      </c>
      <c r="Y27" s="1127">
        <v>0.189</v>
      </c>
      <c r="Z27" s="1127">
        <v>0.125</v>
      </c>
      <c r="AA27" s="1128">
        <v>0.13900000000000001</v>
      </c>
      <c r="AB27" s="1128">
        <v>0.109</v>
      </c>
      <c r="AC27" s="1128"/>
      <c r="AD27" s="1128"/>
      <c r="AE27" s="1128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</row>
    <row r="28" spans="1:95">
      <c r="A28" s="1199" t="s">
        <v>63</v>
      </c>
      <c r="B28" s="996"/>
      <c r="C28" s="1121" t="s">
        <v>39</v>
      </c>
      <c r="D28" s="1412"/>
      <c r="E28" s="1412"/>
      <c r="F28" s="1412"/>
      <c r="G28" s="1413"/>
      <c r="H28" s="1414"/>
      <c r="I28" s="1003">
        <v>0.63</v>
      </c>
      <c r="J28" s="1188">
        <v>0.69</v>
      </c>
      <c r="K28" s="1417">
        <v>0.19700000000000001</v>
      </c>
      <c r="L28" s="1125">
        <v>1.07</v>
      </c>
      <c r="M28" s="1126"/>
      <c r="N28" s="2080">
        <v>0.315</v>
      </c>
      <c r="O28" s="1208"/>
      <c r="P28" s="1046">
        <v>0.98</v>
      </c>
      <c r="Q28" s="1127">
        <v>0.3</v>
      </c>
      <c r="R28" s="1127">
        <v>0.6</v>
      </c>
      <c r="S28" s="1128">
        <v>0.28999999999999998</v>
      </c>
      <c r="T28" s="1243">
        <v>0.25</v>
      </c>
      <c r="U28" s="61">
        <v>0.38</v>
      </c>
      <c r="V28" s="61">
        <v>5.6000000000000001E-2</v>
      </c>
      <c r="W28" s="2863">
        <v>0.17</v>
      </c>
      <c r="X28" s="3229">
        <v>0.221</v>
      </c>
      <c r="Y28" s="1127">
        <v>0.23899999999999999</v>
      </c>
      <c r="Z28" s="1127">
        <v>0.109</v>
      </c>
      <c r="AA28" s="1128">
        <v>0.155</v>
      </c>
      <c r="AB28" s="1128">
        <v>0.12</v>
      </c>
      <c r="AC28" s="1128"/>
      <c r="AD28" s="1128"/>
      <c r="AE28" s="1128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</row>
    <row r="29" spans="1:95">
      <c r="A29" s="1199" t="s">
        <v>63</v>
      </c>
      <c r="B29" s="996"/>
      <c r="C29" s="1121" t="s">
        <v>34</v>
      </c>
      <c r="D29" s="1412"/>
      <c r="E29" s="1412"/>
      <c r="F29" s="1412"/>
      <c r="G29" s="1413"/>
      <c r="H29" s="1414"/>
      <c r="I29" s="1003">
        <v>1.29</v>
      </c>
      <c r="J29" s="1188">
        <v>0.47</v>
      </c>
      <c r="K29" s="1417">
        <v>0.30499999999999999</v>
      </c>
      <c r="L29" s="1125">
        <v>2.19</v>
      </c>
      <c r="M29" s="1126"/>
      <c r="N29" s="2080">
        <v>0.36599999999999999</v>
      </c>
      <c r="O29" s="1208"/>
      <c r="P29" s="1046">
        <v>0.76</v>
      </c>
      <c r="Q29" s="1127">
        <v>0.43</v>
      </c>
      <c r="R29" s="1127">
        <v>0.24</v>
      </c>
      <c r="S29" s="1128">
        <v>0.4</v>
      </c>
      <c r="T29" s="1243">
        <v>0.12</v>
      </c>
      <c r="U29" s="61">
        <v>0.44</v>
      </c>
      <c r="V29" s="61">
        <v>0.28000000000000003</v>
      </c>
      <c r="W29" s="2863">
        <v>0.15</v>
      </c>
      <c r="X29" s="3229">
        <v>0.222</v>
      </c>
      <c r="Y29" s="1127">
        <v>4.8000000000000001E-2</v>
      </c>
      <c r="Z29" s="1127">
        <v>0.19900000000000001</v>
      </c>
      <c r="AA29" s="1128">
        <v>0.152</v>
      </c>
      <c r="AB29" s="1128">
        <v>0.17899999999999999</v>
      </c>
      <c r="AC29" s="1128"/>
      <c r="AD29" s="1128"/>
      <c r="AE29" s="1128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</row>
    <row r="30" spans="1:95" ht="15.75" thickBot="1">
      <c r="A30" s="1205" t="s">
        <v>63</v>
      </c>
      <c r="B30" s="997"/>
      <c r="C30" s="1129" t="s">
        <v>38</v>
      </c>
      <c r="D30" s="1421"/>
      <c r="E30" s="1421"/>
      <c r="F30" s="1421"/>
      <c r="G30" s="1422"/>
      <c r="H30" s="1423"/>
      <c r="I30" s="1147">
        <v>0.38</v>
      </c>
      <c r="J30" s="1193">
        <v>0.16</v>
      </c>
      <c r="K30" s="1426">
        <v>0.14599999999999999</v>
      </c>
      <c r="L30" s="1135">
        <v>7.35</v>
      </c>
      <c r="M30" s="1136"/>
      <c r="N30" s="2081">
        <v>8.2000000000000003E-2</v>
      </c>
      <c r="O30" s="1209"/>
      <c r="P30" s="886">
        <v>0.32</v>
      </c>
      <c r="Q30" s="633">
        <v>0.34</v>
      </c>
      <c r="R30" s="633">
        <v>0.56000000000000005</v>
      </c>
      <c r="S30" s="634">
        <v>0.36</v>
      </c>
      <c r="T30" s="1246">
        <v>0.245</v>
      </c>
      <c r="U30" s="2865">
        <v>0.32</v>
      </c>
      <c r="V30" s="2865"/>
      <c r="W30" s="2866">
        <v>0.15</v>
      </c>
      <c r="X30" s="3230">
        <v>0.113</v>
      </c>
      <c r="Y30" s="633">
        <v>0.20699999999999999</v>
      </c>
      <c r="Z30" s="633">
        <v>0.192</v>
      </c>
      <c r="AA30" s="634">
        <v>0.14299999999999999</v>
      </c>
      <c r="AB30" s="634">
        <v>0.27400000000000002</v>
      </c>
      <c r="AC30" s="634"/>
      <c r="AD30" s="634"/>
      <c r="AE30" s="634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</row>
    <row r="31" spans="1:95">
      <c r="A31" s="1023" t="s">
        <v>23</v>
      </c>
      <c r="B31" s="995">
        <f>COUNTA(C31:C33)</f>
        <v>3</v>
      </c>
      <c r="C31" s="1111" t="s">
        <v>32</v>
      </c>
      <c r="D31" s="1406"/>
      <c r="E31" s="1406"/>
      <c r="F31" s="1406"/>
      <c r="G31" s="1407"/>
      <c r="H31" s="1408"/>
      <c r="I31" s="1114">
        <v>0.11</v>
      </c>
      <c r="J31" s="1431">
        <v>0.192</v>
      </c>
      <c r="K31" s="1411">
        <v>0.107</v>
      </c>
      <c r="L31" s="1117">
        <v>2.5000000000000001E-2</v>
      </c>
      <c r="M31" s="1118"/>
      <c r="N31" s="2082">
        <v>0.14000000000000001</v>
      </c>
      <c r="O31" s="1207"/>
      <c r="P31" s="1241">
        <v>0.2</v>
      </c>
      <c r="Q31" s="1119">
        <v>0.13</v>
      </c>
      <c r="R31" s="1119">
        <v>0.18</v>
      </c>
      <c r="S31" s="1120">
        <v>0.34</v>
      </c>
      <c r="T31" s="2859"/>
      <c r="U31" s="2860"/>
      <c r="V31" s="2860"/>
      <c r="W31" s="2861">
        <v>0.06</v>
      </c>
      <c r="X31" s="3231">
        <v>0.20399999999999999</v>
      </c>
      <c r="Y31" s="1119">
        <v>0.191</v>
      </c>
      <c r="Z31" s="1119">
        <v>0.16800000000000001</v>
      </c>
      <c r="AA31" s="1120">
        <v>0.159</v>
      </c>
      <c r="AB31" s="1120" t="s">
        <v>452</v>
      </c>
      <c r="AC31" s="1120"/>
      <c r="AD31" s="1120"/>
      <c r="AE31" s="1120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</row>
    <row r="32" spans="1:95">
      <c r="A32" s="1199" t="s">
        <v>23</v>
      </c>
      <c r="B32" s="996"/>
      <c r="C32" s="1121" t="s">
        <v>24</v>
      </c>
      <c r="D32" s="1412"/>
      <c r="E32" s="1412"/>
      <c r="F32" s="1412"/>
      <c r="G32" s="1413"/>
      <c r="H32" s="1414"/>
      <c r="I32" s="1003">
        <v>0.21</v>
      </c>
      <c r="J32" s="1433">
        <v>0.14899999999999999</v>
      </c>
      <c r="K32" s="1417">
        <v>0.14099999999999999</v>
      </c>
      <c r="L32" s="1125">
        <v>4.3999999999999997E-2</v>
      </c>
      <c r="M32" s="1126"/>
      <c r="N32" s="2080">
        <v>0.49</v>
      </c>
      <c r="O32" s="1208"/>
      <c r="P32" s="1046">
        <v>0.19</v>
      </c>
      <c r="Q32" s="1127">
        <v>0.34</v>
      </c>
      <c r="R32" s="1127">
        <v>0.26</v>
      </c>
      <c r="S32" s="1128">
        <v>0.26</v>
      </c>
      <c r="T32" s="2862"/>
      <c r="U32" s="61"/>
      <c r="V32" s="61"/>
      <c r="W32" s="2863">
        <v>0.1</v>
      </c>
      <c r="X32" s="3229">
        <v>8.6999999999999994E-2</v>
      </c>
      <c r="Y32" s="1127">
        <v>3.71</v>
      </c>
      <c r="Z32" s="1127">
        <v>0.20699999999999999</v>
      </c>
      <c r="AA32" s="1128">
        <v>0.11700000000000001</v>
      </c>
      <c r="AB32" s="1128">
        <v>7.6999999999999999E-2</v>
      </c>
      <c r="AC32" s="1128"/>
      <c r="AD32" s="1128"/>
      <c r="AE32" s="1128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</row>
    <row r="33" spans="1:105" ht="15.75" thickBot="1">
      <c r="A33" s="1205" t="s">
        <v>23</v>
      </c>
      <c r="B33" s="997"/>
      <c r="C33" s="1129" t="s">
        <v>27</v>
      </c>
      <c r="D33" s="1421"/>
      <c r="E33" s="1421"/>
      <c r="F33" s="1421"/>
      <c r="G33" s="1422"/>
      <c r="H33" s="1423"/>
      <c r="I33" s="1147">
        <v>0.18</v>
      </c>
      <c r="J33" s="1435">
        <v>0.23</v>
      </c>
      <c r="K33" s="1426">
        <v>0.10199999999999999</v>
      </c>
      <c r="L33" s="1135">
        <v>6.4000000000000001E-2</v>
      </c>
      <c r="M33" s="1136"/>
      <c r="N33" s="2081">
        <v>0.19</v>
      </c>
      <c r="O33" s="1209"/>
      <c r="P33" s="886">
        <v>0.09</v>
      </c>
      <c r="Q33" s="633">
        <v>0.14000000000000001</v>
      </c>
      <c r="R33" s="633">
        <v>0.2</v>
      </c>
      <c r="S33" s="634">
        <v>0.33</v>
      </c>
      <c r="T33" s="2864"/>
      <c r="U33" s="2865"/>
      <c r="V33" s="2865"/>
      <c r="W33" s="2866">
        <v>0.08</v>
      </c>
      <c r="X33" s="3230">
        <v>0.14799999999999999</v>
      </c>
      <c r="Y33" s="633">
        <v>4.8000000000000001E-2</v>
      </c>
      <c r="Z33" s="633">
        <v>0.17299999999999999</v>
      </c>
      <c r="AA33" s="634">
        <v>0.14299999999999999</v>
      </c>
      <c r="AB33" s="634">
        <v>5.8000000000000003E-2</v>
      </c>
      <c r="AC33" s="634"/>
      <c r="AD33" s="634"/>
      <c r="AE33" s="634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</row>
    <row r="34" spans="1:105">
      <c r="A34" s="1023" t="s">
        <v>6</v>
      </c>
      <c r="B34" s="995">
        <f>COUNTA(C34:C38)</f>
        <v>5</v>
      </c>
      <c r="C34" s="1111" t="s">
        <v>10</v>
      </c>
      <c r="D34" s="1406"/>
      <c r="E34" s="1406"/>
      <c r="F34" s="1406"/>
      <c r="G34" s="1407"/>
      <c r="H34" s="1408"/>
      <c r="I34" s="1409">
        <v>0.35699999999999998</v>
      </c>
      <c r="J34" s="1431">
        <v>0.44900000000000001</v>
      </c>
      <c r="K34" s="1411">
        <v>0.20699999999999999</v>
      </c>
      <c r="L34" s="1400">
        <v>0.25700000000000001</v>
      </c>
      <c r="M34" s="1118"/>
      <c r="N34" s="2082">
        <v>0.39</v>
      </c>
      <c r="O34" s="1207"/>
      <c r="P34" s="1203"/>
      <c r="Q34" s="1119"/>
      <c r="R34" s="1119"/>
      <c r="S34" s="1120">
        <v>0.48</v>
      </c>
      <c r="T34" s="2859"/>
      <c r="U34" s="2860"/>
      <c r="V34" s="2860"/>
      <c r="W34" s="2861">
        <v>0.41099999999999998</v>
      </c>
      <c r="X34" s="3231">
        <v>0.20599999999999999</v>
      </c>
      <c r="Y34" s="3244">
        <v>0.441</v>
      </c>
      <c r="Z34" s="1119">
        <v>0.628</v>
      </c>
      <c r="AA34" s="1120">
        <v>0.56799999999999995</v>
      </c>
      <c r="AB34" s="1120">
        <v>0.73699999999999999</v>
      </c>
      <c r="AC34" s="1120"/>
      <c r="AD34" s="1120"/>
      <c r="AE34" s="1120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</row>
    <row r="35" spans="1:105">
      <c r="A35" s="1199" t="s">
        <v>6</v>
      </c>
      <c r="B35" s="996"/>
      <c r="C35" s="1121" t="s">
        <v>20</v>
      </c>
      <c r="D35" s="1412"/>
      <c r="E35" s="1412"/>
      <c r="F35" s="1412"/>
      <c r="G35" s="1413"/>
      <c r="H35" s="1414"/>
      <c r="I35" s="1415">
        <v>0.46400000000000002</v>
      </c>
      <c r="J35" s="1433">
        <v>0.378</v>
      </c>
      <c r="K35" s="1417">
        <v>0.184</v>
      </c>
      <c r="L35" s="1401">
        <v>0.26300000000000001</v>
      </c>
      <c r="M35" s="1126"/>
      <c r="N35" s="2080">
        <v>0.28999999999999998</v>
      </c>
      <c r="O35" s="1208"/>
      <c r="P35" s="1046"/>
      <c r="Q35" s="1127"/>
      <c r="R35" s="1127"/>
      <c r="S35" s="1128">
        <v>0.39</v>
      </c>
      <c r="T35" s="2862"/>
      <c r="U35" s="61"/>
      <c r="V35" s="61"/>
      <c r="W35" s="2863">
        <v>0.66200000000000003</v>
      </c>
      <c r="X35" s="3229">
        <v>0.88800000000000001</v>
      </c>
      <c r="Y35" s="3245">
        <v>0.96799999999999997</v>
      </c>
      <c r="Z35" s="1127">
        <v>0.36399999999999999</v>
      </c>
      <c r="AA35" s="1128">
        <v>0.77100000000000002</v>
      </c>
      <c r="AB35" s="1128">
        <v>0.78100000000000003</v>
      </c>
      <c r="AC35" s="1128"/>
      <c r="AD35" s="1128"/>
      <c r="AE35" s="1128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</row>
    <row r="36" spans="1:105">
      <c r="A36" s="1199" t="s">
        <v>6</v>
      </c>
      <c r="B36" s="996"/>
      <c r="C36" s="1121" t="s">
        <v>11</v>
      </c>
      <c r="D36" s="1412"/>
      <c r="E36" s="1412"/>
      <c r="F36" s="1412"/>
      <c r="G36" s="1413"/>
      <c r="H36" s="1414"/>
      <c r="I36" s="1415">
        <v>0.56000000000000005</v>
      </c>
      <c r="J36" s="1433">
        <v>0.432</v>
      </c>
      <c r="K36" s="1417">
        <v>0.19600000000000001</v>
      </c>
      <c r="L36" s="1401">
        <v>0.217</v>
      </c>
      <c r="M36" s="1126"/>
      <c r="N36" s="2080">
        <v>0.43</v>
      </c>
      <c r="O36" s="1208"/>
      <c r="P36" s="1046"/>
      <c r="Q36" s="1127"/>
      <c r="R36" s="1127"/>
      <c r="S36" s="1128">
        <v>0.18</v>
      </c>
      <c r="T36" s="2862"/>
      <c r="U36" s="61"/>
      <c r="V36" s="61"/>
      <c r="W36" s="2863">
        <v>0.53</v>
      </c>
      <c r="X36" s="3229">
        <v>6.3E-2</v>
      </c>
      <c r="Y36" s="3245">
        <v>0.22700000000000001</v>
      </c>
      <c r="Z36" s="1127">
        <v>0.66100000000000003</v>
      </c>
      <c r="AA36" s="1128">
        <v>0.48199999999999998</v>
      </c>
      <c r="AB36" s="1128">
        <v>0.94499999999999995</v>
      </c>
      <c r="AC36" s="1128"/>
      <c r="AD36" s="1128"/>
      <c r="AE36" s="1128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</row>
    <row r="37" spans="1:105">
      <c r="A37" s="1199" t="s">
        <v>6</v>
      </c>
      <c r="B37" s="996"/>
      <c r="C37" s="1121" t="s">
        <v>14</v>
      </c>
      <c r="D37" s="1412"/>
      <c r="E37" s="1412"/>
      <c r="F37" s="1412"/>
      <c r="G37" s="1413"/>
      <c r="H37" s="1414"/>
      <c r="I37" s="1415">
        <v>0.23799999999999999</v>
      </c>
      <c r="J37" s="1433">
        <v>0.86399999999999999</v>
      </c>
      <c r="K37" s="1417">
        <v>0.20300000000000001</v>
      </c>
      <c r="L37" s="1401">
        <v>0.26200000000000001</v>
      </c>
      <c r="M37" s="1126"/>
      <c r="N37" s="2080">
        <v>0.23</v>
      </c>
      <c r="O37" s="1208"/>
      <c r="P37" s="1046"/>
      <c r="Q37" s="1127"/>
      <c r="R37" s="1127"/>
      <c r="S37" s="1128">
        <v>0.12</v>
      </c>
      <c r="T37" s="2862"/>
      <c r="U37" s="61"/>
      <c r="V37" s="61"/>
      <c r="W37" s="2863">
        <v>0.51700000000000002</v>
      </c>
      <c r="X37" s="3229">
        <v>0.63200000000000001</v>
      </c>
      <c r="Y37" s="3245">
        <v>0.66400000000000003</v>
      </c>
      <c r="Z37" s="1127">
        <v>0.60499999999999998</v>
      </c>
      <c r="AA37" s="1128">
        <v>0.79400000000000004</v>
      </c>
      <c r="AB37" s="1128">
        <v>7.0999999999999994E-2</v>
      </c>
      <c r="AC37" s="1128"/>
      <c r="AD37" s="1128"/>
      <c r="AE37" s="1128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</row>
    <row r="38" spans="1:105" ht="15.75" thickBot="1">
      <c r="A38" s="1205" t="s">
        <v>6</v>
      </c>
      <c r="B38" s="997"/>
      <c r="C38" s="1129" t="s">
        <v>7</v>
      </c>
      <c r="D38" s="1421"/>
      <c r="E38" s="1421"/>
      <c r="F38" s="1421"/>
      <c r="G38" s="1422"/>
      <c r="H38" s="1423"/>
      <c r="I38" s="1424">
        <v>0.25</v>
      </c>
      <c r="J38" s="1435">
        <v>0.40200000000000002</v>
      </c>
      <c r="K38" s="1426">
        <v>0.2</v>
      </c>
      <c r="L38" s="1402">
        <v>0.25</v>
      </c>
      <c r="M38" s="1136"/>
      <c r="N38" s="2081">
        <v>0.37</v>
      </c>
      <c r="O38" s="1209"/>
      <c r="P38" s="886"/>
      <c r="Q38" s="633"/>
      <c r="R38" s="633"/>
      <c r="S38" s="634">
        <v>0.22</v>
      </c>
      <c r="T38" s="2864"/>
      <c r="U38" s="2865"/>
      <c r="V38" s="2865"/>
      <c r="W38" s="2866">
        <v>0.46300000000000002</v>
      </c>
      <c r="X38" s="3230">
        <v>0.23</v>
      </c>
      <c r="Y38" s="3246">
        <v>0.222</v>
      </c>
      <c r="Z38" s="633">
        <v>0.41899999999999998</v>
      </c>
      <c r="AA38" s="634">
        <v>0.38500000000000001</v>
      </c>
      <c r="AB38" s="634">
        <v>0.28999999999999998</v>
      </c>
      <c r="AC38" s="634"/>
      <c r="AD38" s="634"/>
      <c r="AE38" s="634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</row>
    <row r="39" spans="1:105">
      <c r="A39" s="1023" t="s">
        <v>28</v>
      </c>
      <c r="B39" s="995">
        <f>COUNTA(C39:C41)</f>
        <v>3</v>
      </c>
      <c r="C39" s="1111" t="s">
        <v>35</v>
      </c>
      <c r="D39" s="1406"/>
      <c r="E39" s="1406"/>
      <c r="F39" s="1406"/>
      <c r="G39" s="1407"/>
      <c r="H39" s="1436"/>
      <c r="I39" s="1409">
        <v>0.20799999999999999</v>
      </c>
      <c r="J39" s="1431">
        <v>2.7E-2</v>
      </c>
      <c r="K39" s="1411">
        <v>10.17</v>
      </c>
      <c r="L39" s="1117">
        <v>0.15</v>
      </c>
      <c r="M39" s="1118"/>
      <c r="N39" s="2082">
        <v>0.28000000000000003</v>
      </c>
      <c r="O39" s="1207"/>
      <c r="P39" s="1203">
        <v>0.26</v>
      </c>
      <c r="Q39" s="1119">
        <v>0.29799999999999999</v>
      </c>
      <c r="R39" s="1119">
        <v>0.44500000000000001</v>
      </c>
      <c r="S39" s="1120">
        <v>0.51</v>
      </c>
      <c r="T39" s="2859"/>
      <c r="U39" s="2860"/>
      <c r="V39" s="2860"/>
      <c r="W39" s="2861">
        <v>0.44700000000000001</v>
      </c>
      <c r="X39" s="3231">
        <v>5.2999999999999999E-2</v>
      </c>
      <c r="Y39" s="1119">
        <v>0.20599999999999999</v>
      </c>
      <c r="Z39" s="1119">
        <v>9.8000000000000004E-2</v>
      </c>
      <c r="AA39" s="1120">
        <v>0.246</v>
      </c>
      <c r="AB39" s="1120">
        <v>0.52600000000000002</v>
      </c>
      <c r="AC39" s="1120"/>
      <c r="AD39" s="1120"/>
      <c r="AE39" s="1120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</row>
    <row r="40" spans="1:105" ht="14.25" customHeight="1">
      <c r="A40" s="1199" t="s">
        <v>28</v>
      </c>
      <c r="B40" s="996"/>
      <c r="C40" s="1121" t="s">
        <v>29</v>
      </c>
      <c r="D40" s="1412"/>
      <c r="E40" s="1412"/>
      <c r="F40" s="1412"/>
      <c r="G40" s="1413"/>
      <c r="H40" s="1437"/>
      <c r="I40" s="1415">
        <v>1.208</v>
      </c>
      <c r="J40" s="1433">
        <v>1.1579999999999999</v>
      </c>
      <c r="K40" s="1417">
        <v>6.91</v>
      </c>
      <c r="L40" s="1125">
        <v>0.28000000000000003</v>
      </c>
      <c r="M40" s="1126"/>
      <c r="N40" s="2080">
        <v>0.64</v>
      </c>
      <c r="O40" s="1208"/>
      <c r="P40" s="1046">
        <v>1.32</v>
      </c>
      <c r="Q40" s="1127">
        <v>0.29499999999999998</v>
      </c>
      <c r="R40" s="1127">
        <v>1.5940000000000001</v>
      </c>
      <c r="S40" s="1128">
        <v>0.38600000000000001</v>
      </c>
      <c r="T40" s="2862"/>
      <c r="U40" s="61"/>
      <c r="V40" s="61"/>
      <c r="W40" s="2863">
        <v>1.143</v>
      </c>
      <c r="X40" s="3229">
        <v>0.10199999999999999</v>
      </c>
      <c r="Y40" s="1127">
        <v>0.192</v>
      </c>
      <c r="Z40" s="1127">
        <v>1.429</v>
      </c>
      <c r="AA40" s="1128">
        <v>0.58799999999999997</v>
      </c>
      <c r="AB40" s="1128">
        <v>0.625</v>
      </c>
      <c r="AC40" s="1128"/>
      <c r="AD40" s="1128"/>
      <c r="AE40" s="1128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</row>
    <row r="41" spans="1:105" ht="15.75" thickBot="1">
      <c r="A41" s="1205" t="s">
        <v>28</v>
      </c>
      <c r="B41" s="997"/>
      <c r="C41" s="1129" t="s">
        <v>36</v>
      </c>
      <c r="D41" s="1421"/>
      <c r="E41" s="1421"/>
      <c r="F41" s="1421"/>
      <c r="G41" s="1422"/>
      <c r="H41" s="1438"/>
      <c r="I41" s="1424">
        <v>0.88900000000000001</v>
      </c>
      <c r="J41" s="1435">
        <v>0.871</v>
      </c>
      <c r="K41" s="1426">
        <v>1.9</v>
      </c>
      <c r="L41" s="1135">
        <v>0.24</v>
      </c>
      <c r="M41" s="1136"/>
      <c r="N41" s="2081">
        <v>0.41</v>
      </c>
      <c r="O41" s="1209"/>
      <c r="P41" s="886">
        <v>1.02</v>
      </c>
      <c r="Q41" s="633">
        <v>0.15</v>
      </c>
      <c r="R41" s="633">
        <v>0.47899999999999998</v>
      </c>
      <c r="S41" s="634">
        <v>0.39500000000000002</v>
      </c>
      <c r="T41" s="2864"/>
      <c r="U41" s="2865"/>
      <c r="V41" s="2865"/>
      <c r="W41" s="2866">
        <v>0.73499999999999999</v>
      </c>
      <c r="X41" s="3230">
        <v>0.1</v>
      </c>
      <c r="Y41" s="633">
        <v>0.20799999999999999</v>
      </c>
      <c r="Z41" s="633">
        <v>1.492</v>
      </c>
      <c r="AA41" s="634">
        <v>0.59899999999999998</v>
      </c>
      <c r="AB41" s="634">
        <v>0.11700000000000001</v>
      </c>
      <c r="AC41" s="634"/>
      <c r="AD41" s="634"/>
      <c r="AE41" s="634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</row>
    <row r="42" spans="1:105">
      <c r="A42" s="1023" t="s">
        <v>8</v>
      </c>
      <c r="B42" s="995">
        <f>COUNTA(C42:C44)</f>
        <v>3</v>
      </c>
      <c r="C42" s="1161" t="s">
        <v>9</v>
      </c>
      <c r="D42" s="1439"/>
      <c r="E42" s="1439"/>
      <c r="F42" s="1439"/>
      <c r="G42" s="1440"/>
      <c r="H42" s="1436"/>
      <c r="I42" s="1409">
        <v>0.28199999999999997</v>
      </c>
      <c r="J42" s="1431">
        <v>0.23100000000000001</v>
      </c>
      <c r="K42" s="1411">
        <v>0.27500000000000002</v>
      </c>
      <c r="L42" s="1400">
        <v>0.34699999999999998</v>
      </c>
      <c r="M42" s="1118"/>
      <c r="N42" s="2082">
        <v>0.32</v>
      </c>
      <c r="O42" s="1207"/>
      <c r="P42" s="1203">
        <v>1.19</v>
      </c>
      <c r="Q42" s="1119">
        <v>0.217</v>
      </c>
      <c r="R42" s="1119">
        <v>0.17599999999999999</v>
      </c>
      <c r="S42" s="1120">
        <v>0.37</v>
      </c>
      <c r="T42" s="2859"/>
      <c r="U42" s="2860"/>
      <c r="V42" s="2860"/>
      <c r="W42" s="2861">
        <v>0.13600000000000001</v>
      </c>
      <c r="X42" s="3231">
        <v>0.29199999999999998</v>
      </c>
      <c r="Y42" s="1119">
        <v>0.36799999999999999</v>
      </c>
      <c r="Z42" s="1119">
        <v>0.748</v>
      </c>
      <c r="AA42" s="1120">
        <v>0.50900000000000001</v>
      </c>
      <c r="AB42" s="1120">
        <v>0.71699999999999997</v>
      </c>
      <c r="AC42" s="1120"/>
      <c r="AD42" s="1120"/>
      <c r="AE42" s="1120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</row>
    <row r="43" spans="1:105">
      <c r="A43" s="1199" t="s">
        <v>8</v>
      </c>
      <c r="B43" s="996"/>
      <c r="C43" s="1163" t="s">
        <v>271</v>
      </c>
      <c r="D43" s="1441"/>
      <c r="E43" s="1441"/>
      <c r="F43" s="1441"/>
      <c r="G43" s="1442"/>
      <c r="H43" s="1437"/>
      <c r="I43" s="1415">
        <v>0.152</v>
      </c>
      <c r="J43" s="1433">
        <v>0.23499999999999999</v>
      </c>
      <c r="K43" s="1417">
        <v>0.23799999999999999</v>
      </c>
      <c r="L43" s="1401">
        <v>0.22500000000000001</v>
      </c>
      <c r="M43" s="1126"/>
      <c r="N43" s="2080">
        <v>0.14000000000000001</v>
      </c>
      <c r="O43" s="1208"/>
      <c r="P43" s="1046">
        <v>0.13500000000000001</v>
      </c>
      <c r="Q43" s="1127">
        <v>0.217</v>
      </c>
      <c r="R43" s="1127">
        <v>0.185</v>
      </c>
      <c r="S43" s="1128">
        <v>0.15</v>
      </c>
      <c r="T43" s="2862"/>
      <c r="U43" s="61"/>
      <c r="V43" s="61"/>
      <c r="W43" s="2863">
        <v>0.186</v>
      </c>
      <c r="X43" s="3229">
        <v>5.2999999999999999E-2</v>
      </c>
      <c r="Y43" s="1127">
        <v>0.26500000000000001</v>
      </c>
      <c r="Z43" s="1127">
        <v>0.54100000000000004</v>
      </c>
      <c r="AA43" s="1128">
        <v>0.255</v>
      </c>
      <c r="AB43" s="1128">
        <v>0.55000000000000004</v>
      </c>
      <c r="AC43" s="1128"/>
      <c r="AD43" s="1128"/>
      <c r="AE43" s="1128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</row>
    <row r="44" spans="1:105" ht="15.75" thickBot="1">
      <c r="A44" s="1205" t="s">
        <v>8</v>
      </c>
      <c r="B44" s="997"/>
      <c r="C44" s="1165" t="s">
        <v>13</v>
      </c>
      <c r="D44" s="1443"/>
      <c r="E44" s="1443"/>
      <c r="F44" s="1443"/>
      <c r="G44" s="1444"/>
      <c r="H44" s="1438"/>
      <c r="I44" s="1424">
        <v>0.17399999999999999</v>
      </c>
      <c r="J44" s="1435">
        <v>0.245</v>
      </c>
      <c r="K44" s="1426">
        <v>0.21</v>
      </c>
      <c r="L44" s="1402">
        <v>0.36499999999999999</v>
      </c>
      <c r="M44" s="1136"/>
      <c r="N44" s="2081">
        <v>0.37</v>
      </c>
      <c r="O44" s="1209"/>
      <c r="P44" s="886">
        <v>0.126</v>
      </c>
      <c r="Q44" s="633">
        <v>0.17399999999999999</v>
      </c>
      <c r="R44" s="633">
        <v>0.17599999999999999</v>
      </c>
      <c r="S44" s="634">
        <v>0.6</v>
      </c>
      <c r="T44" s="2864"/>
      <c r="U44" s="2865"/>
      <c r="V44" s="2865"/>
      <c r="W44" s="2866">
        <v>0.33900000000000002</v>
      </c>
      <c r="X44" s="3230">
        <v>0.59299999999999997</v>
      </c>
      <c r="Y44" s="633">
        <v>0.627</v>
      </c>
      <c r="Z44" s="633">
        <v>0.92</v>
      </c>
      <c r="AA44" s="634">
        <v>0.60499999999999998</v>
      </c>
      <c r="AB44" s="634">
        <v>0.59199999999999997</v>
      </c>
      <c r="AC44" s="634"/>
      <c r="AD44" s="634"/>
      <c r="AE44" s="634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</row>
    <row r="45" spans="1:105" s="4" customFormat="1">
      <c r="A45" s="3526" t="s">
        <v>386</v>
      </c>
      <c r="B45" s="1011">
        <v>4</v>
      </c>
      <c r="C45" s="3253" t="s">
        <v>391</v>
      </c>
      <c r="D45" s="3207"/>
      <c r="E45" s="3207"/>
      <c r="F45" s="3207"/>
      <c r="G45" s="3207"/>
      <c r="H45" s="3207"/>
      <c r="I45" s="3207"/>
      <c r="J45" s="3207"/>
      <c r="K45" s="3207"/>
      <c r="L45" s="3207"/>
      <c r="M45" s="3207"/>
      <c r="N45" s="3207"/>
      <c r="O45" s="3207"/>
      <c r="P45" s="3207"/>
      <c r="Q45" s="3207"/>
      <c r="R45" s="3207"/>
      <c r="S45" s="3207"/>
      <c r="T45" s="3207"/>
      <c r="U45" s="3207"/>
      <c r="V45" s="3207"/>
      <c r="W45" s="3207"/>
      <c r="X45" s="2926"/>
      <c r="Y45" s="2859">
        <v>0.65500000000000003</v>
      </c>
      <c r="Z45" s="2926">
        <v>4.8000000000000001E-2</v>
      </c>
      <c r="AA45" s="2861">
        <v>0.316</v>
      </c>
      <c r="AB45" s="2861">
        <v>0.183</v>
      </c>
      <c r="AC45" s="2861"/>
      <c r="AD45" s="2861"/>
      <c r="AE45" s="2861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</row>
    <row r="46" spans="1:105" s="4" customFormat="1">
      <c r="A46" s="3527"/>
      <c r="B46" s="1108"/>
      <c r="C46" s="3254" t="s">
        <v>392</v>
      </c>
      <c r="D46" s="3207"/>
      <c r="E46" s="3207"/>
      <c r="F46" s="3207"/>
      <c r="G46" s="3207"/>
      <c r="H46" s="3207"/>
      <c r="I46" s="3207"/>
      <c r="J46" s="3207"/>
      <c r="K46" s="3207"/>
      <c r="L46" s="3207"/>
      <c r="M46" s="3207"/>
      <c r="N46" s="3207"/>
      <c r="O46" s="3207"/>
      <c r="P46" s="3207"/>
      <c r="Q46" s="3207"/>
      <c r="R46" s="3207"/>
      <c r="S46" s="3207"/>
      <c r="T46" s="3207"/>
      <c r="U46" s="3207"/>
      <c r="V46" s="3207"/>
      <c r="W46" s="3207"/>
      <c r="X46" s="2927"/>
      <c r="Y46" s="2862">
        <v>7.3999999999999996E-2</v>
      </c>
      <c r="Z46" s="2927">
        <v>4.8000000000000001E-2</v>
      </c>
      <c r="AA46" s="2863">
        <v>0.158</v>
      </c>
      <c r="AB46" s="2863">
        <v>0.124</v>
      </c>
      <c r="AC46" s="2863"/>
      <c r="AD46" s="2863"/>
      <c r="AE46" s="2863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</row>
    <row r="47" spans="1:105" s="4" customFormat="1">
      <c r="A47" s="3527"/>
      <c r="B47" s="1108"/>
      <c r="C47" s="3254" t="s">
        <v>393</v>
      </c>
      <c r="D47" s="3207"/>
      <c r="E47" s="3207"/>
      <c r="F47" s="3207"/>
      <c r="G47" s="3207"/>
      <c r="H47" s="3207"/>
      <c r="I47" s="3207"/>
      <c r="J47" s="3207"/>
      <c r="K47" s="3207"/>
      <c r="L47" s="3207"/>
      <c r="M47" s="3207"/>
      <c r="N47" s="3207"/>
      <c r="O47" s="3207"/>
      <c r="P47" s="3207"/>
      <c r="Q47" s="3207"/>
      <c r="R47" s="3207"/>
      <c r="S47" s="3207"/>
      <c r="T47" s="3207"/>
      <c r="U47" s="3207"/>
      <c r="V47" s="3207"/>
      <c r="W47" s="3207"/>
      <c r="X47" s="2927"/>
      <c r="Y47" s="2862">
        <v>4.8000000000000001E-2</v>
      </c>
      <c r="Z47" s="2927">
        <v>0.34300000000000003</v>
      </c>
      <c r="AA47" s="2863">
        <v>0.156</v>
      </c>
      <c r="AB47" s="2863">
        <v>0.246</v>
      </c>
      <c r="AC47" s="2863"/>
      <c r="AD47" s="2863"/>
      <c r="AE47" s="286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</row>
    <row r="48" spans="1:105" ht="15.75" thickBot="1">
      <c r="A48" s="3528"/>
      <c r="B48" s="1110"/>
      <c r="C48" s="3255" t="s">
        <v>394</v>
      </c>
      <c r="D48" s="3207"/>
      <c r="E48" s="3207"/>
      <c r="F48" s="3207"/>
      <c r="G48" s="3207"/>
      <c r="H48" s="3207"/>
      <c r="I48" s="3207"/>
      <c r="J48" s="3207"/>
      <c r="K48" s="3207"/>
      <c r="L48" s="3207"/>
      <c r="M48" s="3207"/>
      <c r="N48" s="3207"/>
      <c r="O48" s="3207"/>
      <c r="P48" s="3207"/>
      <c r="Q48" s="3207"/>
      <c r="R48" s="3207"/>
      <c r="S48" s="3207"/>
      <c r="T48" s="3207"/>
      <c r="U48" s="3207"/>
      <c r="V48" s="3207"/>
      <c r="W48" s="3207"/>
      <c r="X48" s="2928"/>
      <c r="Y48" s="2864">
        <v>4.8000000000000001E-2</v>
      </c>
      <c r="Z48" s="2928">
        <v>7.0000000000000007E-2</v>
      </c>
      <c r="AA48" s="2866">
        <v>9.7000000000000003E-2</v>
      </c>
      <c r="AB48" s="2866">
        <v>0.20599999999999999</v>
      </c>
      <c r="AC48" s="2866"/>
      <c r="AD48" s="2866"/>
      <c r="AE48" s="2866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</row>
    <row r="49" spans="1:95">
      <c r="A49" s="3526" t="s">
        <v>387</v>
      </c>
      <c r="B49" s="1011">
        <v>3</v>
      </c>
      <c r="C49" s="3253" t="s">
        <v>395</v>
      </c>
      <c r="D49" s="3207"/>
      <c r="E49" s="3207"/>
      <c r="F49" s="3207"/>
      <c r="G49" s="3207"/>
      <c r="H49" s="3207"/>
      <c r="I49" s="3207"/>
      <c r="J49" s="3207"/>
      <c r="K49" s="3207"/>
      <c r="L49" s="3207"/>
      <c r="M49" s="3207"/>
      <c r="N49" s="3207"/>
      <c r="O49" s="3207"/>
      <c r="P49" s="3207"/>
      <c r="Q49" s="3207"/>
      <c r="R49" s="3207"/>
      <c r="S49" s="3207"/>
      <c r="T49" s="3207"/>
      <c r="U49" s="3207"/>
      <c r="V49" s="3207"/>
      <c r="W49" s="3207"/>
      <c r="X49" s="2859"/>
      <c r="Y49" s="2926">
        <v>4.8000000000000001E-2</v>
      </c>
      <c r="Z49" s="2861">
        <v>0.59699999999999998</v>
      </c>
      <c r="AA49" s="2861">
        <v>0.47599999999999998</v>
      </c>
      <c r="AB49" s="2861"/>
      <c r="AC49" s="2861"/>
      <c r="AD49" s="2861"/>
      <c r="AE49" s="28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</row>
    <row r="50" spans="1:95">
      <c r="A50" s="3527"/>
      <c r="B50" s="1108"/>
      <c r="C50" s="3254" t="s">
        <v>396</v>
      </c>
      <c r="D50" s="3207"/>
      <c r="E50" s="3207"/>
      <c r="F50" s="3207"/>
      <c r="G50" s="3207"/>
      <c r="H50" s="3207"/>
      <c r="I50" s="3207"/>
      <c r="J50" s="3207"/>
      <c r="K50" s="3207"/>
      <c r="L50" s="3207"/>
      <c r="M50" s="3207"/>
      <c r="N50" s="3207"/>
      <c r="O50" s="3207"/>
      <c r="P50" s="3207"/>
      <c r="Q50" s="3207"/>
      <c r="R50" s="3207"/>
      <c r="S50" s="3207"/>
      <c r="T50" s="3207"/>
      <c r="U50" s="3207"/>
      <c r="V50" s="3207"/>
      <c r="W50" s="3207"/>
      <c r="X50" s="2862"/>
      <c r="Y50" s="2927">
        <v>4.8000000000000001E-2</v>
      </c>
      <c r="Z50" s="2863">
        <v>0.503</v>
      </c>
      <c r="AA50" s="2863">
        <v>0.36099999999999999</v>
      </c>
      <c r="AB50" s="2863"/>
      <c r="AC50" s="2863"/>
      <c r="AD50" s="2863"/>
      <c r="AE50" s="2863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</row>
    <row r="51" spans="1:95" ht="15.75" thickBot="1">
      <c r="A51" s="3528"/>
      <c r="B51" s="1110"/>
      <c r="C51" s="3255" t="s">
        <v>397</v>
      </c>
      <c r="D51" s="3207"/>
      <c r="E51" s="3207"/>
      <c r="F51" s="3207"/>
      <c r="G51" s="3207"/>
      <c r="H51" s="3207"/>
      <c r="I51" s="3207"/>
      <c r="J51" s="3207"/>
      <c r="K51" s="3207"/>
      <c r="L51" s="3207"/>
      <c r="M51" s="3207"/>
      <c r="N51" s="3207"/>
      <c r="O51" s="3207"/>
      <c r="P51" s="3207"/>
      <c r="Q51" s="3207"/>
      <c r="R51" s="3207"/>
      <c r="S51" s="3207"/>
      <c r="T51" s="3207"/>
      <c r="U51" s="3207"/>
      <c r="V51" s="3207"/>
      <c r="W51" s="3207"/>
      <c r="X51" s="2864"/>
      <c r="Y51" s="2928">
        <v>4.8000000000000001E-2</v>
      </c>
      <c r="Z51" s="2866">
        <v>0.39700000000000002</v>
      </c>
      <c r="AA51" s="2866">
        <v>0.30299999999999999</v>
      </c>
      <c r="AB51" s="2866"/>
      <c r="AC51" s="2866"/>
      <c r="AD51" s="2866"/>
      <c r="AE51" s="2866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</row>
    <row r="52" spans="1:95">
      <c r="A52" s="3526" t="s">
        <v>388</v>
      </c>
      <c r="B52" s="1011">
        <v>3</v>
      </c>
      <c r="C52" s="3253" t="s">
        <v>398</v>
      </c>
      <c r="D52" s="3207"/>
      <c r="E52" s="3207"/>
      <c r="F52" s="3207"/>
      <c r="G52" s="3207"/>
      <c r="H52" s="3207"/>
      <c r="I52" s="3207"/>
      <c r="J52" s="3207"/>
      <c r="K52" s="3207"/>
      <c r="L52" s="3207"/>
      <c r="M52" s="3207"/>
      <c r="N52" s="3207"/>
      <c r="O52" s="3207"/>
      <c r="P52" s="3207"/>
      <c r="Q52" s="3207"/>
      <c r="R52" s="3207"/>
      <c r="S52" s="3207"/>
      <c r="T52" s="3207"/>
      <c r="U52" s="3207"/>
      <c r="V52" s="3207"/>
      <c r="W52" s="3207"/>
      <c r="X52" s="2926"/>
      <c r="Y52" s="2862">
        <v>0.22700000000000001</v>
      </c>
      <c r="Z52" s="2926">
        <v>0.373</v>
      </c>
      <c r="AA52" s="2861">
        <v>0.27500000000000002</v>
      </c>
      <c r="AB52" s="2861">
        <v>0.19</v>
      </c>
      <c r="AC52" s="2861"/>
      <c r="AD52" s="2861"/>
      <c r="AE52" s="28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</row>
    <row r="53" spans="1:95">
      <c r="A53" s="3527"/>
      <c r="B53" s="1108"/>
      <c r="C53" s="3254" t="s">
        <v>399</v>
      </c>
      <c r="D53" s="3207"/>
      <c r="E53" s="3207"/>
      <c r="F53" s="3207"/>
      <c r="G53" s="3207"/>
      <c r="H53" s="3207"/>
      <c r="I53" s="3207"/>
      <c r="J53" s="3207"/>
      <c r="K53" s="3207"/>
      <c r="L53" s="3207"/>
      <c r="M53" s="3207"/>
      <c r="N53" s="3207"/>
      <c r="O53" s="3207"/>
      <c r="P53" s="3207"/>
      <c r="Q53" s="3207"/>
      <c r="R53" s="3207"/>
      <c r="S53" s="3207"/>
      <c r="T53" s="3207"/>
      <c r="U53" s="3207"/>
      <c r="V53" s="3207"/>
      <c r="W53" s="3207"/>
      <c r="X53" s="2927"/>
      <c r="Y53" s="2862">
        <v>0.34399999999999997</v>
      </c>
      <c r="Z53" s="2927">
        <v>0.25900000000000001</v>
      </c>
      <c r="AA53" s="2863">
        <v>0.23699999999999999</v>
      </c>
      <c r="AB53" s="2863">
        <v>0.223</v>
      </c>
      <c r="AC53" s="2863"/>
      <c r="AD53" s="2863"/>
      <c r="AE53" s="2863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</row>
    <row r="54" spans="1:95" ht="15.75" thickBot="1">
      <c r="A54" s="3528"/>
      <c r="B54" s="1110"/>
      <c r="C54" s="3255" t="s">
        <v>400</v>
      </c>
      <c r="D54" s="3207"/>
      <c r="E54" s="3207"/>
      <c r="F54" s="3207"/>
      <c r="G54" s="3207"/>
      <c r="H54" s="3207"/>
      <c r="I54" s="3207"/>
      <c r="J54" s="3207"/>
      <c r="K54" s="3207"/>
      <c r="L54" s="3207"/>
      <c r="M54" s="3207"/>
      <c r="N54" s="3207"/>
      <c r="O54" s="3207"/>
      <c r="P54" s="3207"/>
      <c r="Q54" s="3207"/>
      <c r="R54" s="3207"/>
      <c r="S54" s="3207"/>
      <c r="T54" s="3207"/>
      <c r="U54" s="3207"/>
      <c r="V54" s="3207"/>
      <c r="W54" s="3207"/>
      <c r="X54" s="2928"/>
      <c r="Y54" s="2864">
        <v>0.29699999999999999</v>
      </c>
      <c r="Z54" s="2928">
        <v>0.2</v>
      </c>
      <c r="AA54" s="2866">
        <v>0.19600000000000001</v>
      </c>
      <c r="AB54" s="2866">
        <v>0.36</v>
      </c>
      <c r="AC54" s="2866"/>
      <c r="AD54" s="2866"/>
      <c r="AE54" s="2866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</row>
    <row r="55" spans="1:95" s="59" customFormat="1" ht="15" customHeight="1">
      <c r="A55" s="3526" t="s">
        <v>389</v>
      </c>
      <c r="B55" s="1011">
        <v>3</v>
      </c>
      <c r="C55" s="3253" t="s">
        <v>17</v>
      </c>
      <c r="D55" s="3207"/>
      <c r="E55" s="3207"/>
      <c r="F55" s="3207"/>
      <c r="G55" s="3207"/>
      <c r="H55" s="3207"/>
      <c r="I55" s="3207"/>
      <c r="J55" s="3207"/>
      <c r="K55" s="3207"/>
      <c r="L55" s="3207"/>
      <c r="M55" s="3207"/>
      <c r="N55" s="3207"/>
      <c r="O55" s="3207"/>
      <c r="P55" s="3207"/>
      <c r="Q55" s="3207"/>
      <c r="R55" s="3207"/>
      <c r="S55" s="3207"/>
      <c r="T55" s="3207"/>
      <c r="U55" s="3207"/>
      <c r="V55" s="3207"/>
      <c r="W55" s="3207"/>
      <c r="X55" s="2926"/>
      <c r="Y55" s="2859">
        <v>0.30599999999999999</v>
      </c>
      <c r="Z55" s="2926">
        <v>0.65700000000000003</v>
      </c>
      <c r="AA55" s="2861">
        <v>0.44600000000000001</v>
      </c>
      <c r="AB55" s="2861">
        <v>0.155</v>
      </c>
      <c r="AC55" s="2861"/>
      <c r="AD55" s="2861"/>
      <c r="AE55" s="2861"/>
      <c r="AF55" s="67"/>
      <c r="AG55" s="144"/>
      <c r="AH55" s="144"/>
      <c r="AI55" s="144"/>
      <c r="AJ55" s="144"/>
      <c r="AK55" s="144"/>
      <c r="AL55" s="67"/>
      <c r="AM55" s="67"/>
      <c r="AN55" s="67"/>
      <c r="AO55" s="144"/>
      <c r="AP55" s="144"/>
      <c r="AQ55" s="144"/>
      <c r="AR55" s="144"/>
      <c r="AS55" s="67"/>
      <c r="AT55" s="67"/>
      <c r="AU55" s="67"/>
      <c r="AV55" s="78"/>
      <c r="AW55" s="144"/>
      <c r="AX55" s="144"/>
      <c r="AY55" s="144"/>
      <c r="AZ55" s="144"/>
      <c r="BA55" s="67"/>
      <c r="BB55" s="67"/>
      <c r="BC55" s="67"/>
      <c r="BD55" s="78"/>
      <c r="BE55" s="144"/>
      <c r="BF55" s="144"/>
      <c r="BG55" s="144"/>
      <c r="BH55" s="67"/>
      <c r="BI55" s="67"/>
      <c r="BJ55" s="67"/>
      <c r="BK55" s="78"/>
      <c r="BL55" s="144"/>
      <c r="BM55" s="144"/>
      <c r="BN55" s="144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  <c r="CP55" s="67"/>
      <c r="CQ55" s="67"/>
    </row>
    <row r="56" spans="1:95">
      <c r="A56" s="3527"/>
      <c r="B56" s="1108"/>
      <c r="C56" s="3254" t="s">
        <v>401</v>
      </c>
      <c r="D56" s="3207"/>
      <c r="E56" s="3207"/>
      <c r="F56" s="3207"/>
      <c r="G56" s="3207"/>
      <c r="H56" s="3207"/>
      <c r="I56" s="3207"/>
      <c r="J56" s="3207"/>
      <c r="K56" s="3207"/>
      <c r="L56" s="3207"/>
      <c r="M56" s="3207"/>
      <c r="N56" s="3207"/>
      <c r="O56" s="3207"/>
      <c r="P56" s="3207"/>
      <c r="Q56" s="3207"/>
      <c r="R56" s="3207"/>
      <c r="S56" s="3207"/>
      <c r="T56" s="3207"/>
      <c r="U56" s="3207"/>
      <c r="V56" s="3207"/>
      <c r="W56" s="3207"/>
      <c r="X56" s="2927"/>
      <c r="Y56" s="3262">
        <v>0.157</v>
      </c>
      <c r="Z56" s="2927">
        <v>0.61499999999999999</v>
      </c>
      <c r="AA56" s="2863">
        <v>0.39400000000000002</v>
      </c>
      <c r="AB56" s="2863">
        <v>0.129</v>
      </c>
      <c r="AC56" s="2863"/>
      <c r="AD56" s="2863"/>
      <c r="AE56" s="2863"/>
      <c r="AF56" s="165"/>
      <c r="AG56" s="166"/>
      <c r="AH56" s="166"/>
      <c r="AI56" s="166"/>
      <c r="AJ56" s="166"/>
      <c r="AK56" s="166"/>
      <c r="AL56" s="44"/>
      <c r="AM56" s="61"/>
      <c r="AN56" s="165"/>
      <c r="AO56" s="166"/>
      <c r="AP56" s="166"/>
      <c r="AQ56" s="166"/>
      <c r="AR56" s="166"/>
      <c r="AS56" s="44"/>
      <c r="AT56" s="61"/>
      <c r="AU56" s="61"/>
      <c r="AV56" s="165"/>
      <c r="AW56" s="166"/>
      <c r="AX56" s="166"/>
      <c r="AY56" s="166"/>
      <c r="AZ56" s="166"/>
      <c r="BA56" s="44"/>
      <c r="BB56" s="61"/>
      <c r="BC56" s="61"/>
      <c r="BD56" s="165"/>
      <c r="BE56" s="166"/>
      <c r="BF56" s="166"/>
      <c r="BG56" s="166"/>
      <c r="BH56" s="44"/>
      <c r="BI56" s="61"/>
      <c r="BJ56" s="61"/>
      <c r="BK56" s="165"/>
      <c r="BL56" s="166"/>
      <c r="BM56" s="166"/>
      <c r="BN56" s="166"/>
      <c r="BO56" s="44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/>
      <c r="CQ56" s="61"/>
    </row>
    <row r="57" spans="1:95" ht="15.75" thickBot="1">
      <c r="A57" s="3528"/>
      <c r="B57" s="1110"/>
      <c r="C57" s="3255" t="s">
        <v>402</v>
      </c>
      <c r="D57" s="3207"/>
      <c r="E57" s="3207"/>
      <c r="F57" s="3207"/>
      <c r="G57" s="3207"/>
      <c r="H57" s="3207"/>
      <c r="I57" s="3207"/>
      <c r="J57" s="3207"/>
      <c r="K57" s="3207"/>
      <c r="L57" s="3207"/>
      <c r="M57" s="3207"/>
      <c r="N57" s="3207"/>
      <c r="O57" s="3207"/>
      <c r="P57" s="3207"/>
      <c r="Q57" s="3207"/>
      <c r="R57" s="3207"/>
      <c r="S57" s="3207"/>
      <c r="T57" s="3207"/>
      <c r="U57" s="3207"/>
      <c r="V57" s="3207"/>
      <c r="W57" s="3207"/>
      <c r="X57" s="2928"/>
      <c r="Y57" s="2864">
        <v>0.215</v>
      </c>
      <c r="Z57" s="2928">
        <v>0.55900000000000005</v>
      </c>
      <c r="AA57" s="2866">
        <v>0.35499999999999998</v>
      </c>
      <c r="AB57" s="2866">
        <v>0.158</v>
      </c>
      <c r="AC57" s="2866"/>
      <c r="AD57" s="2866"/>
      <c r="AE57" s="2866"/>
      <c r="AF57" s="70"/>
      <c r="AG57" s="167"/>
      <c r="AH57" s="167"/>
      <c r="AI57" s="167"/>
      <c r="AJ57" s="167"/>
      <c r="AK57" s="167"/>
      <c r="AL57" s="44"/>
      <c r="AM57" s="61"/>
      <c r="AN57" s="70"/>
      <c r="AO57" s="167"/>
      <c r="AP57" s="167"/>
      <c r="AQ57" s="167"/>
      <c r="AR57" s="167"/>
      <c r="AS57" s="44"/>
      <c r="AT57" s="61"/>
      <c r="AU57" s="61"/>
      <c r="AV57" s="70"/>
      <c r="AW57" s="167"/>
      <c r="AX57" s="167"/>
      <c r="AY57" s="167"/>
      <c r="AZ57" s="167"/>
      <c r="BA57" s="44"/>
      <c r="BB57" s="61"/>
      <c r="BC57" s="61"/>
      <c r="BD57" s="70"/>
      <c r="BE57" s="167"/>
      <c r="BF57" s="167"/>
      <c r="BG57" s="167"/>
      <c r="BH57" s="44"/>
      <c r="BI57" s="61"/>
      <c r="BJ57" s="61"/>
      <c r="BK57" s="70"/>
      <c r="BL57" s="167"/>
      <c r="BM57" s="167"/>
      <c r="BN57" s="167"/>
      <c r="BO57" s="44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</row>
    <row r="58" spans="1:95" ht="15" customHeight="1">
      <c r="A58" s="3526" t="s">
        <v>390</v>
      </c>
      <c r="B58" s="1108">
        <v>3</v>
      </c>
      <c r="C58" s="3254" t="s">
        <v>393</v>
      </c>
      <c r="D58" s="3207"/>
      <c r="E58" s="3207"/>
      <c r="F58" s="3207"/>
      <c r="G58" s="3207"/>
      <c r="H58" s="3207"/>
      <c r="I58" s="3207"/>
      <c r="J58" s="3207"/>
      <c r="K58" s="3207"/>
      <c r="L58" s="3207"/>
      <c r="M58" s="3207"/>
      <c r="N58" s="3207"/>
      <c r="O58" s="3207"/>
      <c r="P58" s="3207"/>
      <c r="Q58" s="3207"/>
      <c r="R58" s="3207"/>
      <c r="S58" s="3207"/>
      <c r="T58" s="3207"/>
      <c r="U58" s="3207"/>
      <c r="V58" s="3207"/>
      <c r="W58" s="3207"/>
      <c r="X58" s="2927"/>
      <c r="Y58" s="2862">
        <v>0.28299999999999997</v>
      </c>
      <c r="Z58" s="2927">
        <v>0.109</v>
      </c>
      <c r="AA58" s="2926">
        <v>0.14499999999999999</v>
      </c>
      <c r="AB58" s="2926"/>
      <c r="AC58" s="2926"/>
      <c r="AD58" s="2926"/>
      <c r="AE58" s="2926"/>
      <c r="AF58" s="70"/>
      <c r="AG58" s="167"/>
      <c r="AH58" s="167"/>
      <c r="AI58" s="167"/>
      <c r="AJ58" s="167"/>
      <c r="AK58" s="167"/>
      <c r="AL58" s="44"/>
      <c r="AM58" s="61"/>
      <c r="AN58" s="70"/>
      <c r="AO58" s="167"/>
      <c r="AP58" s="167"/>
      <c r="AQ58" s="167"/>
      <c r="AR58" s="167"/>
      <c r="AS58" s="44"/>
      <c r="AT58" s="61"/>
      <c r="AU58" s="61"/>
      <c r="AV58" s="70"/>
      <c r="AW58" s="167"/>
      <c r="AX58" s="167"/>
      <c r="AY58" s="167"/>
      <c r="AZ58" s="167"/>
      <c r="BA58" s="44"/>
      <c r="BB58" s="61"/>
      <c r="BC58" s="61"/>
      <c r="BD58" s="70"/>
      <c r="BE58" s="167"/>
      <c r="BF58" s="167"/>
      <c r="BG58" s="167"/>
      <c r="BH58" s="44"/>
      <c r="BI58" s="61"/>
      <c r="BJ58" s="61"/>
      <c r="BK58" s="70"/>
      <c r="BL58" s="167"/>
      <c r="BM58" s="167"/>
      <c r="BN58" s="167"/>
      <c r="BO58" s="44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/>
      <c r="CQ58" s="61"/>
    </row>
    <row r="59" spans="1:95" ht="15.75" customHeight="1">
      <c r="A59" s="3527"/>
      <c r="B59" s="1108"/>
      <c r="C59" s="3254" t="s">
        <v>403</v>
      </c>
      <c r="D59" s="3207"/>
      <c r="E59" s="3207"/>
      <c r="F59" s="3207"/>
      <c r="G59" s="3207"/>
      <c r="H59" s="3207"/>
      <c r="I59" s="3207"/>
      <c r="J59" s="3207"/>
      <c r="K59" s="3207"/>
      <c r="L59" s="3207"/>
      <c r="M59" s="3207"/>
      <c r="N59" s="3207"/>
      <c r="O59" s="3207"/>
      <c r="P59" s="3207"/>
      <c r="Q59" s="3207"/>
      <c r="R59" s="3207"/>
      <c r="S59" s="3207"/>
      <c r="T59" s="3207"/>
      <c r="U59" s="3207"/>
      <c r="V59" s="3207"/>
      <c r="W59" s="3207"/>
      <c r="X59" s="2927"/>
      <c r="Y59" s="2862">
        <v>0.33400000000000002</v>
      </c>
      <c r="Z59" s="2927">
        <v>0.28599999999999998</v>
      </c>
      <c r="AA59" s="2927">
        <v>0.19</v>
      </c>
      <c r="AB59" s="2927"/>
      <c r="AC59" s="2927"/>
      <c r="AD59" s="2927"/>
      <c r="AE59" s="2927"/>
      <c r="AF59" s="70"/>
      <c r="AG59" s="167"/>
      <c r="AH59" s="167"/>
      <c r="AI59" s="167"/>
      <c r="AJ59" s="167"/>
      <c r="AK59" s="167"/>
      <c r="AL59" s="44"/>
      <c r="AM59" s="61"/>
      <c r="AN59" s="70"/>
      <c r="AO59" s="167"/>
      <c r="AP59" s="167"/>
      <c r="AQ59" s="167"/>
      <c r="AR59" s="167"/>
      <c r="AS59" s="44"/>
      <c r="AT59" s="61"/>
      <c r="AU59" s="61"/>
      <c r="AV59" s="70"/>
      <c r="AW59" s="167"/>
      <c r="AX59" s="167"/>
      <c r="AY59" s="167"/>
      <c r="AZ59" s="167"/>
      <c r="BA59" s="44"/>
      <c r="BB59" s="61"/>
      <c r="BC59" s="61"/>
      <c r="BD59" s="70"/>
      <c r="BE59" s="167"/>
      <c r="BF59" s="167"/>
      <c r="BG59" s="167"/>
      <c r="BH59" s="44"/>
      <c r="BI59" s="61"/>
      <c r="BJ59" s="61"/>
      <c r="BK59" s="70"/>
      <c r="BL59" s="167"/>
      <c r="BM59" s="167"/>
      <c r="BN59" s="167"/>
      <c r="BO59" s="44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</row>
    <row r="60" spans="1:95" ht="15" customHeight="1" thickBot="1">
      <c r="A60" s="3528"/>
      <c r="B60" s="1110"/>
      <c r="C60" s="3255" t="s">
        <v>404</v>
      </c>
      <c r="D60" s="3207"/>
      <c r="E60" s="3207"/>
      <c r="F60" s="3207"/>
      <c r="G60" s="3207"/>
      <c r="H60" s="3207"/>
      <c r="I60" s="3207"/>
      <c r="J60" s="3207"/>
      <c r="K60" s="3207"/>
      <c r="L60" s="3207"/>
      <c r="M60" s="3207"/>
      <c r="N60" s="3207"/>
      <c r="O60" s="3207"/>
      <c r="P60" s="3207"/>
      <c r="Q60" s="3207"/>
      <c r="R60" s="3207"/>
      <c r="S60" s="3207"/>
      <c r="T60" s="3207"/>
      <c r="U60" s="3207"/>
      <c r="V60" s="3207"/>
      <c r="W60" s="3207"/>
      <c r="X60" s="2928"/>
      <c r="Y60" s="2864">
        <v>0.51400000000000001</v>
      </c>
      <c r="Z60" s="2928">
        <v>4.8000000000000001E-2</v>
      </c>
      <c r="AA60" s="2928">
        <v>0.20100000000000001</v>
      </c>
      <c r="AB60" s="2928"/>
      <c r="AC60" s="2928"/>
      <c r="AD60" s="2928"/>
      <c r="AE60" s="2928"/>
      <c r="AF60" s="95"/>
      <c r="AG60" s="167"/>
      <c r="AH60" s="167"/>
      <c r="AI60" s="167"/>
      <c r="AJ60" s="167"/>
      <c r="AK60" s="167"/>
      <c r="AL60" s="44"/>
      <c r="AM60" s="61"/>
      <c r="AN60" s="95"/>
      <c r="AO60" s="167"/>
      <c r="AP60" s="167"/>
      <c r="AQ60" s="167"/>
      <c r="AR60" s="167"/>
      <c r="AS60" s="44"/>
      <c r="AT60" s="61"/>
      <c r="AU60" s="61"/>
      <c r="AV60" s="95"/>
      <c r="AW60" s="167"/>
      <c r="AX60" s="167"/>
      <c r="AY60" s="167"/>
      <c r="AZ60" s="167"/>
      <c r="BA60" s="44"/>
      <c r="BB60" s="61"/>
      <c r="BC60" s="61"/>
      <c r="BD60" s="95"/>
      <c r="BE60" s="167"/>
      <c r="BF60" s="167"/>
      <c r="BG60" s="167"/>
      <c r="BH60" s="44"/>
      <c r="BI60" s="61"/>
      <c r="BJ60" s="61"/>
      <c r="BK60" s="95"/>
      <c r="BL60" s="167"/>
      <c r="BM60" s="167"/>
      <c r="BN60" s="167"/>
      <c r="BO60" s="44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</row>
    <row r="61" spans="1:95" ht="15.75" customHeight="1">
      <c r="A61" s="114"/>
      <c r="B61" s="114"/>
      <c r="C61" s="775" t="s">
        <v>285</v>
      </c>
      <c r="D61" s="1025">
        <f>COUNTIF(D11:D44,"&lt;=10")</f>
        <v>0</v>
      </c>
      <c r="E61" s="1025">
        <f t="shared" ref="E61:T61" si="0">COUNTIF(E11:E44,"&lt;=10")</f>
        <v>0</v>
      </c>
      <c r="F61" s="1025">
        <f t="shared" si="0"/>
        <v>0</v>
      </c>
      <c r="G61" s="1025">
        <f t="shared" si="0"/>
        <v>0</v>
      </c>
      <c r="H61" s="1025">
        <f t="shared" si="0"/>
        <v>0</v>
      </c>
      <c r="I61" s="1025">
        <f t="shared" si="0"/>
        <v>34</v>
      </c>
      <c r="J61" s="1025">
        <f t="shared" si="0"/>
        <v>34</v>
      </c>
      <c r="K61" s="1025">
        <f t="shared" si="0"/>
        <v>33</v>
      </c>
      <c r="L61" s="1025">
        <f t="shared" si="0"/>
        <v>31</v>
      </c>
      <c r="M61" s="1025">
        <f t="shared" si="0"/>
        <v>0</v>
      </c>
      <c r="N61" s="2083">
        <f t="shared" si="0"/>
        <v>31</v>
      </c>
      <c r="O61" s="1025">
        <f t="shared" si="0"/>
        <v>0</v>
      </c>
      <c r="P61" s="1025">
        <f t="shared" si="0"/>
        <v>29</v>
      </c>
      <c r="Q61" s="1025">
        <f t="shared" si="0"/>
        <v>29</v>
      </c>
      <c r="R61" s="1025">
        <f t="shared" si="0"/>
        <v>29</v>
      </c>
      <c r="S61" s="1025">
        <f t="shared" si="0"/>
        <v>34</v>
      </c>
      <c r="T61" s="1025">
        <f t="shared" si="0"/>
        <v>13</v>
      </c>
      <c r="U61" s="1025">
        <f>COUNTIF(U11:U44,"&lt;=10")</f>
        <v>13</v>
      </c>
      <c r="V61" s="1025">
        <f t="shared" ref="V61:Y61" si="1">COUNTIF(V11:V44,"&lt;=10")</f>
        <v>11</v>
      </c>
      <c r="W61" s="1025">
        <f t="shared" si="1"/>
        <v>34</v>
      </c>
      <c r="X61" s="1025">
        <f>COUNTIF(AD11:AD44,"&lt;=10")</f>
        <v>0</v>
      </c>
      <c r="Y61" s="1025">
        <f t="shared" si="1"/>
        <v>33</v>
      </c>
      <c r="Z61" s="1025">
        <f>COUNTIF(Z11:Z44,"&lt;=7")</f>
        <v>33</v>
      </c>
      <c r="AA61" s="1025">
        <f>COUNTIF(AA11:AA44,"&lt;=7")</f>
        <v>33</v>
      </c>
      <c r="AB61" s="1025">
        <f t="shared" ref="AB61:AE61" si="2">COUNTIF(AB11:AB44,"&lt;=7")</f>
        <v>30</v>
      </c>
      <c r="AC61" s="1025">
        <f t="shared" si="2"/>
        <v>0</v>
      </c>
      <c r="AD61" s="1025">
        <f t="shared" si="2"/>
        <v>0</v>
      </c>
      <c r="AE61" s="1025">
        <f t="shared" si="2"/>
        <v>0</v>
      </c>
      <c r="AF61" s="70"/>
      <c r="AG61" s="168"/>
      <c r="AH61" s="168"/>
      <c r="AI61" s="168"/>
      <c r="AJ61" s="168"/>
      <c r="AK61" s="168"/>
      <c r="AL61" s="44"/>
      <c r="AM61" s="61"/>
      <c r="AN61" s="70"/>
      <c r="AO61" s="168"/>
      <c r="AP61" s="168"/>
      <c r="AQ61" s="168"/>
      <c r="AR61" s="168"/>
      <c r="AS61" s="44"/>
      <c r="AT61" s="61"/>
      <c r="AU61" s="61"/>
      <c r="AV61" s="70"/>
      <c r="AW61" s="168"/>
      <c r="AX61" s="168"/>
      <c r="AY61" s="168"/>
      <c r="AZ61" s="168"/>
      <c r="BA61" s="44"/>
      <c r="BB61" s="61"/>
      <c r="BC61" s="61"/>
      <c r="BD61" s="70"/>
      <c r="BE61" s="168"/>
      <c r="BF61" s="168"/>
      <c r="BG61" s="168"/>
      <c r="BH61" s="44"/>
      <c r="BI61" s="61"/>
      <c r="BJ61" s="61"/>
      <c r="BK61" s="70"/>
      <c r="BL61" s="168"/>
      <c r="BM61" s="168"/>
      <c r="BN61" s="168"/>
      <c r="BO61" s="44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</row>
    <row r="62" spans="1:95" ht="15" customHeight="1">
      <c r="A62" s="114"/>
      <c r="B62" s="114"/>
      <c r="C62" s="775" t="s">
        <v>287</v>
      </c>
      <c r="D62" s="1027">
        <f>COUNT(D11:D44)</f>
        <v>0</v>
      </c>
      <c r="E62" s="1027">
        <f t="shared" ref="E62:T62" si="3">COUNT(E11:E44)</f>
        <v>0</v>
      </c>
      <c r="F62" s="1027">
        <f t="shared" si="3"/>
        <v>0</v>
      </c>
      <c r="G62" s="1027">
        <f t="shared" si="3"/>
        <v>0</v>
      </c>
      <c r="H62" s="1027">
        <f t="shared" si="3"/>
        <v>0</v>
      </c>
      <c r="I62" s="1027">
        <f t="shared" si="3"/>
        <v>34</v>
      </c>
      <c r="J62" s="1027">
        <f t="shared" si="3"/>
        <v>34</v>
      </c>
      <c r="K62" s="1027">
        <f t="shared" si="3"/>
        <v>34</v>
      </c>
      <c r="L62" s="1027">
        <f t="shared" si="3"/>
        <v>31</v>
      </c>
      <c r="M62" s="1027">
        <f t="shared" si="3"/>
        <v>0</v>
      </c>
      <c r="N62" s="2084">
        <f t="shared" si="3"/>
        <v>31</v>
      </c>
      <c r="O62" s="1027">
        <f t="shared" si="3"/>
        <v>0</v>
      </c>
      <c r="P62" s="1027">
        <f t="shared" si="3"/>
        <v>29</v>
      </c>
      <c r="Q62" s="1027">
        <f t="shared" si="3"/>
        <v>29</v>
      </c>
      <c r="R62" s="1027">
        <f t="shared" si="3"/>
        <v>29</v>
      </c>
      <c r="S62" s="1027">
        <f t="shared" si="3"/>
        <v>34</v>
      </c>
      <c r="T62" s="1027">
        <f t="shared" si="3"/>
        <v>13</v>
      </c>
      <c r="U62" s="1027">
        <f t="shared" ref="U62:AA62" si="4">COUNT(U11:U44)</f>
        <v>13</v>
      </c>
      <c r="V62" s="1027">
        <f t="shared" si="4"/>
        <v>11</v>
      </c>
      <c r="W62" s="1027">
        <f t="shared" si="4"/>
        <v>34</v>
      </c>
      <c r="X62" s="1027">
        <f>COUNT(AD11:AD44)</f>
        <v>0</v>
      </c>
      <c r="Y62" s="1027">
        <f t="shared" si="4"/>
        <v>33</v>
      </c>
      <c r="Z62" s="1027">
        <f t="shared" si="4"/>
        <v>33</v>
      </c>
      <c r="AA62" s="1027">
        <f t="shared" si="4"/>
        <v>33</v>
      </c>
      <c r="AB62" s="1027">
        <f t="shared" ref="AB62:AE62" si="5">COUNT(AB11:AB44)</f>
        <v>30</v>
      </c>
      <c r="AC62" s="1027">
        <f t="shared" si="5"/>
        <v>0</v>
      </c>
      <c r="AD62" s="1027">
        <f t="shared" si="5"/>
        <v>0</v>
      </c>
      <c r="AE62" s="1027">
        <f t="shared" si="5"/>
        <v>0</v>
      </c>
      <c r="AF62" s="70"/>
      <c r="AG62" s="40"/>
      <c r="AH62" s="40"/>
      <c r="AI62" s="40"/>
      <c r="AJ62" s="40"/>
      <c r="AK62" s="40"/>
      <c r="AL62" s="44"/>
      <c r="AM62" s="61"/>
      <c r="AN62" s="70"/>
      <c r="AO62" s="40"/>
      <c r="AP62" s="40"/>
      <c r="AQ62" s="40"/>
      <c r="AR62" s="40"/>
      <c r="AS62" s="44"/>
      <c r="AT62" s="61"/>
      <c r="AU62" s="61"/>
      <c r="AV62" s="70"/>
      <c r="AW62" s="40"/>
      <c r="AX62" s="40"/>
      <c r="AY62" s="40"/>
      <c r="AZ62" s="40"/>
      <c r="BA62" s="44"/>
      <c r="BB62" s="61"/>
      <c r="BC62" s="61"/>
      <c r="BD62" s="70"/>
      <c r="BE62" s="40"/>
      <c r="BF62" s="40"/>
      <c r="BG62" s="40"/>
      <c r="BH62" s="44"/>
      <c r="BI62" s="61"/>
      <c r="BJ62" s="61"/>
      <c r="BK62" s="70"/>
      <c r="BL62" s="40"/>
      <c r="BM62" s="40"/>
      <c r="BN62" s="40"/>
      <c r="BO62" s="44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</row>
    <row r="63" spans="1:95" ht="15" customHeight="1">
      <c r="A63" s="114"/>
      <c r="B63" s="114"/>
      <c r="C63" s="775" t="s">
        <v>286</v>
      </c>
      <c r="D63" s="1026" t="e">
        <f>D61/D62</f>
        <v>#DIV/0!</v>
      </c>
      <c r="E63" s="1026" t="e">
        <f t="shared" ref="E63:T63" si="6">E61/E62</f>
        <v>#DIV/0!</v>
      </c>
      <c r="F63" s="1026" t="e">
        <f t="shared" si="6"/>
        <v>#DIV/0!</v>
      </c>
      <c r="G63" s="1026" t="e">
        <f t="shared" si="6"/>
        <v>#DIV/0!</v>
      </c>
      <c r="H63" s="1026" t="e">
        <f t="shared" si="6"/>
        <v>#DIV/0!</v>
      </c>
      <c r="I63" s="1026">
        <f t="shared" si="6"/>
        <v>1</v>
      </c>
      <c r="J63" s="1026">
        <f t="shared" si="6"/>
        <v>1</v>
      </c>
      <c r="K63" s="1026">
        <f t="shared" si="6"/>
        <v>0.97058823529411764</v>
      </c>
      <c r="L63" s="1026">
        <f t="shared" si="6"/>
        <v>1</v>
      </c>
      <c r="M63" s="1026" t="e">
        <f t="shared" si="6"/>
        <v>#DIV/0!</v>
      </c>
      <c r="N63" s="2085">
        <f t="shared" si="6"/>
        <v>1</v>
      </c>
      <c r="O63" s="1026" t="e">
        <f t="shared" si="6"/>
        <v>#DIV/0!</v>
      </c>
      <c r="P63" s="1026">
        <f t="shared" si="6"/>
        <v>1</v>
      </c>
      <c r="Q63" s="1026">
        <f t="shared" si="6"/>
        <v>1</v>
      </c>
      <c r="R63" s="1026">
        <f t="shared" si="6"/>
        <v>1</v>
      </c>
      <c r="S63" s="1026">
        <f t="shared" si="6"/>
        <v>1</v>
      </c>
      <c r="T63" s="1026">
        <f t="shared" si="6"/>
        <v>1</v>
      </c>
      <c r="U63" s="1026">
        <f>U61/U62</f>
        <v>1</v>
      </c>
      <c r="V63" s="1026">
        <f t="shared" ref="V63:AA63" si="7">V61/V62</f>
        <v>1</v>
      </c>
      <c r="W63" s="1026">
        <f t="shared" si="7"/>
        <v>1</v>
      </c>
      <c r="X63" s="1026" t="e">
        <f t="shared" si="7"/>
        <v>#DIV/0!</v>
      </c>
      <c r="Y63" s="1026">
        <f t="shared" si="7"/>
        <v>1</v>
      </c>
      <c r="Z63" s="1026">
        <f t="shared" si="7"/>
        <v>1</v>
      </c>
      <c r="AA63" s="1026">
        <f t="shared" si="7"/>
        <v>1</v>
      </c>
      <c r="AB63" s="1026">
        <f t="shared" ref="AB63:AE63" si="8">AB61/AB62</f>
        <v>1</v>
      </c>
      <c r="AC63" s="1026" t="e">
        <f t="shared" si="8"/>
        <v>#DIV/0!</v>
      </c>
      <c r="AD63" s="1026" t="e">
        <f t="shared" si="8"/>
        <v>#DIV/0!</v>
      </c>
      <c r="AE63" s="1026" t="e">
        <f t="shared" si="8"/>
        <v>#DIV/0!</v>
      </c>
      <c r="AF63" s="70"/>
      <c r="AG63" s="61"/>
      <c r="AH63" s="61"/>
      <c r="AI63" s="61"/>
      <c r="AJ63" s="61"/>
      <c r="AK63" s="61"/>
      <c r="AL63" s="44"/>
      <c r="AM63" s="61"/>
      <c r="AN63" s="70"/>
      <c r="AO63" s="61"/>
      <c r="AP63" s="61"/>
      <c r="AQ63" s="61"/>
      <c r="AR63" s="61"/>
      <c r="AS63" s="44"/>
      <c r="AT63" s="61"/>
      <c r="AU63" s="61"/>
      <c r="AV63" s="70"/>
      <c r="AW63" s="61"/>
      <c r="AX63" s="61"/>
      <c r="AY63" s="61"/>
      <c r="AZ63" s="61"/>
      <c r="BA63" s="44"/>
      <c r="BB63" s="61"/>
      <c r="BC63" s="61"/>
      <c r="BD63" s="70"/>
      <c r="BE63" s="61"/>
      <c r="BF63" s="61"/>
      <c r="BG63" s="61"/>
      <c r="BH63" s="44"/>
      <c r="BI63" s="61"/>
      <c r="BJ63" s="61"/>
      <c r="BK63" s="70"/>
      <c r="BL63" s="61"/>
      <c r="BM63" s="61"/>
      <c r="BN63" s="61"/>
      <c r="BO63" s="44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1"/>
      <c r="CP63" s="61"/>
      <c r="CQ63" s="61"/>
    </row>
    <row r="64" spans="1:95" ht="15" customHeight="1">
      <c r="A64" s="108"/>
      <c r="B64" s="108"/>
      <c r="C64" s="125"/>
      <c r="D64" s="128"/>
      <c r="E64" s="128"/>
      <c r="F64" s="128"/>
      <c r="G64" s="128"/>
      <c r="H64" s="128"/>
      <c r="I64" s="223"/>
      <c r="J64" s="206"/>
      <c r="K64" s="238"/>
      <c r="L64" s="107"/>
      <c r="M64" s="120"/>
      <c r="N64" s="2086"/>
      <c r="O64" s="120"/>
      <c r="P64" s="120"/>
      <c r="Q64" s="120"/>
      <c r="R64" s="120"/>
      <c r="S64" s="120"/>
      <c r="T64" s="120"/>
      <c r="U64" s="120"/>
      <c r="V64" s="120"/>
      <c r="W64" s="120"/>
      <c r="X64" s="767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</row>
    <row r="65" spans="1:105" ht="15" customHeight="1">
      <c r="A65" s="108"/>
      <c r="B65" s="108"/>
      <c r="C65" s="125"/>
      <c r="D65" s="128"/>
      <c r="E65" s="128"/>
      <c r="F65" s="3594"/>
      <c r="G65" s="3594"/>
      <c r="H65" s="3594"/>
      <c r="I65" s="3594"/>
      <c r="J65" s="107"/>
      <c r="K65" s="238"/>
      <c r="L65" s="107"/>
      <c r="M65" s="120"/>
      <c r="N65" s="3594"/>
      <c r="O65" s="3594"/>
      <c r="P65" s="3594"/>
      <c r="Q65" s="3594"/>
      <c r="R65" s="120"/>
      <c r="S65" s="120"/>
      <c r="T65" s="120"/>
      <c r="U65" s="120"/>
      <c r="V65" s="120"/>
      <c r="W65" s="120"/>
      <c r="X65" s="767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17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</row>
    <row r="66" spans="1:105" ht="15.75" customHeight="1" thickBot="1">
      <c r="A66" s="328" t="s">
        <v>126</v>
      </c>
      <c r="B66" s="113"/>
      <c r="C66" s="125"/>
      <c r="D66" s="128"/>
      <c r="E66" s="128"/>
      <c r="F66" s="3594"/>
      <c r="G66" s="3594"/>
      <c r="H66" s="3594"/>
      <c r="I66" s="3594"/>
      <c r="J66" s="107"/>
      <c r="K66" s="535"/>
      <c r="L66" s="107"/>
      <c r="M66" s="120"/>
      <c r="N66" s="3594"/>
      <c r="O66" s="3594"/>
      <c r="P66" s="3594"/>
      <c r="Q66" s="3594"/>
      <c r="R66" s="120"/>
      <c r="S66" s="120"/>
      <c r="T66" s="120"/>
      <c r="U66" s="120"/>
      <c r="V66" s="120"/>
      <c r="W66" s="120"/>
      <c r="X66" s="767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1"/>
      <c r="CP66" s="61"/>
      <c r="CQ66" s="61"/>
    </row>
    <row r="67" spans="1:105">
      <c r="A67" s="1023" t="s">
        <v>42</v>
      </c>
      <c r="B67" s="995">
        <f>COUNTA(C67:C73)</f>
        <v>7</v>
      </c>
      <c r="C67" s="1161" t="s">
        <v>53</v>
      </c>
      <c r="D67" s="1112">
        <v>7.87</v>
      </c>
      <c r="E67" s="1114">
        <v>7.9</v>
      </c>
      <c r="F67" s="1114">
        <v>6.6</v>
      </c>
      <c r="G67" s="1162">
        <v>6.6</v>
      </c>
      <c r="H67" s="1158">
        <v>5.29</v>
      </c>
      <c r="I67" s="1114">
        <v>5.6</v>
      </c>
      <c r="J67" s="1185">
        <v>7.9</v>
      </c>
      <c r="K67" s="1381">
        <v>8.0299999999999994</v>
      </c>
      <c r="L67" s="1445">
        <v>7.6</v>
      </c>
      <c r="M67" s="1118">
        <v>9.8000000000000007</v>
      </c>
      <c r="N67" s="2082">
        <v>9.23</v>
      </c>
      <c r="O67" s="1207"/>
      <c r="P67" s="2219">
        <v>9.76</v>
      </c>
      <c r="Q67" s="1119">
        <v>8.1999999999999993</v>
      </c>
      <c r="R67" s="1119">
        <v>8.4</v>
      </c>
      <c r="S67" s="1120">
        <v>9.23</v>
      </c>
      <c r="T67" s="1240">
        <v>6.73</v>
      </c>
      <c r="U67" s="2926">
        <v>9</v>
      </c>
      <c r="V67" s="2926">
        <v>9.6</v>
      </c>
      <c r="W67" s="2926">
        <v>7.93</v>
      </c>
      <c r="X67" s="3111">
        <v>6.87</v>
      </c>
      <c r="Y67" s="2926">
        <v>7</v>
      </c>
      <c r="Z67" s="2926">
        <v>1.74</v>
      </c>
      <c r="AA67" s="2926">
        <v>1.2</v>
      </c>
      <c r="AB67" s="2926">
        <v>1.68</v>
      </c>
      <c r="AC67" s="2926"/>
      <c r="AD67" s="2926"/>
      <c r="AE67" s="2926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1"/>
      <c r="CN67" s="61"/>
      <c r="CO67" s="61"/>
      <c r="CP67" s="61"/>
      <c r="CQ67" s="61"/>
    </row>
    <row r="68" spans="1:105">
      <c r="A68" s="1199" t="s">
        <v>42</v>
      </c>
      <c r="B68" s="996"/>
      <c r="C68" s="1163" t="s">
        <v>377</v>
      </c>
      <c r="D68" s="1122">
        <v>12.4</v>
      </c>
      <c r="E68" s="1003">
        <v>9.25</v>
      </c>
      <c r="F68" s="1003">
        <v>10.5</v>
      </c>
      <c r="G68" s="1164">
        <v>14</v>
      </c>
      <c r="H68" s="718">
        <v>5.04</v>
      </c>
      <c r="I68" s="1003">
        <v>8.32</v>
      </c>
      <c r="J68" s="1188">
        <v>11.53</v>
      </c>
      <c r="K68" s="1382">
        <v>10.86</v>
      </c>
      <c r="L68" s="1446"/>
      <c r="M68" s="1126">
        <v>12</v>
      </c>
      <c r="N68" s="2080">
        <v>10.43</v>
      </c>
      <c r="O68" s="1208"/>
      <c r="P68" s="2195">
        <v>10.56</v>
      </c>
      <c r="Q68" s="1127">
        <v>12.65</v>
      </c>
      <c r="R68" s="1127">
        <v>11.4</v>
      </c>
      <c r="S68" s="1128">
        <v>11.6</v>
      </c>
      <c r="T68" s="1243">
        <v>12.55</v>
      </c>
      <c r="U68" s="2927" t="s">
        <v>109</v>
      </c>
      <c r="V68" s="2927">
        <v>13.17</v>
      </c>
      <c r="W68" s="2927">
        <v>13.17</v>
      </c>
      <c r="X68" s="2450">
        <v>12.83</v>
      </c>
      <c r="Y68" s="2927">
        <v>8.4</v>
      </c>
      <c r="Z68" s="2927">
        <v>2.86</v>
      </c>
      <c r="AA68" s="2927">
        <v>4.01</v>
      </c>
      <c r="AB68" s="2927">
        <v>3.13</v>
      </c>
      <c r="AC68" s="2927"/>
      <c r="AD68" s="2927"/>
      <c r="AE68" s="2927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1"/>
      <c r="CQ68" s="61"/>
    </row>
    <row r="69" spans="1:105">
      <c r="A69" s="1199" t="s">
        <v>42</v>
      </c>
      <c r="B69" s="996"/>
      <c r="C69" s="1121" t="s">
        <v>64</v>
      </c>
      <c r="D69" s="1122">
        <v>7.67</v>
      </c>
      <c r="E69" s="1122">
        <v>7.6</v>
      </c>
      <c r="F69" s="1122">
        <v>7.2</v>
      </c>
      <c r="G69" s="1123">
        <v>5.8</v>
      </c>
      <c r="H69" s="1124">
        <v>7.3</v>
      </c>
      <c r="I69" s="1122">
        <v>7.1</v>
      </c>
      <c r="J69" s="1188">
        <v>8.33</v>
      </c>
      <c r="K69" s="1382">
        <v>7.23</v>
      </c>
      <c r="L69" s="1446">
        <v>8.9</v>
      </c>
      <c r="M69" s="1126">
        <v>9.1999999999999993</v>
      </c>
      <c r="N69" s="2080">
        <v>8.77</v>
      </c>
      <c r="O69" s="1208"/>
      <c r="P69" s="2195">
        <v>9.86</v>
      </c>
      <c r="Q69" s="1127">
        <v>8.4</v>
      </c>
      <c r="R69" s="1127">
        <v>8.3000000000000007</v>
      </c>
      <c r="S69" s="1128">
        <v>8.66</v>
      </c>
      <c r="T69" s="1243">
        <v>8.1300000000000008</v>
      </c>
      <c r="U69" s="2927">
        <v>8.27</v>
      </c>
      <c r="V69" s="2927">
        <v>8.57</v>
      </c>
      <c r="W69" s="2927">
        <v>9.5</v>
      </c>
      <c r="X69" s="2450">
        <v>9.0299999999999994</v>
      </c>
      <c r="Y69" s="2927">
        <v>11.67</v>
      </c>
      <c r="Z69" s="2927">
        <v>2.99</v>
      </c>
      <c r="AA69" s="2927">
        <v>1.58</v>
      </c>
      <c r="AB69" s="2927">
        <v>2.09</v>
      </c>
      <c r="AC69" s="2927"/>
      <c r="AD69" s="2927"/>
      <c r="AE69" s="2927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  <c r="CP69" s="61"/>
      <c r="CQ69" s="61"/>
    </row>
    <row r="70" spans="1:105">
      <c r="A70" s="1199" t="s">
        <v>42</v>
      </c>
      <c r="B70" s="996"/>
      <c r="C70" s="1163" t="s">
        <v>63</v>
      </c>
      <c r="D70" s="1122">
        <v>8.6300000000000008</v>
      </c>
      <c r="E70" s="1003">
        <v>7.1</v>
      </c>
      <c r="F70" s="1003">
        <v>6.7</v>
      </c>
      <c r="G70" s="1164">
        <v>6.6</v>
      </c>
      <c r="H70" s="718">
        <v>6.76</v>
      </c>
      <c r="I70" s="1003">
        <v>5.3</v>
      </c>
      <c r="J70" s="1188">
        <v>6.5</v>
      </c>
      <c r="K70" s="1382">
        <v>8.4</v>
      </c>
      <c r="L70" s="1446">
        <v>9.4700000000000006</v>
      </c>
      <c r="M70" s="1126">
        <v>10</v>
      </c>
      <c r="N70" s="2080">
        <v>9.4700000000000006</v>
      </c>
      <c r="O70" s="1208"/>
      <c r="P70" s="2195">
        <v>9.01</v>
      </c>
      <c r="Q70" s="1127">
        <v>8.6999999999999993</v>
      </c>
      <c r="R70" s="1127">
        <v>9.1999999999999993</v>
      </c>
      <c r="S70" s="1128">
        <v>10.76</v>
      </c>
      <c r="T70" s="1243">
        <v>10.56</v>
      </c>
      <c r="U70" s="2927">
        <v>10.97</v>
      </c>
      <c r="V70" s="2927">
        <v>10.83</v>
      </c>
      <c r="W70" s="2927">
        <v>12.3</v>
      </c>
      <c r="X70" s="2450">
        <v>12.13</v>
      </c>
      <c r="Y70" s="2927">
        <v>10.37</v>
      </c>
      <c r="Z70" s="2927">
        <v>3.73</v>
      </c>
      <c r="AA70" s="2927">
        <v>2.95</v>
      </c>
      <c r="AB70" s="2927">
        <v>2.2200000000000002</v>
      </c>
      <c r="AC70" s="2927"/>
      <c r="AD70" s="2927"/>
      <c r="AE70" s="2927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</row>
    <row r="71" spans="1:105">
      <c r="A71" s="1199" t="s">
        <v>42</v>
      </c>
      <c r="B71" s="996"/>
      <c r="C71" s="1163" t="s">
        <v>62</v>
      </c>
      <c r="D71" s="1122">
        <v>6.9</v>
      </c>
      <c r="E71" s="1003">
        <v>6.3</v>
      </c>
      <c r="F71" s="1003">
        <v>5.3</v>
      </c>
      <c r="G71" s="1164">
        <v>7.1</v>
      </c>
      <c r="H71" s="718">
        <v>7.14</v>
      </c>
      <c r="I71" s="1003">
        <v>6.6</v>
      </c>
      <c r="J71" s="1188">
        <v>6.65</v>
      </c>
      <c r="K71" s="1382">
        <v>7.7</v>
      </c>
      <c r="L71" s="1446">
        <v>8.5299999999999994</v>
      </c>
      <c r="M71" s="1447">
        <v>9.6</v>
      </c>
      <c r="N71" s="1354">
        <v>9.3000000000000007</v>
      </c>
      <c r="O71" s="2109"/>
      <c r="P71" s="2225">
        <v>10.119999999999999</v>
      </c>
      <c r="Q71" s="1448">
        <v>8.6</v>
      </c>
      <c r="R71" s="1449">
        <v>8.6</v>
      </c>
      <c r="S71" s="1450">
        <v>9.6300000000000008</v>
      </c>
      <c r="T71" s="3014">
        <v>6.7</v>
      </c>
      <c r="U71" s="3015">
        <v>8.1</v>
      </c>
      <c r="V71" s="3015">
        <v>8</v>
      </c>
      <c r="W71" s="3015">
        <v>8.6999999999999993</v>
      </c>
      <c r="X71" s="3166">
        <v>8.07</v>
      </c>
      <c r="Y71" s="3015">
        <v>9.67</v>
      </c>
      <c r="Z71" s="3015">
        <v>2.0499999999999998</v>
      </c>
      <c r="AA71" s="3015">
        <v>2.25</v>
      </c>
      <c r="AB71" s="3015">
        <v>1.48</v>
      </c>
      <c r="AC71" s="3015"/>
      <c r="AD71" s="3015"/>
      <c r="AE71" s="3015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</row>
    <row r="72" spans="1:105">
      <c r="A72" s="1199" t="s">
        <v>42</v>
      </c>
      <c r="B72" s="996"/>
      <c r="C72" s="1163" t="s">
        <v>43</v>
      </c>
      <c r="D72" s="1122">
        <v>7.4</v>
      </c>
      <c r="E72" s="1003">
        <v>5.7</v>
      </c>
      <c r="F72" s="1003">
        <v>6.2</v>
      </c>
      <c r="G72" s="1164">
        <v>6.3</v>
      </c>
      <c r="H72" s="718">
        <v>6.08</v>
      </c>
      <c r="I72" s="1003">
        <v>4.7</v>
      </c>
      <c r="J72" s="1188">
        <v>7.85</v>
      </c>
      <c r="K72" s="1382">
        <v>7</v>
      </c>
      <c r="L72" s="1446">
        <v>7.53</v>
      </c>
      <c r="M72" s="1451">
        <v>8.4</v>
      </c>
      <c r="N72" s="1354">
        <v>8.0299999999999994</v>
      </c>
      <c r="O72" s="2104"/>
      <c r="P72" s="2225">
        <v>8.9499999999999993</v>
      </c>
      <c r="Q72" s="1452">
        <v>8.4499999999999993</v>
      </c>
      <c r="R72" s="1420">
        <v>8.9</v>
      </c>
      <c r="S72" s="1128">
        <v>8.9</v>
      </c>
      <c r="T72" s="1243">
        <v>7.8</v>
      </c>
      <c r="U72" s="2927">
        <v>8.23</v>
      </c>
      <c r="V72" s="3015">
        <v>8.0299999999999994</v>
      </c>
      <c r="W72" s="3015">
        <v>8.67</v>
      </c>
      <c r="X72" s="2450">
        <v>7.7</v>
      </c>
      <c r="Y72" s="3172">
        <v>11.07</v>
      </c>
      <c r="Z72" s="3172">
        <v>2.76</v>
      </c>
      <c r="AA72" s="3172">
        <v>1.0900000000000001</v>
      </c>
      <c r="AB72" s="3172">
        <v>1.55</v>
      </c>
      <c r="AC72" s="3172"/>
      <c r="AD72" s="3172"/>
      <c r="AE72" s="3172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</row>
    <row r="73" spans="1:105" ht="15.75" thickBot="1">
      <c r="A73" s="1205" t="s">
        <v>42</v>
      </c>
      <c r="B73" s="997"/>
      <c r="C73" s="1165" t="s">
        <v>65</v>
      </c>
      <c r="D73" s="1146">
        <v>8.3699999999999992</v>
      </c>
      <c r="E73" s="1147">
        <v>10.7</v>
      </c>
      <c r="F73" s="1147">
        <v>9.6999999999999993</v>
      </c>
      <c r="G73" s="1166">
        <v>10.37</v>
      </c>
      <c r="H73" s="1160">
        <v>5.7</v>
      </c>
      <c r="I73" s="1147">
        <v>8</v>
      </c>
      <c r="J73" s="1193">
        <v>9.5299999999999994</v>
      </c>
      <c r="K73" s="1383">
        <v>9.8000000000000007</v>
      </c>
      <c r="L73" s="1453">
        <v>10.97</v>
      </c>
      <c r="M73" s="1365">
        <v>11.8</v>
      </c>
      <c r="N73" s="2073">
        <v>11</v>
      </c>
      <c r="O73" s="2110"/>
      <c r="P73" s="2226">
        <v>11.21</v>
      </c>
      <c r="Q73" s="1454"/>
      <c r="R73" s="1427">
        <v>10.8</v>
      </c>
      <c r="S73" s="634">
        <v>10.16</v>
      </c>
      <c r="T73" s="1246">
        <v>12.6</v>
      </c>
      <c r="U73" s="2928">
        <v>10.9</v>
      </c>
      <c r="V73" s="3165">
        <v>12.43</v>
      </c>
      <c r="W73" s="3165">
        <v>12.23</v>
      </c>
      <c r="X73" s="3112">
        <v>12.1</v>
      </c>
      <c r="Y73" s="3167">
        <v>6.57</v>
      </c>
      <c r="Z73" s="3167">
        <v>3.46</v>
      </c>
      <c r="AA73" s="3167">
        <v>2.64</v>
      </c>
      <c r="AB73" s="3167">
        <v>1.57</v>
      </c>
      <c r="AC73" s="3167"/>
      <c r="AD73" s="3167"/>
      <c r="AE73" s="3167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</row>
    <row r="74" spans="1:105">
      <c r="A74" s="1023" t="s">
        <v>49</v>
      </c>
      <c r="B74" s="995">
        <f>COUNTA(C74:C82)</f>
        <v>9</v>
      </c>
      <c r="C74" s="1161" t="s">
        <v>59</v>
      </c>
      <c r="D74" s="1112">
        <v>7.4</v>
      </c>
      <c r="E74" s="1114">
        <v>7</v>
      </c>
      <c r="F74" s="1114">
        <v>6.9</v>
      </c>
      <c r="G74" s="1162">
        <v>0</v>
      </c>
      <c r="H74" s="1158">
        <v>7.88</v>
      </c>
      <c r="I74" s="1114">
        <v>6.8</v>
      </c>
      <c r="J74" s="1186">
        <v>7.26</v>
      </c>
      <c r="K74" s="1381">
        <v>7.13</v>
      </c>
      <c r="L74" s="1117">
        <v>8.4</v>
      </c>
      <c r="M74" s="1269">
        <v>10</v>
      </c>
      <c r="N74" s="2074">
        <v>9.6</v>
      </c>
      <c r="O74" s="2111"/>
      <c r="P74" s="2207">
        <v>9.9</v>
      </c>
      <c r="Q74" s="1455">
        <v>8.75</v>
      </c>
      <c r="R74" s="1429">
        <v>7.4</v>
      </c>
      <c r="S74" s="1120">
        <v>6.3</v>
      </c>
      <c r="T74" s="3011">
        <v>7.13</v>
      </c>
      <c r="U74" s="2926">
        <v>6.57</v>
      </c>
      <c r="V74" s="2926">
        <v>9.1300000000000008</v>
      </c>
      <c r="W74" s="3168">
        <v>8.9</v>
      </c>
      <c r="X74" s="3111">
        <v>7.93</v>
      </c>
      <c r="Y74" s="3169">
        <v>8.57</v>
      </c>
      <c r="Z74" s="3336">
        <v>5.15</v>
      </c>
      <c r="AA74" s="3169">
        <v>2.5099999999999998</v>
      </c>
      <c r="AB74" s="3169">
        <v>1.58</v>
      </c>
      <c r="AC74" s="3169"/>
      <c r="AD74" s="3169"/>
      <c r="AE74" s="3169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</row>
    <row r="75" spans="1:105">
      <c r="A75" s="1199" t="s">
        <v>49</v>
      </c>
      <c r="B75" s="996"/>
      <c r="C75" s="1163" t="s">
        <v>61</v>
      </c>
      <c r="D75" s="1122">
        <v>5.43</v>
      </c>
      <c r="E75" s="1003">
        <v>4.2</v>
      </c>
      <c r="F75" s="1003">
        <v>3.7</v>
      </c>
      <c r="G75" s="1164">
        <v>5.4</v>
      </c>
      <c r="H75" s="718">
        <v>8.3699999999999992</v>
      </c>
      <c r="I75" s="1003">
        <v>6.12</v>
      </c>
      <c r="J75" s="1189">
        <v>6.16</v>
      </c>
      <c r="K75" s="1382">
        <v>7.53</v>
      </c>
      <c r="L75" s="1125">
        <v>8.57</v>
      </c>
      <c r="M75" s="1274">
        <v>10.5</v>
      </c>
      <c r="N75" s="2075">
        <v>9.0299999999999994</v>
      </c>
      <c r="O75" s="2112"/>
      <c r="P75" s="2208">
        <v>9.8000000000000007</v>
      </c>
      <c r="Q75" s="1456">
        <v>8.5</v>
      </c>
      <c r="R75" s="1420">
        <v>7.2</v>
      </c>
      <c r="S75" s="1128">
        <v>7.23</v>
      </c>
      <c r="T75" s="3012">
        <v>8.1999999999999993</v>
      </c>
      <c r="U75" s="2927">
        <v>8.1</v>
      </c>
      <c r="V75" s="2927">
        <v>8.1</v>
      </c>
      <c r="W75" s="3015">
        <v>7.93</v>
      </c>
      <c r="X75" s="2450">
        <v>8.83</v>
      </c>
      <c r="Y75" s="3170">
        <v>8.57</v>
      </c>
      <c r="Z75" s="3268">
        <v>2.63</v>
      </c>
      <c r="AA75" s="3170">
        <v>1.68</v>
      </c>
      <c r="AB75" s="3170">
        <v>0.88</v>
      </c>
      <c r="AC75" s="3170"/>
      <c r="AD75" s="3170"/>
      <c r="AE75" s="3170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</row>
    <row r="76" spans="1:105">
      <c r="A76" s="1199" t="s">
        <v>49</v>
      </c>
      <c r="B76" s="996"/>
      <c r="C76" s="1163" t="s">
        <v>52</v>
      </c>
      <c r="D76" s="1122">
        <v>7.4</v>
      </c>
      <c r="E76" s="1003">
        <v>5.5</v>
      </c>
      <c r="F76" s="1003">
        <v>5.3</v>
      </c>
      <c r="G76" s="1164">
        <v>5</v>
      </c>
      <c r="H76" s="718">
        <v>8.34</v>
      </c>
      <c r="I76" s="1003">
        <v>7.1</v>
      </c>
      <c r="J76" s="1189">
        <v>7.2</v>
      </c>
      <c r="K76" s="1382">
        <v>7.43</v>
      </c>
      <c r="L76" s="1125">
        <v>7.57</v>
      </c>
      <c r="M76" s="1430">
        <v>9.3000000000000007</v>
      </c>
      <c r="N76" s="2075">
        <v>9.1329999999999991</v>
      </c>
      <c r="O76" s="2112"/>
      <c r="P76" s="2208">
        <v>8.8000000000000007</v>
      </c>
      <c r="Q76" s="1456">
        <v>9.1</v>
      </c>
      <c r="R76" s="1420">
        <v>7.5</v>
      </c>
      <c r="S76" s="1128">
        <v>6.56</v>
      </c>
      <c r="T76" s="3012">
        <v>7.33</v>
      </c>
      <c r="U76" s="2927">
        <v>7.03</v>
      </c>
      <c r="V76" s="2927">
        <v>7.8</v>
      </c>
      <c r="W76" s="3015">
        <v>7.9</v>
      </c>
      <c r="X76" s="2450">
        <v>7.8</v>
      </c>
      <c r="Y76" s="3171">
        <v>7</v>
      </c>
      <c r="Z76" s="3268">
        <v>2.74</v>
      </c>
      <c r="AA76" s="3171">
        <v>1.55</v>
      </c>
      <c r="AB76" s="3171">
        <v>1.57</v>
      </c>
      <c r="AC76" s="3171"/>
      <c r="AD76" s="3171"/>
      <c r="AE76" s="317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</row>
    <row r="77" spans="1:105" s="4" customFormat="1">
      <c r="A77" s="1199" t="s">
        <v>49</v>
      </c>
      <c r="B77" s="996"/>
      <c r="C77" s="1163" t="s">
        <v>193</v>
      </c>
      <c r="D77" s="1122">
        <v>7.53</v>
      </c>
      <c r="E77" s="1003">
        <v>7</v>
      </c>
      <c r="F77" s="1003">
        <v>6.8</v>
      </c>
      <c r="G77" s="1164">
        <v>6.5</v>
      </c>
      <c r="H77" s="718">
        <v>5.28</v>
      </c>
      <c r="I77" s="1003">
        <v>5.65</v>
      </c>
      <c r="J77" s="1189">
        <v>6.83</v>
      </c>
      <c r="K77" s="1382">
        <v>9.6</v>
      </c>
      <c r="L77" s="1125">
        <v>10.77</v>
      </c>
      <c r="M77" s="1274">
        <v>10.5</v>
      </c>
      <c r="N77" s="2076">
        <v>10</v>
      </c>
      <c r="O77" s="2113"/>
      <c r="P77" s="2209">
        <v>10.8</v>
      </c>
      <c r="Q77" s="1457">
        <v>9.25</v>
      </c>
      <c r="R77" s="1420">
        <v>8.6999999999999993</v>
      </c>
      <c r="S77" s="1128">
        <v>9.2100000000000009</v>
      </c>
      <c r="T77" s="3012">
        <v>10.53</v>
      </c>
      <c r="U77" s="2927">
        <v>10</v>
      </c>
      <c r="V77" s="2927">
        <v>9.6999999999999993</v>
      </c>
      <c r="W77" s="3015">
        <v>10.1</v>
      </c>
      <c r="X77" s="2450">
        <v>10.7</v>
      </c>
      <c r="Y77" s="3170">
        <v>9.1999999999999993</v>
      </c>
      <c r="Z77" s="3268">
        <v>2.72</v>
      </c>
      <c r="AA77" s="3170">
        <v>2.4500000000000002</v>
      </c>
      <c r="AB77" s="3170">
        <v>1.21</v>
      </c>
      <c r="AC77" s="3170"/>
      <c r="AD77" s="3170"/>
      <c r="AE77" s="3170"/>
      <c r="BB77" s="83"/>
      <c r="BC77" s="83"/>
      <c r="BD77" s="83"/>
      <c r="BE77" s="83"/>
      <c r="BF77" s="83"/>
      <c r="BG77" s="83"/>
      <c r="BH77" s="83"/>
      <c r="BI77" s="83"/>
      <c r="BJ77" s="83"/>
      <c r="BK77" s="83"/>
      <c r="BL77" s="83"/>
      <c r="BM77" s="83"/>
      <c r="BN77" s="83"/>
      <c r="BO77" s="83"/>
      <c r="BP77" s="83"/>
      <c r="BQ77" s="83"/>
      <c r="BR77" s="83"/>
      <c r="BS77" s="83"/>
      <c r="BT77" s="83"/>
      <c r="BU77" s="83"/>
      <c r="BV77" s="83"/>
      <c r="CE77" s="83"/>
      <c r="CF77" s="83"/>
      <c r="CG77" s="83"/>
      <c r="CH77" s="83"/>
      <c r="CI77" s="83"/>
      <c r="CJ77" s="83"/>
      <c r="CK77" s="83"/>
      <c r="CL77" s="83"/>
      <c r="CM77" s="83"/>
      <c r="CN77" s="83"/>
      <c r="CO77" s="83"/>
      <c r="CP77" s="83"/>
      <c r="CQ77" s="83"/>
      <c r="CR77" s="83"/>
      <c r="CS77" s="83"/>
      <c r="CT77" s="83"/>
      <c r="CU77" s="83"/>
      <c r="CV77" s="83"/>
      <c r="CW77" s="83"/>
      <c r="CX77" s="83"/>
      <c r="CY77" s="83"/>
      <c r="CZ77" s="83"/>
      <c r="DA77" s="83"/>
    </row>
    <row r="78" spans="1:105" s="4" customFormat="1">
      <c r="A78" s="1199" t="s">
        <v>49</v>
      </c>
      <c r="B78" s="996"/>
      <c r="C78" s="1163" t="s">
        <v>50</v>
      </c>
      <c r="D78" s="1122">
        <v>6.97</v>
      </c>
      <c r="E78" s="1003">
        <v>6.5</v>
      </c>
      <c r="F78" s="1003">
        <v>5.3</v>
      </c>
      <c r="G78" s="1164">
        <v>6.1</v>
      </c>
      <c r="H78" s="718">
        <v>7.5</v>
      </c>
      <c r="I78" s="1003">
        <v>8.1999999999999993</v>
      </c>
      <c r="J78" s="1189">
        <v>7.73</v>
      </c>
      <c r="K78" s="1382">
        <v>8.07</v>
      </c>
      <c r="L78" s="1125">
        <v>8.8699999999999992</v>
      </c>
      <c r="M78" s="1274">
        <v>10.7</v>
      </c>
      <c r="N78" s="1458">
        <v>10.301</v>
      </c>
      <c r="O78" s="2114"/>
      <c r="P78" s="2204">
        <v>9.6</v>
      </c>
      <c r="Q78" s="1459">
        <v>9.1</v>
      </c>
      <c r="R78" s="1420">
        <v>8.3000000000000007</v>
      </c>
      <c r="S78" s="1128">
        <v>7.46</v>
      </c>
      <c r="T78" s="3012">
        <v>8.1999999999999993</v>
      </c>
      <c r="U78" s="2927">
        <v>7.67</v>
      </c>
      <c r="V78" s="2927">
        <v>8.3699999999999992</v>
      </c>
      <c r="W78" s="3015">
        <v>8.23</v>
      </c>
      <c r="X78" s="2450">
        <v>8.57</v>
      </c>
      <c r="Y78" s="3170">
        <v>7.47</v>
      </c>
      <c r="Z78" s="3268">
        <v>2.17</v>
      </c>
      <c r="AA78" s="3170">
        <v>1.78</v>
      </c>
      <c r="AB78" s="3170">
        <v>0.9</v>
      </c>
      <c r="AC78" s="3170"/>
      <c r="AD78" s="3170"/>
      <c r="AE78" s="3170"/>
      <c r="BB78" s="83"/>
      <c r="BC78" s="83"/>
      <c r="BD78" s="83"/>
      <c r="BE78" s="83"/>
      <c r="BF78" s="83"/>
      <c r="BG78" s="83"/>
      <c r="BH78" s="83"/>
      <c r="BI78" s="83"/>
      <c r="BJ78" s="83"/>
      <c r="BK78" s="83"/>
      <c r="BL78" s="83"/>
      <c r="BM78" s="83"/>
      <c r="BN78" s="83"/>
      <c r="BO78" s="83"/>
      <c r="BP78" s="83"/>
      <c r="BQ78" s="83"/>
      <c r="BR78" s="83"/>
      <c r="BS78" s="83"/>
      <c r="BT78" s="83"/>
      <c r="BU78" s="83"/>
      <c r="BV78" s="83"/>
      <c r="CE78" s="83"/>
      <c r="CF78" s="83"/>
      <c r="CG78" s="83"/>
      <c r="CH78" s="83"/>
      <c r="CI78" s="83"/>
      <c r="CJ78" s="83"/>
      <c r="CK78" s="83"/>
      <c r="CL78" s="83"/>
      <c r="CM78" s="83"/>
      <c r="CN78" s="83"/>
      <c r="CO78" s="83"/>
      <c r="CP78" s="83"/>
      <c r="CQ78" s="83"/>
      <c r="CR78" s="83"/>
      <c r="CS78" s="83"/>
      <c r="CT78" s="83"/>
      <c r="CU78" s="83"/>
      <c r="CV78" s="83"/>
      <c r="CW78" s="83"/>
      <c r="CX78" s="83"/>
      <c r="CY78" s="83"/>
      <c r="CZ78" s="83"/>
      <c r="DA78" s="83"/>
    </row>
    <row r="79" spans="1:105" s="4" customFormat="1">
      <c r="A79" s="1199" t="s">
        <v>49</v>
      </c>
      <c r="B79" s="996"/>
      <c r="C79" s="1163" t="s">
        <v>57</v>
      </c>
      <c r="D79" s="1122">
        <v>7.3</v>
      </c>
      <c r="E79" s="1003">
        <v>6.4</v>
      </c>
      <c r="F79" s="1003">
        <v>7.4</v>
      </c>
      <c r="G79" s="1164">
        <v>7.5</v>
      </c>
      <c r="H79" s="718">
        <v>7.26</v>
      </c>
      <c r="I79" s="1003">
        <v>6.2</v>
      </c>
      <c r="J79" s="1189">
        <v>6.56</v>
      </c>
      <c r="K79" s="1382">
        <v>8.4</v>
      </c>
      <c r="L79" s="1125">
        <v>9.77</v>
      </c>
      <c r="M79" s="1274">
        <v>9.8000000000000007</v>
      </c>
      <c r="N79" s="2080">
        <v>9.4700000000000006</v>
      </c>
      <c r="O79" s="1208"/>
      <c r="P79" s="2195">
        <v>8.9</v>
      </c>
      <c r="Q79" s="1127">
        <v>7.95</v>
      </c>
      <c r="R79" s="1420">
        <v>7.3</v>
      </c>
      <c r="S79" s="1128">
        <v>5.83</v>
      </c>
      <c r="T79" s="3012">
        <v>7.13</v>
      </c>
      <c r="U79" s="2927">
        <v>8.1999999999999993</v>
      </c>
      <c r="V79" s="2927">
        <v>9.0299999999999994</v>
      </c>
      <c r="W79" s="3015">
        <v>8.4700000000000006</v>
      </c>
      <c r="X79" s="2450">
        <v>7.13</v>
      </c>
      <c r="Y79" s="3170">
        <v>8.27</v>
      </c>
      <c r="Z79" s="3268">
        <v>2.2000000000000002</v>
      </c>
      <c r="AA79" s="3170">
        <v>1.76</v>
      </c>
      <c r="AB79" s="3170">
        <v>0.94</v>
      </c>
      <c r="AC79" s="3170"/>
      <c r="AD79" s="3170"/>
      <c r="AE79" s="3170"/>
      <c r="BB79" s="83"/>
      <c r="BC79" s="83"/>
      <c r="BD79" s="83"/>
      <c r="BE79" s="83"/>
      <c r="BF79" s="83"/>
      <c r="BG79" s="83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  <c r="CE79" s="83"/>
      <c r="CF79" s="83"/>
      <c r="CG79" s="83"/>
      <c r="CH79" s="83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3"/>
      <c r="CW79" s="83"/>
      <c r="CX79" s="83"/>
      <c r="CY79" s="83"/>
      <c r="CZ79" s="83"/>
      <c r="DA79" s="83"/>
    </row>
    <row r="80" spans="1:105">
      <c r="A80" s="1199" t="s">
        <v>49</v>
      </c>
      <c r="B80" s="996"/>
      <c r="C80" s="1163" t="s">
        <v>58</v>
      </c>
      <c r="D80" s="1122">
        <v>8.07</v>
      </c>
      <c r="E80" s="1003">
        <v>7.3</v>
      </c>
      <c r="F80" s="1003">
        <v>7.5</v>
      </c>
      <c r="G80" s="1164">
        <v>6.3</v>
      </c>
      <c r="H80" s="718">
        <v>6.87</v>
      </c>
      <c r="I80" s="1003">
        <v>7.04</v>
      </c>
      <c r="J80" s="1189">
        <v>7.73</v>
      </c>
      <c r="K80" s="1382">
        <v>9.6</v>
      </c>
      <c r="L80" s="1125">
        <v>10.57</v>
      </c>
      <c r="M80" s="1126">
        <v>10.7</v>
      </c>
      <c r="N80" s="2080">
        <v>10.5</v>
      </c>
      <c r="O80" s="1208"/>
      <c r="P80" s="2195">
        <v>10.5</v>
      </c>
      <c r="Q80" s="1127">
        <v>9.4499999999999993</v>
      </c>
      <c r="R80" s="1127">
        <v>8.1</v>
      </c>
      <c r="S80" s="1128">
        <v>10</v>
      </c>
      <c r="T80" s="3012">
        <v>11</v>
      </c>
      <c r="U80" s="2927">
        <v>10.43</v>
      </c>
      <c r="V80" s="2927">
        <v>9.5299999999999994</v>
      </c>
      <c r="W80" s="3015">
        <v>10.199999999999999</v>
      </c>
      <c r="X80" s="2450">
        <v>10.87</v>
      </c>
      <c r="Y80" s="3015">
        <v>9.9</v>
      </c>
      <c r="Z80" s="3268">
        <v>2.4500000000000002</v>
      </c>
      <c r="AA80" s="3015">
        <v>2.41</v>
      </c>
      <c r="AB80" s="3015">
        <v>1.47</v>
      </c>
      <c r="AC80" s="3015"/>
      <c r="AD80" s="3015"/>
      <c r="AE80" s="3015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</row>
    <row r="81" spans="1:95">
      <c r="A81" s="1199" t="s">
        <v>49</v>
      </c>
      <c r="B81" s="996"/>
      <c r="C81" s="1163" t="s">
        <v>194</v>
      </c>
      <c r="D81" s="1122">
        <v>7.57</v>
      </c>
      <c r="E81" s="1003">
        <v>7.5</v>
      </c>
      <c r="F81" s="1003">
        <v>6.4</v>
      </c>
      <c r="G81" s="1164">
        <v>7.8</v>
      </c>
      <c r="H81" s="718">
        <v>6.32</v>
      </c>
      <c r="I81" s="1003">
        <v>8.9</v>
      </c>
      <c r="J81" s="1189">
        <v>8.66</v>
      </c>
      <c r="K81" s="1382">
        <v>9.6300000000000008</v>
      </c>
      <c r="L81" s="1125">
        <v>10.53</v>
      </c>
      <c r="M81" s="1126">
        <v>11.3</v>
      </c>
      <c r="N81" s="2080">
        <v>10.33</v>
      </c>
      <c r="O81" s="1208"/>
      <c r="P81" s="2195">
        <v>9.8000000000000007</v>
      </c>
      <c r="Q81" s="1127">
        <v>9.9</v>
      </c>
      <c r="R81" s="1127">
        <v>9.1</v>
      </c>
      <c r="S81" s="1128">
        <v>9.16</v>
      </c>
      <c r="T81" s="3012">
        <v>9.33</v>
      </c>
      <c r="U81" s="2927">
        <v>8.17</v>
      </c>
      <c r="V81" s="2927">
        <v>8.6</v>
      </c>
      <c r="W81" s="3015">
        <v>9.5</v>
      </c>
      <c r="X81" s="2450">
        <v>9.67</v>
      </c>
      <c r="Y81" s="3015">
        <v>7.97</v>
      </c>
      <c r="Z81" s="3268">
        <v>3.04</v>
      </c>
      <c r="AA81" s="3015">
        <v>3.1</v>
      </c>
      <c r="AB81" s="3015">
        <v>1.17</v>
      </c>
      <c r="AC81" s="3015"/>
      <c r="AD81" s="3015"/>
      <c r="AE81" s="3015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</row>
    <row r="82" spans="1:95" ht="15.75" thickBot="1">
      <c r="A82" s="1205" t="s">
        <v>49</v>
      </c>
      <c r="B82" s="997"/>
      <c r="C82" s="1165" t="s">
        <v>60</v>
      </c>
      <c r="D82" s="1146">
        <v>7.57</v>
      </c>
      <c r="E82" s="1147">
        <v>7</v>
      </c>
      <c r="F82" s="1147">
        <v>7.7</v>
      </c>
      <c r="G82" s="1166">
        <v>8.5</v>
      </c>
      <c r="H82" s="1160">
        <v>8.06</v>
      </c>
      <c r="I82" s="1147">
        <v>7.2</v>
      </c>
      <c r="J82" s="1194">
        <v>7.36</v>
      </c>
      <c r="K82" s="1383">
        <v>8.43</v>
      </c>
      <c r="L82" s="1135">
        <v>9.43</v>
      </c>
      <c r="M82" s="1136">
        <v>9.9</v>
      </c>
      <c r="N82" s="2081">
        <v>9.73</v>
      </c>
      <c r="O82" s="1209"/>
      <c r="P82" s="2196">
        <v>8.6</v>
      </c>
      <c r="Q82" s="633">
        <v>8.9499999999999993</v>
      </c>
      <c r="R82" s="633">
        <v>9</v>
      </c>
      <c r="S82" s="634">
        <v>8.84</v>
      </c>
      <c r="T82" s="3013">
        <v>8.1999999999999993</v>
      </c>
      <c r="U82" s="2928">
        <v>8.9700000000000006</v>
      </c>
      <c r="V82" s="2928">
        <v>9.6999999999999993</v>
      </c>
      <c r="W82" s="3165">
        <v>7.93</v>
      </c>
      <c r="X82" s="3112">
        <v>7.77</v>
      </c>
      <c r="Y82" s="3165">
        <v>8.0299999999999994</v>
      </c>
      <c r="Z82" s="3268">
        <v>2.63</v>
      </c>
      <c r="AA82" s="3165">
        <v>2.14</v>
      </c>
      <c r="AB82" s="3165">
        <v>1.43</v>
      </c>
      <c r="AC82" s="3165"/>
      <c r="AD82" s="3165"/>
      <c r="AE82" s="3165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</row>
    <row r="83" spans="1:95" s="12" customFormat="1" ht="15" customHeight="1">
      <c r="A83" s="1023" t="s">
        <v>40</v>
      </c>
      <c r="B83" s="995">
        <f>COUNTA(C83:C92)</f>
        <v>10</v>
      </c>
      <c r="C83" s="1161" t="s">
        <v>41</v>
      </c>
      <c r="D83" s="1112">
        <v>8.5</v>
      </c>
      <c r="E83" s="1114">
        <v>9.1</v>
      </c>
      <c r="F83" s="1114">
        <v>8.8000000000000007</v>
      </c>
      <c r="G83" s="1162">
        <v>8.1</v>
      </c>
      <c r="H83" s="1158">
        <v>8.14</v>
      </c>
      <c r="I83" s="1114">
        <v>9.4</v>
      </c>
      <c r="J83" s="1186">
        <v>10.029999999999999</v>
      </c>
      <c r="K83" s="1381">
        <v>10.1</v>
      </c>
      <c r="L83" s="1117">
        <v>10.6</v>
      </c>
      <c r="M83" s="1118">
        <v>9.6999999999999993</v>
      </c>
      <c r="N83" s="2082">
        <v>9.8000000000000007</v>
      </c>
      <c r="O83" s="1207"/>
      <c r="P83" s="1203">
        <v>9.3000000000000007</v>
      </c>
      <c r="Q83" s="1119">
        <v>8.9</v>
      </c>
      <c r="R83" s="1119">
        <v>8.83</v>
      </c>
      <c r="S83" s="1120">
        <v>8.73</v>
      </c>
      <c r="T83" s="1240">
        <v>9.43</v>
      </c>
      <c r="U83" s="2926">
        <v>9.27</v>
      </c>
      <c r="V83" s="2926">
        <v>8.0299999999999994</v>
      </c>
      <c r="W83" s="3168">
        <v>8.17</v>
      </c>
      <c r="X83" s="3111">
        <v>8.9</v>
      </c>
      <c r="Y83" s="3168">
        <v>5.66</v>
      </c>
      <c r="Z83" s="3168">
        <v>1.08</v>
      </c>
      <c r="AA83" s="3168">
        <v>1.19</v>
      </c>
      <c r="AB83" s="3168">
        <v>1.1399999999999999</v>
      </c>
      <c r="AC83" s="3168"/>
      <c r="AD83" s="3168"/>
      <c r="AE83" s="3168"/>
      <c r="AF83" s="61"/>
      <c r="AG83" s="172"/>
      <c r="AH83" s="61"/>
      <c r="AI83" s="57"/>
      <c r="AJ83" s="57"/>
      <c r="AK83" s="57"/>
      <c r="AL83" s="57"/>
      <c r="AM83" s="57"/>
      <c r="AN83" s="61"/>
      <c r="AO83" s="172"/>
      <c r="AP83" s="61"/>
      <c r="AQ83" s="57"/>
      <c r="AR83" s="57"/>
      <c r="AS83" s="57"/>
      <c r="AT83" s="57"/>
      <c r="AU83" s="61"/>
      <c r="AV83" s="172"/>
      <c r="AW83" s="172"/>
      <c r="AX83" s="172"/>
      <c r="AY83" s="172"/>
      <c r="AZ83" s="172"/>
      <c r="BA83" s="172"/>
      <c r="BB83" s="172"/>
      <c r="BC83" s="172"/>
      <c r="BD83" s="172"/>
      <c r="BE83" s="172"/>
      <c r="BF83" s="172"/>
      <c r="BG83" s="172"/>
      <c r="BH83" s="172"/>
      <c r="BI83" s="172"/>
      <c r="BJ83" s="172"/>
      <c r="BK83" s="172"/>
      <c r="BL83" s="172"/>
      <c r="BM83" s="172"/>
      <c r="BN83" s="172"/>
      <c r="BO83" s="172"/>
      <c r="BP83" s="172"/>
      <c r="BQ83" s="172"/>
      <c r="BR83" s="172"/>
      <c r="BS83" s="172"/>
      <c r="BT83" s="172"/>
      <c r="BU83" s="172"/>
      <c r="BV83" s="172"/>
      <c r="BW83" s="172"/>
      <c r="BX83" s="172"/>
      <c r="BY83" s="172"/>
      <c r="BZ83" s="172"/>
      <c r="CA83" s="172"/>
      <c r="CB83" s="172"/>
      <c r="CC83" s="172"/>
      <c r="CD83" s="172"/>
      <c r="CE83" s="172"/>
      <c r="CF83" s="172"/>
      <c r="CG83" s="172"/>
      <c r="CH83" s="172"/>
      <c r="CI83" s="172"/>
      <c r="CJ83" s="172"/>
      <c r="CK83" s="172"/>
      <c r="CL83" s="172"/>
      <c r="CM83" s="172"/>
      <c r="CN83" s="172"/>
      <c r="CO83" s="172"/>
      <c r="CP83" s="172"/>
      <c r="CQ83" s="172"/>
    </row>
    <row r="84" spans="1:95" s="12" customFormat="1" ht="15" customHeight="1">
      <c r="A84" s="1199" t="s">
        <v>40</v>
      </c>
      <c r="B84" s="996"/>
      <c r="C84" s="1163" t="s">
        <v>48</v>
      </c>
      <c r="D84" s="1122">
        <v>10.75</v>
      </c>
      <c r="E84" s="1003">
        <v>9.6999999999999993</v>
      </c>
      <c r="F84" s="1003">
        <v>9.4</v>
      </c>
      <c r="G84" s="1164">
        <v>9.4</v>
      </c>
      <c r="H84" s="718">
        <v>9.3000000000000007</v>
      </c>
      <c r="I84" s="1003">
        <v>9.0500000000000007</v>
      </c>
      <c r="J84" s="1189">
        <v>9.49</v>
      </c>
      <c r="K84" s="1382">
        <v>9.9</v>
      </c>
      <c r="L84" s="1125">
        <v>10.8</v>
      </c>
      <c r="M84" s="1126">
        <v>9.9</v>
      </c>
      <c r="N84" s="2080">
        <v>9.766</v>
      </c>
      <c r="O84" s="1208"/>
      <c r="P84" s="1046">
        <v>11.7</v>
      </c>
      <c r="Q84" s="1127">
        <v>8.5500000000000007</v>
      </c>
      <c r="R84" s="1127">
        <v>9.6300000000000008</v>
      </c>
      <c r="S84" s="1128">
        <v>9.93</v>
      </c>
      <c r="T84" s="1243">
        <v>10.3</v>
      </c>
      <c r="U84" s="2927">
        <v>9.9</v>
      </c>
      <c r="V84" s="2927">
        <v>8.6300000000000008</v>
      </c>
      <c r="W84" s="3015">
        <v>10.6</v>
      </c>
      <c r="X84" s="2450">
        <v>9.4700000000000006</v>
      </c>
      <c r="Y84" s="3015">
        <v>7.56</v>
      </c>
      <c r="Z84" s="3015">
        <v>1.4</v>
      </c>
      <c r="AA84" s="3015">
        <v>1.58</v>
      </c>
      <c r="AB84" s="3015">
        <v>1.41</v>
      </c>
      <c r="AC84" s="3015"/>
      <c r="AD84" s="3015"/>
      <c r="AE84" s="3015"/>
      <c r="AF84" s="61"/>
      <c r="AG84" s="172"/>
      <c r="AH84" s="61"/>
      <c r="AI84" s="57"/>
      <c r="AJ84" s="57"/>
      <c r="AK84" s="57"/>
      <c r="AL84" s="57"/>
      <c r="AM84" s="57"/>
      <c r="AN84" s="61"/>
      <c r="AO84" s="172"/>
      <c r="AP84" s="61"/>
      <c r="AQ84" s="57"/>
      <c r="AR84" s="57"/>
      <c r="AS84" s="57"/>
      <c r="AT84" s="57"/>
      <c r="AU84" s="61"/>
      <c r="AV84" s="172"/>
      <c r="AW84" s="172"/>
      <c r="AX84" s="172"/>
      <c r="AY84" s="172"/>
      <c r="AZ84" s="172"/>
      <c r="BA84" s="172"/>
      <c r="BB84" s="172"/>
      <c r="BC84" s="172"/>
      <c r="BD84" s="172"/>
      <c r="BE84" s="172"/>
      <c r="BF84" s="172"/>
      <c r="BG84" s="172"/>
      <c r="BH84" s="172"/>
      <c r="BI84" s="172"/>
      <c r="BJ84" s="172"/>
      <c r="BK84" s="172"/>
      <c r="BL84" s="172"/>
      <c r="BM84" s="172"/>
      <c r="BN84" s="172"/>
      <c r="BO84" s="172"/>
      <c r="BP84" s="172"/>
      <c r="BQ84" s="172"/>
      <c r="BR84" s="172"/>
      <c r="BS84" s="172"/>
      <c r="BT84" s="172"/>
      <c r="BU84" s="172"/>
      <c r="BV84" s="172"/>
      <c r="BW84" s="172"/>
      <c r="BX84" s="172"/>
      <c r="BY84" s="172"/>
      <c r="BZ84" s="172"/>
      <c r="CA84" s="172"/>
      <c r="CB84" s="172"/>
      <c r="CC84" s="172"/>
      <c r="CD84" s="172"/>
      <c r="CE84" s="172"/>
      <c r="CF84" s="172"/>
      <c r="CG84" s="172"/>
      <c r="CH84" s="172"/>
      <c r="CI84" s="172"/>
      <c r="CJ84" s="172"/>
      <c r="CK84" s="172"/>
      <c r="CL84" s="172"/>
      <c r="CM84" s="172"/>
      <c r="CN84" s="172"/>
      <c r="CO84" s="172"/>
      <c r="CP84" s="172"/>
      <c r="CQ84" s="172"/>
    </row>
    <row r="85" spans="1:95" s="12" customFormat="1" ht="15" customHeight="1">
      <c r="A85" s="1199" t="s">
        <v>40</v>
      </c>
      <c r="B85" s="996"/>
      <c r="C85" s="1121" t="s">
        <v>46</v>
      </c>
      <c r="D85" s="1122">
        <v>8.4499999999999993</v>
      </c>
      <c r="E85" s="1003">
        <v>8.4</v>
      </c>
      <c r="F85" s="1003">
        <v>8.1999999999999993</v>
      </c>
      <c r="G85" s="1164">
        <v>8</v>
      </c>
      <c r="H85" s="718">
        <v>6.72</v>
      </c>
      <c r="I85" s="1003">
        <v>7.85</v>
      </c>
      <c r="J85" s="1189">
        <v>9.8000000000000007</v>
      </c>
      <c r="K85" s="1382">
        <v>10.1</v>
      </c>
      <c r="L85" s="1125">
        <v>10.199999999999999</v>
      </c>
      <c r="M85" s="1126">
        <v>9.9</v>
      </c>
      <c r="N85" s="2080">
        <v>11.26</v>
      </c>
      <c r="O85" s="1208"/>
      <c r="P85" s="1046">
        <v>10.4</v>
      </c>
      <c r="Q85" s="1127">
        <v>9</v>
      </c>
      <c r="R85" s="1127">
        <v>7.96</v>
      </c>
      <c r="S85" s="1128">
        <v>9.6999999999999993</v>
      </c>
      <c r="T85" s="1243">
        <v>9.83</v>
      </c>
      <c r="U85" s="2927">
        <v>9.1300000000000008</v>
      </c>
      <c r="V85" s="2927">
        <v>8.1999999999999993</v>
      </c>
      <c r="W85" s="3015">
        <v>10.8</v>
      </c>
      <c r="X85" s="2450">
        <v>10.07</v>
      </c>
      <c r="Y85" s="3015">
        <v>6.47</v>
      </c>
      <c r="Z85" s="3015">
        <v>1.79</v>
      </c>
      <c r="AA85" s="3015">
        <v>1.38</v>
      </c>
      <c r="AB85" s="3015">
        <v>1.1000000000000001</v>
      </c>
      <c r="AC85" s="3015"/>
      <c r="AD85" s="3015"/>
      <c r="AE85" s="3015"/>
      <c r="AF85" s="61"/>
      <c r="AG85" s="172"/>
      <c r="AH85" s="61"/>
      <c r="AI85" s="57"/>
      <c r="AJ85" s="57"/>
      <c r="AK85" s="57"/>
      <c r="AL85" s="57"/>
      <c r="AM85" s="57"/>
      <c r="AN85" s="61"/>
      <c r="AO85" s="172"/>
      <c r="AP85" s="61"/>
      <c r="AQ85" s="57"/>
      <c r="AR85" s="57"/>
      <c r="AS85" s="57"/>
      <c r="AT85" s="57"/>
      <c r="AU85" s="61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172"/>
      <c r="BJ85" s="172"/>
      <c r="BK85" s="172"/>
      <c r="BL85" s="172"/>
      <c r="BM85" s="172"/>
      <c r="BN85" s="172"/>
      <c r="BO85" s="172"/>
      <c r="BP85" s="172"/>
      <c r="BQ85" s="172"/>
      <c r="BR85" s="172"/>
      <c r="BS85" s="172"/>
      <c r="BT85" s="172"/>
      <c r="BU85" s="172"/>
      <c r="BV85" s="172"/>
      <c r="BW85" s="172"/>
      <c r="BX85" s="172"/>
      <c r="BY85" s="172"/>
      <c r="BZ85" s="172"/>
      <c r="CA85" s="172"/>
      <c r="CB85" s="172"/>
      <c r="CC85" s="172"/>
      <c r="CD85" s="172"/>
      <c r="CE85" s="172"/>
      <c r="CF85" s="172"/>
      <c r="CG85" s="172"/>
      <c r="CH85" s="172"/>
      <c r="CI85" s="172"/>
      <c r="CJ85" s="172"/>
      <c r="CK85" s="172"/>
      <c r="CL85" s="172"/>
      <c r="CM85" s="172"/>
      <c r="CN85" s="172"/>
      <c r="CO85" s="172"/>
      <c r="CP85" s="172"/>
      <c r="CQ85" s="172"/>
    </row>
    <row r="86" spans="1:95" s="12" customFormat="1">
      <c r="A86" s="1199" t="s">
        <v>40</v>
      </c>
      <c r="B86" s="996"/>
      <c r="C86" s="1163" t="s">
        <v>45</v>
      </c>
      <c r="D86" s="1122">
        <v>11.8</v>
      </c>
      <c r="E86" s="1003">
        <v>10.8</v>
      </c>
      <c r="F86" s="1003">
        <v>10.1</v>
      </c>
      <c r="G86" s="1164">
        <v>8.6</v>
      </c>
      <c r="H86" s="718">
        <v>8.0299999999999994</v>
      </c>
      <c r="I86" s="1003">
        <v>7.85</v>
      </c>
      <c r="J86" s="1189">
        <v>9.82</v>
      </c>
      <c r="K86" s="1382">
        <v>11</v>
      </c>
      <c r="L86" s="1125">
        <v>11.1</v>
      </c>
      <c r="M86" s="1126">
        <v>10.3</v>
      </c>
      <c r="N86" s="2080">
        <v>10.46</v>
      </c>
      <c r="O86" s="1208"/>
      <c r="P86" s="1046">
        <v>10.9</v>
      </c>
      <c r="Q86" s="1127">
        <v>8.85</v>
      </c>
      <c r="R86" s="1127">
        <v>9</v>
      </c>
      <c r="S86" s="1128">
        <v>10.43</v>
      </c>
      <c r="T86" s="1243">
        <v>10.9</v>
      </c>
      <c r="U86" s="2927">
        <v>10.7</v>
      </c>
      <c r="V86" s="2927">
        <v>10.3</v>
      </c>
      <c r="W86" s="3015">
        <v>10.87</v>
      </c>
      <c r="X86" s="2450">
        <v>10.57</v>
      </c>
      <c r="Y86" s="3015">
        <v>7.61</v>
      </c>
      <c r="Z86" s="3015">
        <v>2.2400000000000002</v>
      </c>
      <c r="AA86" s="3015">
        <v>1.85</v>
      </c>
      <c r="AB86" s="3015">
        <v>1.83</v>
      </c>
      <c r="AC86" s="3015"/>
      <c r="AD86" s="3015"/>
      <c r="AE86" s="3015"/>
      <c r="AF86" s="44"/>
      <c r="AG86" s="172"/>
      <c r="AH86" s="173"/>
      <c r="AI86" s="57"/>
      <c r="AJ86" s="57"/>
      <c r="AK86" s="57"/>
      <c r="AL86" s="57"/>
      <c r="AM86" s="57"/>
      <c r="AN86" s="44"/>
      <c r="AO86" s="172"/>
      <c r="AP86" s="173"/>
      <c r="AQ86" s="57"/>
      <c r="AR86" s="57"/>
      <c r="AS86" s="57"/>
      <c r="AT86" s="57"/>
      <c r="AU86" s="44"/>
      <c r="AV86" s="172"/>
      <c r="AW86" s="172"/>
      <c r="AX86" s="172"/>
      <c r="AY86" s="172"/>
      <c r="AZ86" s="172"/>
      <c r="BA86" s="172"/>
      <c r="BB86" s="172"/>
      <c r="BC86" s="172"/>
      <c r="BD86" s="172"/>
      <c r="BE86" s="172"/>
      <c r="BF86" s="172"/>
      <c r="BG86" s="172"/>
      <c r="BH86" s="172"/>
      <c r="BI86" s="172"/>
      <c r="BJ86" s="172"/>
      <c r="BK86" s="172"/>
      <c r="BL86" s="172"/>
      <c r="BM86" s="172"/>
      <c r="BN86" s="172"/>
      <c r="BO86" s="172"/>
      <c r="BP86" s="172"/>
      <c r="BQ86" s="172"/>
      <c r="BR86" s="172"/>
      <c r="BS86" s="172"/>
      <c r="BT86" s="172"/>
      <c r="BU86" s="172"/>
      <c r="BV86" s="172"/>
      <c r="BW86" s="172"/>
      <c r="BX86" s="172"/>
      <c r="BY86" s="172"/>
      <c r="BZ86" s="172"/>
      <c r="CA86" s="172"/>
      <c r="CB86" s="172"/>
      <c r="CC86" s="172"/>
      <c r="CD86" s="172"/>
      <c r="CE86" s="172"/>
      <c r="CF86" s="172"/>
      <c r="CG86" s="172"/>
      <c r="CH86" s="172"/>
      <c r="CI86" s="172"/>
      <c r="CJ86" s="172"/>
      <c r="CK86" s="172"/>
      <c r="CL86" s="172"/>
      <c r="CM86" s="172"/>
      <c r="CN86" s="172"/>
      <c r="CO86" s="172"/>
      <c r="CP86" s="172"/>
      <c r="CQ86" s="172"/>
    </row>
    <row r="87" spans="1:95" s="12" customFormat="1">
      <c r="A87" s="1199" t="s">
        <v>40</v>
      </c>
      <c r="B87" s="996"/>
      <c r="C87" s="1121" t="s">
        <v>55</v>
      </c>
      <c r="D87" s="1122">
        <v>8.85</v>
      </c>
      <c r="E87" s="1003">
        <v>8</v>
      </c>
      <c r="F87" s="1003">
        <v>7.6</v>
      </c>
      <c r="G87" s="1164">
        <v>8.6</v>
      </c>
      <c r="H87" s="718">
        <v>7.66</v>
      </c>
      <c r="I87" s="1003">
        <v>7.2</v>
      </c>
      <c r="J87" s="1189">
        <v>8.93</v>
      </c>
      <c r="K87" s="1382">
        <v>10.1</v>
      </c>
      <c r="L87" s="1125">
        <v>9.4</v>
      </c>
      <c r="M87" s="1126">
        <v>9.5</v>
      </c>
      <c r="N87" s="2080">
        <v>9.4329999999999998</v>
      </c>
      <c r="O87" s="1208"/>
      <c r="P87" s="1046">
        <v>10.6</v>
      </c>
      <c r="Q87" s="1127">
        <v>8.32</v>
      </c>
      <c r="R87" s="1127">
        <v>8.56</v>
      </c>
      <c r="S87" s="1128">
        <v>8.8000000000000007</v>
      </c>
      <c r="T87" s="1243">
        <v>8.9700000000000006</v>
      </c>
      <c r="U87" s="2927">
        <v>8.1999999999999993</v>
      </c>
      <c r="V87" s="2927">
        <v>7.8</v>
      </c>
      <c r="W87" s="3015">
        <v>10.37</v>
      </c>
      <c r="X87" s="2450">
        <v>10.47</v>
      </c>
      <c r="Y87" s="3015">
        <v>6.41</v>
      </c>
      <c r="Z87" s="3015">
        <v>1.59</v>
      </c>
      <c r="AA87" s="3015">
        <v>1.92</v>
      </c>
      <c r="AB87" s="3015">
        <v>1.82</v>
      </c>
      <c r="AC87" s="3015"/>
      <c r="AD87" s="3015"/>
      <c r="AE87" s="3015"/>
      <c r="AF87" s="44"/>
      <c r="AG87" s="172"/>
      <c r="AH87" s="173"/>
      <c r="AI87" s="57"/>
      <c r="AJ87" s="57"/>
      <c r="AK87" s="57"/>
      <c r="AL87" s="57"/>
      <c r="AM87" s="57"/>
      <c r="AN87" s="44"/>
      <c r="AO87" s="172"/>
      <c r="AP87" s="173"/>
      <c r="AQ87" s="57"/>
      <c r="AR87" s="57"/>
      <c r="AS87" s="57"/>
      <c r="AT87" s="57"/>
      <c r="AU87" s="44"/>
      <c r="AV87" s="172"/>
      <c r="AW87" s="172"/>
      <c r="AX87" s="172"/>
      <c r="AY87" s="172"/>
      <c r="AZ87" s="172"/>
      <c r="BA87" s="172"/>
      <c r="BB87" s="172"/>
      <c r="BC87" s="172"/>
      <c r="BD87" s="172"/>
      <c r="BE87" s="172"/>
      <c r="BF87" s="172"/>
      <c r="BG87" s="172"/>
      <c r="BH87" s="172"/>
      <c r="BI87" s="172"/>
      <c r="BJ87" s="172"/>
      <c r="BK87" s="172"/>
      <c r="BL87" s="172"/>
      <c r="BM87" s="172"/>
      <c r="BN87" s="172"/>
      <c r="BO87" s="172"/>
      <c r="BP87" s="172"/>
      <c r="BQ87" s="172"/>
      <c r="BR87" s="172"/>
      <c r="BS87" s="172"/>
      <c r="BT87" s="172"/>
      <c r="BU87" s="172"/>
      <c r="BV87" s="172"/>
      <c r="BW87" s="172"/>
      <c r="BX87" s="172"/>
      <c r="BY87" s="172"/>
      <c r="BZ87" s="172"/>
      <c r="CA87" s="172"/>
      <c r="CB87" s="172"/>
      <c r="CC87" s="172"/>
      <c r="CD87" s="172"/>
      <c r="CE87" s="172"/>
      <c r="CF87" s="172"/>
      <c r="CG87" s="172"/>
      <c r="CH87" s="172"/>
      <c r="CI87" s="172"/>
      <c r="CJ87" s="172"/>
      <c r="CK87" s="172"/>
      <c r="CL87" s="172"/>
      <c r="CM87" s="172"/>
      <c r="CN87" s="172"/>
      <c r="CO87" s="172"/>
      <c r="CP87" s="172"/>
      <c r="CQ87" s="172"/>
    </row>
    <row r="88" spans="1:95" s="12" customFormat="1">
      <c r="A88" s="1199" t="s">
        <v>40</v>
      </c>
      <c r="B88" s="996"/>
      <c r="C88" s="1121" t="s">
        <v>54</v>
      </c>
      <c r="D88" s="1122">
        <v>7.25</v>
      </c>
      <c r="E88" s="1003">
        <v>8.1999999999999993</v>
      </c>
      <c r="F88" s="1003">
        <v>8.4</v>
      </c>
      <c r="G88" s="1164">
        <v>7.6</v>
      </c>
      <c r="H88" s="718">
        <v>6.89</v>
      </c>
      <c r="I88" s="1003">
        <v>9.5500000000000007</v>
      </c>
      <c r="J88" s="1189">
        <v>9.83</v>
      </c>
      <c r="K88" s="1382">
        <v>9.9</v>
      </c>
      <c r="L88" s="1125">
        <v>11.4</v>
      </c>
      <c r="M88" s="1126">
        <v>10.199999999999999</v>
      </c>
      <c r="N88" s="2080">
        <v>10.33</v>
      </c>
      <c r="O88" s="1208"/>
      <c r="P88" s="1046">
        <v>10.7</v>
      </c>
      <c r="Q88" s="1127">
        <v>8.6</v>
      </c>
      <c r="R88" s="1127">
        <v>9.23</v>
      </c>
      <c r="S88" s="1128">
        <v>8.73</v>
      </c>
      <c r="T88" s="1243">
        <v>9.77</v>
      </c>
      <c r="U88" s="2927">
        <v>10.23</v>
      </c>
      <c r="V88" s="2927">
        <v>9.43</v>
      </c>
      <c r="W88" s="3015">
        <v>10.43</v>
      </c>
      <c r="X88" s="2450">
        <v>10.27</v>
      </c>
      <c r="Y88" s="3015">
        <v>6.41</v>
      </c>
      <c r="Z88" s="3015">
        <v>1.04</v>
      </c>
      <c r="AA88" s="3015">
        <v>1.8</v>
      </c>
      <c r="AB88" s="3015">
        <v>1.84</v>
      </c>
      <c r="AC88" s="3015"/>
      <c r="AD88" s="3015"/>
      <c r="AE88" s="3015"/>
      <c r="AF88" s="44"/>
      <c r="AG88" s="172"/>
      <c r="AH88" s="70"/>
      <c r="AI88" s="57"/>
      <c r="AJ88" s="57"/>
      <c r="AK88" s="57"/>
      <c r="AL88" s="57"/>
      <c r="AM88" s="57"/>
      <c r="AN88" s="44"/>
      <c r="AO88" s="172"/>
      <c r="AP88" s="70"/>
      <c r="AQ88" s="57"/>
      <c r="AR88" s="57"/>
      <c r="AS88" s="57"/>
      <c r="AT88" s="57"/>
      <c r="AU88" s="44"/>
      <c r="AV88" s="172"/>
      <c r="AW88" s="172"/>
      <c r="AX88" s="172"/>
      <c r="AY88" s="172"/>
      <c r="AZ88" s="172"/>
      <c r="BA88" s="172"/>
      <c r="BB88" s="172"/>
      <c r="BC88" s="172"/>
      <c r="BD88" s="172"/>
      <c r="BE88" s="172"/>
      <c r="BF88" s="172"/>
      <c r="BG88" s="172"/>
      <c r="BH88" s="172"/>
      <c r="BI88" s="172"/>
      <c r="BJ88" s="172"/>
      <c r="BK88" s="172"/>
      <c r="BL88" s="172"/>
      <c r="BM88" s="172"/>
      <c r="BN88" s="172"/>
      <c r="BO88" s="172"/>
      <c r="BP88" s="172"/>
      <c r="BQ88" s="172"/>
      <c r="BR88" s="172"/>
      <c r="BS88" s="172"/>
      <c r="BT88" s="172"/>
      <c r="BU88" s="172"/>
      <c r="BV88" s="172"/>
      <c r="BW88" s="172"/>
      <c r="BX88" s="172"/>
      <c r="BY88" s="172"/>
      <c r="BZ88" s="172"/>
      <c r="CA88" s="172"/>
      <c r="CB88" s="172"/>
      <c r="CC88" s="172"/>
      <c r="CD88" s="172"/>
      <c r="CE88" s="172"/>
      <c r="CF88" s="172"/>
      <c r="CG88" s="172"/>
      <c r="CH88" s="172"/>
      <c r="CI88" s="172"/>
      <c r="CJ88" s="172"/>
      <c r="CK88" s="172"/>
      <c r="CL88" s="172"/>
      <c r="CM88" s="172"/>
      <c r="CN88" s="172"/>
      <c r="CO88" s="172"/>
      <c r="CP88" s="172"/>
      <c r="CQ88" s="172"/>
    </row>
    <row r="89" spans="1:95" s="12" customFormat="1">
      <c r="A89" s="1199" t="s">
        <v>40</v>
      </c>
      <c r="B89" s="996"/>
      <c r="C89" s="1121" t="s">
        <v>56</v>
      </c>
      <c r="D89" s="1122">
        <v>7.3</v>
      </c>
      <c r="E89" s="1003">
        <v>23.3</v>
      </c>
      <c r="F89" s="1003">
        <v>8.1</v>
      </c>
      <c r="G89" s="1164">
        <v>7.4</v>
      </c>
      <c r="H89" s="718">
        <v>6.32</v>
      </c>
      <c r="I89" s="1003">
        <v>8.1</v>
      </c>
      <c r="J89" s="1189">
        <v>8.86</v>
      </c>
      <c r="K89" s="1382">
        <v>9.6999999999999993</v>
      </c>
      <c r="L89" s="1125">
        <v>10</v>
      </c>
      <c r="M89" s="1126">
        <v>10.4</v>
      </c>
      <c r="N89" s="2080">
        <v>10.3</v>
      </c>
      <c r="O89" s="1208"/>
      <c r="P89" s="1046">
        <v>10.5</v>
      </c>
      <c r="Q89" s="1127">
        <v>9.1</v>
      </c>
      <c r="R89" s="1127">
        <v>9.66</v>
      </c>
      <c r="S89" s="1128">
        <v>10.56</v>
      </c>
      <c r="T89" s="1243">
        <v>9.6</v>
      </c>
      <c r="U89" s="2927">
        <v>8.77</v>
      </c>
      <c r="V89" s="2927">
        <v>10</v>
      </c>
      <c r="W89" s="3015">
        <v>10.7</v>
      </c>
      <c r="X89" s="2450">
        <v>10.23</v>
      </c>
      <c r="Y89" s="3015">
        <v>6.82</v>
      </c>
      <c r="Z89" s="3015">
        <v>1.35</v>
      </c>
      <c r="AA89" s="3015">
        <v>1.6</v>
      </c>
      <c r="AB89" s="3015">
        <v>1.41</v>
      </c>
      <c r="AC89" s="3015"/>
      <c r="AD89" s="3015"/>
      <c r="AE89" s="3015"/>
      <c r="AF89" s="44"/>
      <c r="AG89" s="172"/>
      <c r="AH89" s="70"/>
      <c r="AI89" s="57"/>
      <c r="AJ89" s="57"/>
      <c r="AK89" s="57"/>
      <c r="AL89" s="57"/>
      <c r="AM89" s="57"/>
      <c r="AN89" s="44"/>
      <c r="AO89" s="172"/>
      <c r="AP89" s="70"/>
      <c r="AQ89" s="57"/>
      <c r="AR89" s="57"/>
      <c r="AS89" s="57"/>
      <c r="AT89" s="57"/>
      <c r="AU89" s="44"/>
      <c r="AV89" s="172"/>
      <c r="AW89" s="172"/>
      <c r="AX89" s="172"/>
      <c r="AY89" s="172"/>
      <c r="AZ89" s="172"/>
      <c r="BA89" s="172"/>
      <c r="BB89" s="172"/>
      <c r="BC89" s="172"/>
      <c r="BD89" s="172"/>
      <c r="BE89" s="172"/>
      <c r="BF89" s="172"/>
      <c r="BG89" s="172"/>
      <c r="BH89" s="172"/>
      <c r="BI89" s="172"/>
      <c r="BJ89" s="172"/>
      <c r="BK89" s="172"/>
      <c r="BL89" s="172"/>
      <c r="BM89" s="172"/>
      <c r="BN89" s="172"/>
      <c r="BO89" s="172"/>
      <c r="BP89" s="172"/>
      <c r="BQ89" s="172"/>
      <c r="BR89" s="172"/>
      <c r="BS89" s="172"/>
      <c r="BT89" s="172"/>
      <c r="BU89" s="172"/>
      <c r="BV89" s="172"/>
      <c r="BW89" s="172"/>
      <c r="BX89" s="172"/>
      <c r="BY89" s="172"/>
      <c r="BZ89" s="172"/>
      <c r="CA89" s="172"/>
      <c r="CB89" s="172"/>
      <c r="CC89" s="172"/>
      <c r="CD89" s="172"/>
      <c r="CE89" s="172"/>
      <c r="CF89" s="172"/>
      <c r="CG89" s="172"/>
      <c r="CH89" s="172"/>
      <c r="CI89" s="172"/>
      <c r="CJ89" s="172"/>
      <c r="CK89" s="172"/>
      <c r="CL89" s="172"/>
      <c r="CM89" s="172"/>
      <c r="CN89" s="172"/>
      <c r="CO89" s="172"/>
      <c r="CP89" s="172"/>
      <c r="CQ89" s="172"/>
    </row>
    <row r="90" spans="1:95" s="12" customFormat="1">
      <c r="A90" s="1199" t="s">
        <v>40</v>
      </c>
      <c r="B90" s="996"/>
      <c r="C90" s="1121" t="s">
        <v>44</v>
      </c>
      <c r="D90" s="1122">
        <v>10.1</v>
      </c>
      <c r="E90" s="1003">
        <v>9.4</v>
      </c>
      <c r="F90" s="1003">
        <v>9.8000000000000007</v>
      </c>
      <c r="G90" s="1164">
        <v>9.6999999999999993</v>
      </c>
      <c r="H90" s="718">
        <v>8.5299999999999994</v>
      </c>
      <c r="I90" s="1003">
        <v>10.4</v>
      </c>
      <c r="J90" s="1189">
        <v>10.039999999999999</v>
      </c>
      <c r="K90" s="1382">
        <v>9.6999999999999993</v>
      </c>
      <c r="L90" s="1125">
        <v>10.9</v>
      </c>
      <c r="M90" s="1126">
        <v>11.1</v>
      </c>
      <c r="N90" s="2080">
        <v>10.1</v>
      </c>
      <c r="O90" s="1208"/>
      <c r="P90" s="1046">
        <v>9.6</v>
      </c>
      <c r="Q90" s="1127">
        <v>9.1</v>
      </c>
      <c r="R90" s="1127">
        <v>9.6999999999999993</v>
      </c>
      <c r="S90" s="1128">
        <v>10.1</v>
      </c>
      <c r="T90" s="1243">
        <v>9.3699999999999992</v>
      </c>
      <c r="U90" s="2927">
        <v>10.47</v>
      </c>
      <c r="V90" s="2927">
        <v>10.029999999999999</v>
      </c>
      <c r="W90" s="3015">
        <v>11.17</v>
      </c>
      <c r="X90" s="2450">
        <v>10.029999999999999</v>
      </c>
      <c r="Y90" s="3015">
        <v>7.56</v>
      </c>
      <c r="Z90" s="3015">
        <v>2.4</v>
      </c>
      <c r="AA90" s="3015">
        <v>2.78</v>
      </c>
      <c r="AB90" s="3015">
        <v>1.24</v>
      </c>
      <c r="AC90" s="3015"/>
      <c r="AD90" s="3015"/>
      <c r="AE90" s="3015"/>
      <c r="AF90" s="44"/>
      <c r="AG90" s="172"/>
      <c r="AH90" s="70"/>
      <c r="AI90" s="57"/>
      <c r="AJ90" s="57"/>
      <c r="AK90" s="57"/>
      <c r="AL90" s="57"/>
      <c r="AM90" s="57"/>
      <c r="AN90" s="44"/>
      <c r="AO90" s="172"/>
      <c r="AP90" s="70"/>
      <c r="AQ90" s="57"/>
      <c r="AR90" s="57"/>
      <c r="AS90" s="57"/>
      <c r="AT90" s="57"/>
      <c r="AU90" s="44"/>
      <c r="AV90" s="172"/>
      <c r="AW90" s="172"/>
      <c r="AX90" s="172"/>
      <c r="AY90" s="172"/>
      <c r="AZ90" s="172"/>
      <c r="BA90" s="172"/>
      <c r="BB90" s="172"/>
      <c r="BC90" s="172"/>
      <c r="BD90" s="172"/>
      <c r="BE90" s="172"/>
      <c r="BF90" s="172"/>
      <c r="BG90" s="172"/>
      <c r="BH90" s="172"/>
      <c r="BI90" s="172"/>
      <c r="BJ90" s="172"/>
      <c r="BK90" s="172"/>
      <c r="BL90" s="172"/>
      <c r="BM90" s="172"/>
      <c r="BN90" s="172"/>
      <c r="BO90" s="172"/>
      <c r="BP90" s="172"/>
      <c r="BQ90" s="172"/>
      <c r="BR90" s="172"/>
      <c r="BS90" s="172"/>
      <c r="BT90" s="172"/>
      <c r="BU90" s="172"/>
      <c r="BV90" s="172"/>
      <c r="BW90" s="172"/>
      <c r="BX90" s="172"/>
      <c r="BY90" s="172"/>
      <c r="BZ90" s="172"/>
      <c r="CA90" s="172"/>
      <c r="CB90" s="172"/>
      <c r="CC90" s="172"/>
      <c r="CD90" s="172"/>
      <c r="CE90" s="172"/>
      <c r="CF90" s="172"/>
      <c r="CG90" s="172"/>
      <c r="CH90" s="172"/>
      <c r="CI90" s="172"/>
      <c r="CJ90" s="172"/>
      <c r="CK90" s="172"/>
      <c r="CL90" s="172"/>
      <c r="CM90" s="172"/>
      <c r="CN90" s="172"/>
      <c r="CO90" s="172"/>
      <c r="CP90" s="172"/>
      <c r="CQ90" s="172"/>
    </row>
    <row r="91" spans="1:95" s="12" customFormat="1">
      <c r="A91" s="1199" t="s">
        <v>40</v>
      </c>
      <c r="B91" s="996"/>
      <c r="C91" s="1121" t="s">
        <v>51</v>
      </c>
      <c r="D91" s="1122">
        <v>6.25</v>
      </c>
      <c r="E91" s="1003">
        <v>8.5</v>
      </c>
      <c r="F91" s="1003">
        <v>8.1999999999999993</v>
      </c>
      <c r="G91" s="1164">
        <v>9.1999999999999993</v>
      </c>
      <c r="H91" s="718">
        <v>8.34</v>
      </c>
      <c r="I91" s="1003">
        <v>7.5</v>
      </c>
      <c r="J91" s="1189">
        <v>11.03</v>
      </c>
      <c r="K91" s="1382">
        <v>10.1</v>
      </c>
      <c r="L91" s="1125">
        <v>10</v>
      </c>
      <c r="M91" s="1126">
        <v>9.9</v>
      </c>
      <c r="N91" s="2080">
        <v>10.16</v>
      </c>
      <c r="O91" s="1208"/>
      <c r="P91" s="1046">
        <v>9.9</v>
      </c>
      <c r="Q91" s="1127">
        <v>8.65</v>
      </c>
      <c r="R91" s="1127">
        <v>7.9</v>
      </c>
      <c r="S91" s="1128">
        <v>10.3</v>
      </c>
      <c r="T91" s="1243">
        <v>10.199999999999999</v>
      </c>
      <c r="U91" s="2927">
        <v>9</v>
      </c>
      <c r="V91" s="2927">
        <v>10.63</v>
      </c>
      <c r="W91" s="3015">
        <v>10.43</v>
      </c>
      <c r="X91" s="2450">
        <v>9.93</v>
      </c>
      <c r="Y91" s="3015">
        <v>5.99</v>
      </c>
      <c r="Z91" s="3015">
        <v>1.99</v>
      </c>
      <c r="AA91" s="3015">
        <v>1.41</v>
      </c>
      <c r="AB91" s="3015">
        <v>1.77</v>
      </c>
      <c r="AC91" s="3015"/>
      <c r="AD91" s="3015"/>
      <c r="AE91" s="3015"/>
      <c r="AF91" s="44"/>
      <c r="AG91" s="172"/>
      <c r="AH91" s="70"/>
      <c r="AI91" s="57"/>
      <c r="AJ91" s="57"/>
      <c r="AK91" s="57"/>
      <c r="AL91" s="57"/>
      <c r="AM91" s="57"/>
      <c r="AN91" s="44"/>
      <c r="AO91" s="172"/>
      <c r="AP91" s="70"/>
      <c r="AQ91" s="57"/>
      <c r="AR91" s="57"/>
      <c r="AS91" s="57"/>
      <c r="AT91" s="57"/>
      <c r="AU91" s="44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</row>
    <row r="92" spans="1:95" s="12" customFormat="1" ht="13.5" customHeight="1" thickBot="1">
      <c r="A92" s="1205" t="s">
        <v>40</v>
      </c>
      <c r="B92" s="997"/>
      <c r="C92" s="1129" t="s">
        <v>47</v>
      </c>
      <c r="D92" s="1146">
        <v>8.35</v>
      </c>
      <c r="E92" s="1147">
        <v>7.7</v>
      </c>
      <c r="F92" s="1147">
        <v>7.6</v>
      </c>
      <c r="G92" s="1166">
        <v>7.6</v>
      </c>
      <c r="H92" s="1160">
        <v>8.3800000000000008</v>
      </c>
      <c r="I92" s="1147">
        <v>8.5500000000000007</v>
      </c>
      <c r="J92" s="1194">
        <v>9.6</v>
      </c>
      <c r="K92" s="1383">
        <v>10.1</v>
      </c>
      <c r="L92" s="1135">
        <v>11</v>
      </c>
      <c r="M92" s="1136">
        <v>10.7</v>
      </c>
      <c r="N92" s="2081">
        <v>10.029999999999999</v>
      </c>
      <c r="O92" s="1209"/>
      <c r="P92" s="886">
        <v>9.6</v>
      </c>
      <c r="Q92" s="633">
        <v>8.1</v>
      </c>
      <c r="R92" s="633">
        <v>9.33</v>
      </c>
      <c r="S92" s="634">
        <v>9.3000000000000007</v>
      </c>
      <c r="T92" s="1246">
        <v>9.1</v>
      </c>
      <c r="U92" s="2928">
        <v>10.029999999999999</v>
      </c>
      <c r="V92" s="2928">
        <v>10.029999999999999</v>
      </c>
      <c r="W92" s="3165">
        <v>10.8</v>
      </c>
      <c r="X92" s="3112">
        <v>10.1</v>
      </c>
      <c r="Y92" s="3165">
        <v>6.56</v>
      </c>
      <c r="Z92" s="3165">
        <v>1.2</v>
      </c>
      <c r="AA92" s="3165">
        <v>2.27</v>
      </c>
      <c r="AB92" s="3165">
        <v>1.85</v>
      </c>
      <c r="AC92" s="3165"/>
      <c r="AD92" s="3165"/>
      <c r="AE92" s="3165"/>
      <c r="AF92" s="44"/>
      <c r="AG92" s="172"/>
      <c r="AH92" s="95"/>
      <c r="AI92" s="57"/>
      <c r="AJ92" s="57"/>
      <c r="AK92" s="57"/>
      <c r="AL92" s="57"/>
      <c r="AM92" s="57"/>
      <c r="AN92" s="44"/>
      <c r="AO92" s="172"/>
      <c r="AP92" s="95"/>
      <c r="AQ92" s="57"/>
      <c r="AR92" s="57"/>
      <c r="AS92" s="57"/>
      <c r="AT92" s="57"/>
      <c r="AU92" s="44"/>
      <c r="AV92" s="172"/>
      <c r="AW92" s="172"/>
      <c r="AX92" s="172"/>
      <c r="AY92" s="172"/>
      <c r="AZ92" s="172"/>
      <c r="BA92" s="172"/>
      <c r="BB92" s="172"/>
      <c r="BC92" s="172"/>
      <c r="BD92" s="172"/>
      <c r="BE92" s="172"/>
      <c r="BF92" s="172"/>
      <c r="BG92" s="172"/>
      <c r="BH92" s="172"/>
      <c r="BI92" s="172"/>
      <c r="BJ92" s="172"/>
      <c r="BK92" s="172"/>
      <c r="BL92" s="172"/>
      <c r="BM92" s="172"/>
      <c r="BN92" s="172"/>
      <c r="BO92" s="172"/>
      <c r="BP92" s="172"/>
      <c r="BQ92" s="172"/>
      <c r="BR92" s="172"/>
      <c r="BS92" s="172"/>
      <c r="BT92" s="172"/>
      <c r="BU92" s="172"/>
      <c r="BV92" s="172"/>
      <c r="BW92" s="172"/>
      <c r="BX92" s="172"/>
      <c r="BY92" s="172"/>
      <c r="BZ92" s="172"/>
      <c r="CA92" s="172"/>
      <c r="CB92" s="172"/>
      <c r="CC92" s="172"/>
      <c r="CD92" s="172"/>
      <c r="CE92" s="172"/>
      <c r="CF92" s="172"/>
      <c r="CG92" s="172"/>
      <c r="CH92" s="172"/>
      <c r="CI92" s="172"/>
      <c r="CJ92" s="172"/>
      <c r="CK92" s="172"/>
      <c r="CL92" s="172"/>
      <c r="CM92" s="172"/>
      <c r="CN92" s="172"/>
      <c r="CO92" s="172"/>
      <c r="CP92" s="172"/>
      <c r="CQ92" s="172"/>
    </row>
    <row r="93" spans="1:95" s="12" customFormat="1">
      <c r="A93" s="114"/>
      <c r="B93" s="114"/>
      <c r="C93" s="775" t="s">
        <v>285</v>
      </c>
      <c r="D93" s="1025">
        <f>COUNTIF(D67:D92,"&lt;=10")</f>
        <v>22</v>
      </c>
      <c r="E93" s="1025">
        <f>COUNTIF(E67:E92,"&lt;=10")</f>
        <v>23</v>
      </c>
      <c r="F93" s="1025">
        <f t="shared" ref="F93:S93" si="9">COUNTIF(F67:F92,"&lt;=10")</f>
        <v>24</v>
      </c>
      <c r="G93" s="1025">
        <f t="shared" si="9"/>
        <v>24</v>
      </c>
      <c r="H93" s="1025">
        <f t="shared" si="9"/>
        <v>26</v>
      </c>
      <c r="I93" s="1025">
        <f t="shared" si="9"/>
        <v>25</v>
      </c>
      <c r="J93" s="1025">
        <f t="shared" si="9"/>
        <v>22</v>
      </c>
      <c r="K93" s="1025">
        <f t="shared" si="9"/>
        <v>19</v>
      </c>
      <c r="L93" s="1025">
        <f t="shared" si="9"/>
        <v>14</v>
      </c>
      <c r="M93" s="1025">
        <f>COUNTIF(M67:M92,"&lt;=10")</f>
        <v>14</v>
      </c>
      <c r="N93" s="2083">
        <f t="shared" si="9"/>
        <v>14</v>
      </c>
      <c r="O93" s="1025">
        <f t="shared" si="9"/>
        <v>0</v>
      </c>
      <c r="P93" s="1025">
        <f t="shared" si="9"/>
        <v>15</v>
      </c>
      <c r="Q93" s="1025">
        <f t="shared" si="9"/>
        <v>24</v>
      </c>
      <c r="R93" s="1025">
        <f t="shared" si="9"/>
        <v>24</v>
      </c>
      <c r="S93" s="1025">
        <f t="shared" si="9"/>
        <v>19</v>
      </c>
      <c r="T93" s="1025">
        <f t="shared" ref="T93:Y93" si="10">COUNTIF(T67:T92,"&lt;=10")</f>
        <v>18</v>
      </c>
      <c r="U93" s="1025">
        <f t="shared" si="10"/>
        <v>18</v>
      </c>
      <c r="V93" s="1025">
        <f t="shared" si="10"/>
        <v>19</v>
      </c>
      <c r="W93" s="1025">
        <f t="shared" si="10"/>
        <v>12</v>
      </c>
      <c r="X93" s="1025">
        <f t="shared" si="10"/>
        <v>14</v>
      </c>
      <c r="Y93" s="1025">
        <f t="shared" si="10"/>
        <v>23</v>
      </c>
      <c r="Z93" s="1025">
        <f>COUNTIF(Z67:Z92,"&lt;=7")</f>
        <v>26</v>
      </c>
      <c r="AA93" s="1025">
        <f>COUNTIF(AA67:AA92,"&lt;=7")</f>
        <v>26</v>
      </c>
      <c r="AB93" s="1025">
        <f t="shared" ref="AB93:AE93" si="11">COUNTIF(AB67:AB92,"&lt;=7")</f>
        <v>26</v>
      </c>
      <c r="AC93" s="1025">
        <f t="shared" si="11"/>
        <v>0</v>
      </c>
      <c r="AD93" s="1025">
        <f t="shared" si="11"/>
        <v>0</v>
      </c>
      <c r="AE93" s="1025">
        <f t="shared" si="11"/>
        <v>0</v>
      </c>
      <c r="AF93" s="44"/>
      <c r="AG93" s="172"/>
      <c r="AH93" s="70"/>
      <c r="AI93" s="57"/>
      <c r="AJ93" s="57"/>
      <c r="AK93" s="57"/>
      <c r="AL93" s="57"/>
      <c r="AM93" s="57"/>
      <c r="AN93" s="44"/>
      <c r="AO93" s="172"/>
      <c r="AP93" s="70"/>
      <c r="AQ93" s="57"/>
      <c r="AR93" s="57"/>
      <c r="AS93" s="57"/>
      <c r="AT93" s="57"/>
      <c r="AU93" s="44"/>
      <c r="AV93" s="172"/>
      <c r="AW93" s="172"/>
      <c r="AX93" s="172"/>
      <c r="AY93" s="172"/>
      <c r="AZ93" s="172"/>
      <c r="BA93" s="172"/>
      <c r="BB93" s="172"/>
      <c r="BC93" s="172"/>
      <c r="BD93" s="172"/>
      <c r="BE93" s="172"/>
      <c r="BF93" s="172"/>
      <c r="BG93" s="172"/>
      <c r="BH93" s="172"/>
      <c r="BI93" s="172"/>
      <c r="BJ93" s="172"/>
      <c r="BK93" s="172"/>
      <c r="BL93" s="172"/>
      <c r="BM93" s="172"/>
      <c r="BN93" s="172"/>
      <c r="BO93" s="172"/>
      <c r="BP93" s="172"/>
      <c r="BQ93" s="172"/>
      <c r="BR93" s="172"/>
      <c r="BS93" s="172"/>
      <c r="BT93" s="172"/>
      <c r="BU93" s="172"/>
      <c r="BV93" s="172"/>
      <c r="BW93" s="172"/>
      <c r="BX93" s="172"/>
      <c r="BY93" s="172"/>
      <c r="BZ93" s="172"/>
      <c r="CA93" s="172"/>
      <c r="CB93" s="172"/>
      <c r="CC93" s="172"/>
      <c r="CD93" s="172"/>
      <c r="CE93" s="172"/>
      <c r="CF93" s="172"/>
      <c r="CG93" s="172"/>
      <c r="CH93" s="172"/>
      <c r="CI93" s="172"/>
      <c r="CJ93" s="172"/>
      <c r="CK93" s="172"/>
      <c r="CL93" s="172"/>
      <c r="CM93" s="172"/>
      <c r="CN93" s="172"/>
      <c r="CO93" s="172"/>
      <c r="CP93" s="172"/>
      <c r="CQ93" s="172"/>
    </row>
    <row r="94" spans="1:95" s="12" customFormat="1">
      <c r="A94" s="114"/>
      <c r="B94" s="114"/>
      <c r="C94" s="775" t="s">
        <v>287</v>
      </c>
      <c r="D94" s="1027">
        <f>COUNT(D67:D92)</f>
        <v>26</v>
      </c>
      <c r="E94" s="1027">
        <f>COUNT(E67:E92)</f>
        <v>26</v>
      </c>
      <c r="F94" s="1027">
        <f t="shared" ref="F94:S94" si="12">COUNT(F67:F92)</f>
        <v>26</v>
      </c>
      <c r="G94" s="1027">
        <f t="shared" si="12"/>
        <v>26</v>
      </c>
      <c r="H94" s="1027">
        <f t="shared" si="12"/>
        <v>26</v>
      </c>
      <c r="I94" s="1027">
        <f t="shared" si="12"/>
        <v>26</v>
      </c>
      <c r="J94" s="1027">
        <f t="shared" si="12"/>
        <v>26</v>
      </c>
      <c r="K94" s="1027">
        <f t="shared" si="12"/>
        <v>26</v>
      </c>
      <c r="L94" s="1027">
        <f t="shared" si="12"/>
        <v>25</v>
      </c>
      <c r="M94" s="1027">
        <f>COUNT(M67:M92)</f>
        <v>26</v>
      </c>
      <c r="N94" s="2084">
        <f t="shared" si="12"/>
        <v>26</v>
      </c>
      <c r="O94" s="1027">
        <f t="shared" si="12"/>
        <v>0</v>
      </c>
      <c r="P94" s="1027">
        <f t="shared" si="12"/>
        <v>26</v>
      </c>
      <c r="Q94" s="1027">
        <f t="shared" si="12"/>
        <v>25</v>
      </c>
      <c r="R94" s="1027">
        <f t="shared" si="12"/>
        <v>26</v>
      </c>
      <c r="S94" s="1027">
        <f t="shared" si="12"/>
        <v>26</v>
      </c>
      <c r="T94" s="1027">
        <f t="shared" ref="T94:U94" si="13">COUNT(T67:T92)</f>
        <v>26</v>
      </c>
      <c r="U94" s="1027">
        <f t="shared" si="13"/>
        <v>25</v>
      </c>
      <c r="V94" s="1027">
        <f t="shared" ref="V94:Y94" si="14">COUNT(V67:V92)</f>
        <v>26</v>
      </c>
      <c r="W94" s="1027">
        <f t="shared" si="14"/>
        <v>26</v>
      </c>
      <c r="X94" s="1027">
        <f t="shared" si="14"/>
        <v>26</v>
      </c>
      <c r="Y94" s="1027">
        <f t="shared" si="14"/>
        <v>26</v>
      </c>
      <c r="Z94" s="1027">
        <f t="shared" ref="Z94:AA94" si="15">COUNT(Z67:Z92)</f>
        <v>26</v>
      </c>
      <c r="AA94" s="1027">
        <f t="shared" si="15"/>
        <v>26</v>
      </c>
      <c r="AB94" s="1027">
        <f t="shared" ref="AB94:AE94" si="16">COUNT(AB67:AB92)</f>
        <v>26</v>
      </c>
      <c r="AC94" s="1027">
        <f t="shared" si="16"/>
        <v>0</v>
      </c>
      <c r="AD94" s="1027">
        <f t="shared" si="16"/>
        <v>0</v>
      </c>
      <c r="AE94" s="1027">
        <f t="shared" si="16"/>
        <v>0</v>
      </c>
      <c r="AF94" s="44"/>
      <c r="AG94" s="172"/>
      <c r="AH94" s="70"/>
      <c r="AI94" s="40"/>
      <c r="AJ94" s="40"/>
      <c r="AK94" s="40"/>
      <c r="AL94" s="40"/>
      <c r="AM94" s="40"/>
      <c r="AN94" s="44"/>
      <c r="AO94" s="172"/>
      <c r="AP94" s="70"/>
      <c r="AQ94" s="40"/>
      <c r="AR94" s="40"/>
      <c r="AS94" s="40"/>
      <c r="AT94" s="40"/>
      <c r="AU94" s="44"/>
      <c r="AV94" s="172"/>
      <c r="AW94" s="172"/>
      <c r="AX94" s="172"/>
      <c r="AY94" s="172"/>
      <c r="AZ94" s="172"/>
      <c r="BA94" s="172"/>
      <c r="BB94" s="172"/>
      <c r="BC94" s="172"/>
      <c r="BD94" s="172"/>
      <c r="BE94" s="172"/>
      <c r="BF94" s="172"/>
      <c r="BG94" s="172"/>
      <c r="BH94" s="172"/>
      <c r="BI94" s="172"/>
      <c r="BJ94" s="172"/>
      <c r="BK94" s="172"/>
      <c r="BL94" s="172"/>
      <c r="BM94" s="172"/>
      <c r="BN94" s="172"/>
      <c r="BO94" s="172"/>
      <c r="BP94" s="172"/>
      <c r="BQ94" s="172"/>
      <c r="BR94" s="172"/>
      <c r="BS94" s="172"/>
      <c r="BT94" s="172"/>
      <c r="BU94" s="172"/>
      <c r="BV94" s="172"/>
      <c r="BW94" s="172"/>
      <c r="BX94" s="172"/>
      <c r="BY94" s="172"/>
      <c r="BZ94" s="172"/>
      <c r="CA94" s="172"/>
      <c r="CB94" s="172"/>
      <c r="CC94" s="172"/>
      <c r="CD94" s="172"/>
      <c r="CE94" s="172"/>
      <c r="CF94" s="172"/>
      <c r="CG94" s="172"/>
      <c r="CH94" s="172"/>
      <c r="CI94" s="172"/>
      <c r="CJ94" s="172"/>
      <c r="CK94" s="172"/>
      <c r="CL94" s="172"/>
      <c r="CM94" s="172"/>
      <c r="CN94" s="172"/>
      <c r="CO94" s="172"/>
      <c r="CP94" s="172"/>
      <c r="CQ94" s="172"/>
    </row>
    <row r="95" spans="1:95" s="12" customFormat="1">
      <c r="A95" s="114"/>
      <c r="B95" s="114"/>
      <c r="C95" s="775" t="s">
        <v>286</v>
      </c>
      <c r="D95" s="1026">
        <f>D93/D94</f>
        <v>0.84615384615384615</v>
      </c>
      <c r="E95" s="1026">
        <f t="shared" ref="E95:S95" si="17">E93/E94</f>
        <v>0.88461538461538458</v>
      </c>
      <c r="F95" s="1026">
        <f t="shared" si="17"/>
        <v>0.92307692307692313</v>
      </c>
      <c r="G95" s="1026">
        <f t="shared" si="17"/>
        <v>0.92307692307692313</v>
      </c>
      <c r="H95" s="1026">
        <f t="shared" si="17"/>
        <v>1</v>
      </c>
      <c r="I95" s="1026">
        <f t="shared" si="17"/>
        <v>0.96153846153846156</v>
      </c>
      <c r="J95" s="1026">
        <f t="shared" si="17"/>
        <v>0.84615384615384615</v>
      </c>
      <c r="K95" s="1026">
        <f t="shared" si="17"/>
        <v>0.73076923076923073</v>
      </c>
      <c r="L95" s="1026">
        <f t="shared" si="17"/>
        <v>0.56000000000000005</v>
      </c>
      <c r="M95" s="1026">
        <f t="shared" si="17"/>
        <v>0.53846153846153844</v>
      </c>
      <c r="N95" s="2085">
        <f t="shared" si="17"/>
        <v>0.53846153846153844</v>
      </c>
      <c r="O95" s="1026" t="e">
        <f t="shared" si="17"/>
        <v>#DIV/0!</v>
      </c>
      <c r="P95" s="1026">
        <f t="shared" si="17"/>
        <v>0.57692307692307687</v>
      </c>
      <c r="Q95" s="1026">
        <f t="shared" si="17"/>
        <v>0.96</v>
      </c>
      <c r="R95" s="1026">
        <f t="shared" si="17"/>
        <v>0.92307692307692313</v>
      </c>
      <c r="S95" s="1026">
        <f t="shared" si="17"/>
        <v>0.73076923076923073</v>
      </c>
      <c r="T95" s="1026">
        <f t="shared" ref="T95:U95" si="18">T93/T94</f>
        <v>0.69230769230769229</v>
      </c>
      <c r="U95" s="1026">
        <f t="shared" si="18"/>
        <v>0.72</v>
      </c>
      <c r="V95" s="1026">
        <f t="shared" ref="V95:Y95" si="19">V93/V94</f>
        <v>0.73076923076923073</v>
      </c>
      <c r="W95" s="1026">
        <f t="shared" si="19"/>
        <v>0.46153846153846156</v>
      </c>
      <c r="X95" s="1026">
        <f t="shared" si="19"/>
        <v>0.53846153846153844</v>
      </c>
      <c r="Y95" s="1026">
        <f t="shared" si="19"/>
        <v>0.88461538461538458</v>
      </c>
      <c r="Z95" s="1026">
        <f t="shared" ref="Z95:AA95" si="20">Z93/Z94</f>
        <v>1</v>
      </c>
      <c r="AA95" s="1026">
        <f t="shared" si="20"/>
        <v>1</v>
      </c>
      <c r="AB95" s="1026">
        <f t="shared" ref="AB95:AE95" si="21">AB93/AB94</f>
        <v>1</v>
      </c>
      <c r="AC95" s="1026" t="e">
        <f t="shared" si="21"/>
        <v>#DIV/0!</v>
      </c>
      <c r="AD95" s="1026" t="e">
        <f t="shared" si="21"/>
        <v>#DIV/0!</v>
      </c>
      <c r="AE95" s="1026" t="e">
        <f t="shared" si="21"/>
        <v>#DIV/0!</v>
      </c>
      <c r="AF95" s="44"/>
      <c r="AG95" s="172"/>
      <c r="AH95" s="70"/>
      <c r="AI95" s="40"/>
      <c r="AJ95" s="40"/>
      <c r="AK95" s="40"/>
      <c r="AL95" s="40"/>
      <c r="AM95" s="40"/>
      <c r="AN95" s="44"/>
      <c r="AO95" s="172"/>
      <c r="AP95" s="70"/>
      <c r="AQ95" s="40"/>
      <c r="AR95" s="40"/>
      <c r="AS95" s="40"/>
      <c r="AT95" s="40"/>
      <c r="AU95" s="44"/>
      <c r="AV95" s="172"/>
      <c r="AW95" s="172"/>
      <c r="AX95" s="172"/>
      <c r="AY95" s="172"/>
      <c r="AZ95" s="172"/>
      <c r="BA95" s="172"/>
      <c r="BB95" s="172"/>
      <c r="BC95" s="172"/>
      <c r="BD95" s="172"/>
      <c r="BE95" s="172"/>
      <c r="BF95" s="172"/>
      <c r="BG95" s="172"/>
      <c r="BH95" s="172"/>
      <c r="BI95" s="172"/>
      <c r="BJ95" s="172"/>
      <c r="BK95" s="172"/>
      <c r="BL95" s="172"/>
      <c r="BM95" s="172"/>
      <c r="BN95" s="172"/>
      <c r="BO95" s="172"/>
      <c r="BP95" s="172"/>
      <c r="BQ95" s="172"/>
      <c r="BR95" s="172"/>
      <c r="BS95" s="172"/>
      <c r="BT95" s="172"/>
      <c r="BU95" s="172"/>
      <c r="BV95" s="172"/>
      <c r="BW95" s="172"/>
      <c r="BX95" s="172"/>
      <c r="BY95" s="172"/>
      <c r="BZ95" s="172"/>
      <c r="CA95" s="172"/>
      <c r="CB95" s="172"/>
      <c r="CC95" s="172"/>
      <c r="CD95" s="172"/>
      <c r="CE95" s="172"/>
      <c r="CF95" s="172"/>
      <c r="CG95" s="172"/>
      <c r="CH95" s="172"/>
      <c r="CI95" s="172"/>
      <c r="CJ95" s="172"/>
      <c r="CK95" s="172"/>
      <c r="CL95" s="172"/>
      <c r="CM95" s="172"/>
      <c r="CN95" s="172"/>
      <c r="CO95" s="172"/>
      <c r="CP95" s="172"/>
      <c r="CQ95" s="172"/>
    </row>
    <row r="96" spans="1:95" s="12" customFormat="1">
      <c r="A96" s="108"/>
      <c r="B96" s="108"/>
      <c r="C96" s="109"/>
      <c r="D96" s="224"/>
      <c r="E96" s="223"/>
      <c r="F96" s="223"/>
      <c r="G96" s="223"/>
      <c r="H96" s="223"/>
      <c r="I96" s="223"/>
      <c r="J96" s="206"/>
      <c r="K96" s="238"/>
      <c r="L96" s="107"/>
      <c r="M96" s="120"/>
      <c r="N96" s="2086"/>
      <c r="O96" s="120"/>
      <c r="P96" s="120"/>
      <c r="Q96" s="120"/>
      <c r="R96" s="120"/>
      <c r="S96" s="120"/>
      <c r="T96" s="120"/>
      <c r="U96" s="120"/>
      <c r="V96" s="120"/>
      <c r="W96" s="120"/>
      <c r="X96" s="767"/>
      <c r="Y96" s="61"/>
      <c r="Z96" s="61"/>
      <c r="AA96" s="61"/>
      <c r="AB96" s="40"/>
      <c r="AC96" s="40"/>
      <c r="AD96" s="40"/>
      <c r="AE96" s="40"/>
      <c r="AF96" s="44"/>
      <c r="AG96" s="172"/>
      <c r="AH96" s="70"/>
      <c r="AI96" s="40"/>
      <c r="AJ96" s="40"/>
      <c r="AK96" s="40"/>
      <c r="AL96" s="40"/>
      <c r="AM96" s="40"/>
      <c r="AN96" s="44"/>
      <c r="AO96" s="172"/>
      <c r="AP96" s="70"/>
      <c r="AQ96" s="40"/>
      <c r="AR96" s="40"/>
      <c r="AS96" s="40"/>
      <c r="AT96" s="40"/>
      <c r="AU96" s="44"/>
      <c r="AV96" s="172"/>
      <c r="AW96" s="172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172"/>
      <c r="BJ96" s="172"/>
      <c r="BK96" s="172"/>
      <c r="BL96" s="172"/>
      <c r="BM96" s="172"/>
      <c r="BN96" s="172"/>
      <c r="BO96" s="172"/>
      <c r="BP96" s="172"/>
      <c r="BQ96" s="172"/>
      <c r="BR96" s="172"/>
      <c r="BS96" s="172"/>
      <c r="BT96" s="172"/>
      <c r="BU96" s="172"/>
      <c r="BV96" s="172"/>
      <c r="BW96" s="172"/>
      <c r="BX96" s="172"/>
      <c r="BY96" s="172"/>
      <c r="BZ96" s="172"/>
      <c r="CA96" s="172"/>
      <c r="CB96" s="172"/>
      <c r="CC96" s="172"/>
      <c r="CD96" s="172"/>
      <c r="CE96" s="172"/>
      <c r="CF96" s="172"/>
      <c r="CG96" s="172"/>
      <c r="CH96" s="172"/>
      <c r="CI96" s="172"/>
      <c r="CJ96" s="172"/>
      <c r="CK96" s="172"/>
      <c r="CL96" s="172"/>
      <c r="CM96" s="172"/>
      <c r="CN96" s="172"/>
      <c r="CO96" s="172"/>
      <c r="CP96" s="172"/>
      <c r="CQ96" s="172"/>
    </row>
    <row r="97" spans="1:105" s="12" customFormat="1">
      <c r="A97" s="108"/>
      <c r="B97" s="108"/>
      <c r="C97" s="109"/>
      <c r="D97" s="224"/>
      <c r="E97" s="223"/>
      <c r="F97" s="3594"/>
      <c r="G97" s="3594"/>
      <c r="H97" s="3594"/>
      <c r="I97" s="3594"/>
      <c r="J97" s="107"/>
      <c r="K97" s="238"/>
      <c r="L97" s="107"/>
      <c r="M97" s="120"/>
      <c r="N97" s="3594"/>
      <c r="O97" s="3594"/>
      <c r="P97" s="3594"/>
      <c r="Q97" s="3594"/>
      <c r="R97" s="120"/>
      <c r="S97" s="120"/>
      <c r="T97" s="120"/>
      <c r="U97" s="120"/>
      <c r="V97" s="120"/>
      <c r="W97" s="120"/>
      <c r="X97" s="767"/>
      <c r="Y97" s="61"/>
      <c r="Z97" s="61"/>
      <c r="AA97" s="61"/>
      <c r="AB97" s="40"/>
      <c r="AC97" s="40"/>
      <c r="AD97" s="40"/>
      <c r="AE97" s="40"/>
      <c r="AF97" s="172"/>
      <c r="AG97" s="172"/>
      <c r="AH97" s="172"/>
      <c r="AI97" s="172"/>
      <c r="AJ97" s="172"/>
      <c r="AK97" s="172"/>
      <c r="AL97" s="172"/>
      <c r="AM97" s="172"/>
      <c r="AN97" s="172"/>
      <c r="AO97" s="172"/>
      <c r="AP97" s="172"/>
      <c r="AQ97" s="172"/>
      <c r="AR97" s="172"/>
      <c r="AS97" s="172"/>
      <c r="AT97" s="172"/>
      <c r="AU97" s="172"/>
      <c r="AV97" s="172"/>
      <c r="AW97" s="172"/>
      <c r="AX97" s="172"/>
      <c r="AY97" s="172"/>
      <c r="AZ97" s="172"/>
      <c r="BA97" s="172"/>
      <c r="BB97" s="172"/>
      <c r="BC97" s="172"/>
      <c r="BD97" s="172"/>
      <c r="BE97" s="172"/>
      <c r="BF97" s="172"/>
      <c r="BG97" s="172"/>
      <c r="BH97" s="172"/>
      <c r="BI97" s="172"/>
      <c r="BJ97" s="172"/>
      <c r="BK97" s="172"/>
      <c r="BL97" s="172"/>
      <c r="BM97" s="172"/>
      <c r="BN97" s="172"/>
      <c r="BO97" s="172"/>
      <c r="BP97" s="172"/>
      <c r="BQ97" s="172"/>
      <c r="BR97" s="172"/>
      <c r="BS97" s="172"/>
      <c r="BT97" s="172"/>
      <c r="BU97" s="172"/>
      <c r="BV97" s="172"/>
      <c r="BW97" s="172"/>
      <c r="BX97" s="172"/>
      <c r="BY97" s="172"/>
      <c r="BZ97" s="172"/>
      <c r="CA97" s="172"/>
      <c r="CB97" s="172"/>
      <c r="CC97" s="172"/>
      <c r="CD97" s="172"/>
      <c r="CE97" s="172"/>
      <c r="CF97" s="172"/>
      <c r="CG97" s="172"/>
      <c r="CH97" s="172"/>
      <c r="CI97" s="172"/>
      <c r="CJ97" s="172"/>
      <c r="CK97" s="172"/>
      <c r="CL97" s="172"/>
      <c r="CM97" s="172"/>
      <c r="CN97" s="172"/>
      <c r="CO97" s="172"/>
      <c r="CP97" s="172"/>
      <c r="CQ97" s="172"/>
    </row>
    <row r="98" spans="1:105" s="12" customFormat="1" ht="15.75" thickBot="1">
      <c r="A98" s="328" t="s">
        <v>300</v>
      </c>
      <c r="B98" s="113"/>
      <c r="C98" s="225"/>
      <c r="D98" s="226"/>
      <c r="E98" s="227"/>
      <c r="F98" s="3594"/>
      <c r="G98" s="3594"/>
      <c r="H98" s="3594"/>
      <c r="I98" s="3594"/>
      <c r="J98" s="107"/>
      <c r="K98" s="535"/>
      <c r="L98" s="107"/>
      <c r="M98" s="120"/>
      <c r="N98" s="3594"/>
      <c r="O98" s="3594"/>
      <c r="P98" s="3594"/>
      <c r="Q98" s="3594"/>
      <c r="R98" s="120"/>
      <c r="S98" s="120"/>
      <c r="T98" s="120"/>
      <c r="U98" s="120"/>
      <c r="V98" s="120"/>
      <c r="W98" s="120"/>
      <c r="X98" s="767"/>
      <c r="Y98" s="61"/>
      <c r="Z98" s="61"/>
      <c r="AA98" s="61"/>
      <c r="AB98" s="172"/>
      <c r="AC98" s="172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  <c r="AX98" s="172"/>
      <c r="AY98" s="172"/>
      <c r="AZ98" s="172"/>
      <c r="BA98" s="172"/>
      <c r="BB98" s="172"/>
      <c r="BC98" s="172"/>
      <c r="BD98" s="172"/>
      <c r="BE98" s="172"/>
      <c r="BF98" s="172"/>
      <c r="BG98" s="172"/>
      <c r="BH98" s="172"/>
      <c r="BI98" s="172"/>
      <c r="BJ98" s="172"/>
      <c r="BK98" s="172"/>
      <c r="BL98" s="172"/>
      <c r="BM98" s="172"/>
      <c r="BN98" s="172"/>
      <c r="BO98" s="172"/>
      <c r="BP98" s="172"/>
      <c r="BQ98" s="172"/>
      <c r="BR98" s="172"/>
      <c r="BS98" s="172"/>
      <c r="BT98" s="172"/>
      <c r="BU98" s="172"/>
      <c r="BV98" s="172"/>
      <c r="BW98" s="172"/>
      <c r="BX98" s="172"/>
      <c r="BY98" s="172"/>
      <c r="BZ98" s="172"/>
      <c r="CA98" s="172"/>
      <c r="CB98" s="172"/>
      <c r="CC98" s="172"/>
      <c r="CD98" s="172"/>
      <c r="CE98" s="172"/>
      <c r="CF98" s="172"/>
      <c r="CG98" s="172"/>
      <c r="CH98" s="172"/>
      <c r="CI98" s="172"/>
      <c r="CJ98" s="172"/>
      <c r="CK98" s="172"/>
      <c r="CL98" s="172"/>
      <c r="CM98" s="172"/>
      <c r="CN98" s="172"/>
      <c r="CO98" s="172"/>
      <c r="CP98" s="172"/>
      <c r="CQ98" s="172"/>
    </row>
    <row r="99" spans="1:105" s="12" customFormat="1">
      <c r="A99" s="1023" t="s">
        <v>67</v>
      </c>
      <c r="B99" s="995">
        <f>COUNTA(C99:C104)</f>
        <v>6</v>
      </c>
      <c r="C99" s="1161" t="s">
        <v>190</v>
      </c>
      <c r="D99" s="1112">
        <v>0.622</v>
      </c>
      <c r="E99" s="1114">
        <v>0.378</v>
      </c>
      <c r="F99" s="1114">
        <v>3.9E-2</v>
      </c>
      <c r="G99" s="1162" t="s">
        <v>82</v>
      </c>
      <c r="H99" s="1158">
        <v>0.35899999999999999</v>
      </c>
      <c r="I99" s="1112">
        <v>0.19800000000000001</v>
      </c>
      <c r="J99" s="1185">
        <v>1E-3</v>
      </c>
      <c r="K99" s="1381">
        <v>7.0000000000000007E-2</v>
      </c>
      <c r="L99" s="1460">
        <v>0.26900000000000002</v>
      </c>
      <c r="M99" s="1461"/>
      <c r="N99" s="2082"/>
      <c r="O99" s="2115"/>
      <c r="P99" s="2239">
        <v>0.32900000000000001</v>
      </c>
      <c r="Q99" s="2463">
        <v>0.29849999999999999</v>
      </c>
      <c r="R99" s="1462"/>
      <c r="S99" s="1463"/>
      <c r="T99" s="57"/>
      <c r="U99" s="3050"/>
      <c r="V99" s="1">
        <v>8.4000000000000005E-2</v>
      </c>
      <c r="W99" s="3050"/>
      <c r="X99" s="3050"/>
      <c r="Y99" s="3050"/>
      <c r="Z99" s="3050"/>
      <c r="AA99" s="3050"/>
      <c r="AB99" s="3050"/>
      <c r="AC99" s="3050"/>
      <c r="AD99" s="3050"/>
      <c r="AE99" s="3050"/>
      <c r="AF99" s="172"/>
      <c r="AG99" s="172"/>
      <c r="AH99" s="172"/>
      <c r="AI99" s="172"/>
      <c r="AJ99" s="172"/>
      <c r="AK99" s="172"/>
      <c r="AL99" s="172"/>
      <c r="AM99" s="172"/>
      <c r="AN99" s="172"/>
      <c r="AO99" s="172"/>
      <c r="AP99" s="172"/>
      <c r="AQ99" s="172"/>
      <c r="AR99" s="172"/>
      <c r="AS99" s="172"/>
      <c r="AT99" s="172"/>
      <c r="AU99" s="172"/>
      <c r="AV99" s="172"/>
      <c r="AW99" s="172"/>
      <c r="AX99" s="172"/>
      <c r="AY99" s="172"/>
      <c r="AZ99" s="172"/>
      <c r="BA99" s="172"/>
      <c r="BB99" s="172"/>
      <c r="BC99" s="172"/>
      <c r="BD99" s="172"/>
      <c r="BE99" s="172"/>
      <c r="BF99" s="172"/>
      <c r="BG99" s="172"/>
      <c r="BH99" s="172"/>
      <c r="BI99" s="172"/>
      <c r="BJ99" s="172"/>
      <c r="BK99" s="172"/>
      <c r="BL99" s="172"/>
      <c r="BM99" s="172"/>
      <c r="BN99" s="172"/>
      <c r="BO99" s="172"/>
      <c r="BP99" s="172"/>
      <c r="BQ99" s="172"/>
      <c r="BR99" s="172"/>
      <c r="BS99" s="172"/>
      <c r="BT99" s="172"/>
      <c r="BU99" s="172"/>
      <c r="BV99" s="172"/>
      <c r="BW99" s="172"/>
      <c r="BX99" s="172"/>
      <c r="BY99" s="172"/>
      <c r="BZ99" s="172"/>
      <c r="CA99" s="172"/>
      <c r="CB99" s="172"/>
      <c r="CC99" s="172"/>
      <c r="CD99" s="172"/>
      <c r="CE99" s="172"/>
      <c r="CF99" s="172"/>
      <c r="CG99" s="172"/>
      <c r="CH99" s="172"/>
      <c r="CI99" s="172"/>
      <c r="CJ99" s="172"/>
      <c r="CK99" s="172"/>
      <c r="CL99" s="172"/>
      <c r="CM99" s="172"/>
      <c r="CN99" s="172"/>
      <c r="CO99" s="172"/>
      <c r="CP99" s="172"/>
      <c r="CQ99" s="172"/>
    </row>
    <row r="100" spans="1:105" s="12" customFormat="1">
      <c r="A100" s="1199" t="s">
        <v>67</v>
      </c>
      <c r="B100" s="996"/>
      <c r="C100" s="1163" t="s">
        <v>269</v>
      </c>
      <c r="D100" s="1122"/>
      <c r="E100" s="1003"/>
      <c r="F100" s="1003"/>
      <c r="G100" s="1164"/>
      <c r="H100" s="718"/>
      <c r="I100" s="1122"/>
      <c r="J100" s="1188"/>
      <c r="K100" s="1382"/>
      <c r="L100" s="1464">
        <v>1.2999999999999999E-2</v>
      </c>
      <c r="M100" s="1465"/>
      <c r="N100" s="2080"/>
      <c r="O100" s="2116"/>
      <c r="P100" s="2236">
        <v>7.1999999999999995E-2</v>
      </c>
      <c r="Q100" s="2456">
        <v>1.4999999999999999E-2</v>
      </c>
      <c r="R100" s="1466"/>
      <c r="S100" s="1467"/>
      <c r="T100" s="57"/>
      <c r="U100" s="1466"/>
      <c r="V100" s="1">
        <v>2.2360000000000002</v>
      </c>
      <c r="W100" s="1466"/>
      <c r="X100" s="1466"/>
      <c r="Y100" s="1466"/>
      <c r="Z100" s="1466"/>
      <c r="AA100" s="1466"/>
      <c r="AB100" s="1466"/>
      <c r="AC100" s="1466"/>
      <c r="AD100" s="1466"/>
      <c r="AE100" s="1466"/>
      <c r="AF100" s="172"/>
      <c r="AG100" s="172"/>
      <c r="AH100" s="172"/>
      <c r="AI100" s="172"/>
      <c r="AJ100" s="172"/>
      <c r="AK100" s="172"/>
      <c r="AL100" s="172"/>
      <c r="AM100" s="172"/>
      <c r="AN100" s="172"/>
      <c r="AO100" s="172"/>
      <c r="AP100" s="172"/>
      <c r="AQ100" s="172"/>
      <c r="AR100" s="172"/>
      <c r="AS100" s="172"/>
      <c r="AT100" s="172"/>
      <c r="AU100" s="172"/>
      <c r="AV100" s="172"/>
      <c r="AW100" s="172"/>
      <c r="AX100" s="172"/>
      <c r="AY100" s="172"/>
      <c r="AZ100" s="172"/>
      <c r="BA100" s="172"/>
      <c r="BB100" s="172"/>
      <c r="BC100" s="172"/>
      <c r="BD100" s="172"/>
      <c r="BE100" s="172"/>
      <c r="BF100" s="172"/>
      <c r="BG100" s="172"/>
      <c r="BH100" s="172"/>
      <c r="BI100" s="172"/>
      <c r="BJ100" s="172"/>
      <c r="BK100" s="172"/>
      <c r="BL100" s="172"/>
      <c r="BM100" s="172"/>
      <c r="BN100" s="172"/>
      <c r="BO100" s="172"/>
      <c r="BP100" s="172"/>
      <c r="BQ100" s="172"/>
      <c r="BR100" s="172"/>
      <c r="BS100" s="172"/>
      <c r="BT100" s="172"/>
      <c r="BU100" s="172"/>
      <c r="BV100" s="172"/>
      <c r="BW100" s="172"/>
      <c r="BX100" s="172"/>
      <c r="BY100" s="172"/>
      <c r="BZ100" s="172"/>
      <c r="CA100" s="172"/>
      <c r="CB100" s="172"/>
      <c r="CC100" s="172"/>
      <c r="CD100" s="172"/>
      <c r="CE100" s="172"/>
      <c r="CF100" s="172"/>
      <c r="CG100" s="172"/>
      <c r="CH100" s="172"/>
      <c r="CI100" s="172"/>
      <c r="CJ100" s="172"/>
      <c r="CK100" s="172"/>
      <c r="CL100" s="172"/>
      <c r="CM100" s="172"/>
      <c r="CN100" s="172"/>
      <c r="CO100" s="172"/>
      <c r="CP100" s="172"/>
      <c r="CQ100" s="172"/>
    </row>
    <row r="101" spans="1:105" s="12" customFormat="1">
      <c r="A101" s="1199" t="s">
        <v>67</v>
      </c>
      <c r="B101" s="996"/>
      <c r="C101" s="1163" t="s">
        <v>267</v>
      </c>
      <c r="D101" s="1122"/>
      <c r="E101" s="1003"/>
      <c r="F101" s="1003"/>
      <c r="G101" s="1164"/>
      <c r="H101" s="718"/>
      <c r="I101" s="1122"/>
      <c r="J101" s="1188"/>
      <c r="K101" s="1382"/>
      <c r="L101" s="1464">
        <v>0.111</v>
      </c>
      <c r="M101" s="1465"/>
      <c r="N101" s="2080"/>
      <c r="O101" s="2116"/>
      <c r="P101" s="2236">
        <v>0.13700000000000001</v>
      </c>
      <c r="Q101" s="2456">
        <v>7.4999999999999997E-2</v>
      </c>
      <c r="R101" s="1466"/>
      <c r="S101" s="1467"/>
      <c r="T101" s="57"/>
      <c r="U101" s="1466"/>
      <c r="V101" s="1">
        <v>0.51700000000000002</v>
      </c>
      <c r="W101" s="1466"/>
      <c r="X101" s="1466"/>
      <c r="Y101" s="1466"/>
      <c r="Z101" s="1466"/>
      <c r="AA101" s="1466"/>
      <c r="AB101" s="1466"/>
      <c r="AC101" s="1466"/>
      <c r="AD101" s="1466"/>
      <c r="AE101" s="1466"/>
      <c r="AF101" s="172"/>
      <c r="AG101" s="172"/>
      <c r="AH101" s="172"/>
      <c r="AI101" s="172"/>
      <c r="AJ101" s="172"/>
      <c r="AK101" s="172"/>
      <c r="AL101" s="172"/>
      <c r="AM101" s="172"/>
      <c r="AN101" s="172"/>
      <c r="AO101" s="172"/>
      <c r="AP101" s="172"/>
      <c r="AQ101" s="172"/>
      <c r="AR101" s="172"/>
      <c r="AS101" s="172"/>
      <c r="AT101" s="172"/>
      <c r="AU101" s="172"/>
      <c r="AV101" s="172"/>
      <c r="AW101" s="172"/>
      <c r="AX101" s="172"/>
      <c r="AY101" s="172"/>
      <c r="AZ101" s="172"/>
      <c r="BA101" s="172"/>
      <c r="BB101" s="172"/>
      <c r="BC101" s="172"/>
      <c r="BD101" s="172"/>
      <c r="BE101" s="172"/>
      <c r="BF101" s="172"/>
      <c r="BG101" s="172"/>
      <c r="BH101" s="172"/>
      <c r="BI101" s="172"/>
      <c r="BJ101" s="172"/>
      <c r="BK101" s="172"/>
      <c r="BL101" s="172"/>
      <c r="BM101" s="172"/>
      <c r="BN101" s="172"/>
      <c r="BO101" s="172"/>
      <c r="BP101" s="172"/>
      <c r="BQ101" s="172"/>
      <c r="BR101" s="172"/>
      <c r="BS101" s="172"/>
      <c r="BT101" s="172"/>
      <c r="BU101" s="172"/>
      <c r="BV101" s="172"/>
      <c r="BW101" s="172"/>
      <c r="BX101" s="172"/>
      <c r="BY101" s="172"/>
      <c r="BZ101" s="172"/>
      <c r="CA101" s="172"/>
      <c r="CB101" s="172"/>
      <c r="CC101" s="172"/>
      <c r="CD101" s="172"/>
      <c r="CE101" s="172"/>
      <c r="CF101" s="172"/>
      <c r="CG101" s="172"/>
      <c r="CH101" s="172"/>
      <c r="CI101" s="172"/>
      <c r="CJ101" s="172"/>
      <c r="CK101" s="172"/>
      <c r="CL101" s="172"/>
      <c r="CM101" s="172"/>
      <c r="CN101" s="172"/>
      <c r="CO101" s="172"/>
      <c r="CP101" s="172"/>
      <c r="CQ101" s="172"/>
    </row>
    <row r="102" spans="1:105" s="12" customFormat="1">
      <c r="A102" s="1199" t="s">
        <v>67</v>
      </c>
      <c r="B102" s="996"/>
      <c r="C102" s="1163" t="s">
        <v>77</v>
      </c>
      <c r="D102" s="1122">
        <v>1E-3</v>
      </c>
      <c r="E102" s="1003">
        <v>1E-3</v>
      </c>
      <c r="F102" s="1003">
        <v>0.03</v>
      </c>
      <c r="G102" s="1164" t="s">
        <v>82</v>
      </c>
      <c r="H102" s="718">
        <v>1.0999999999999999E-2</v>
      </c>
      <c r="I102" s="1122">
        <v>2E-3</v>
      </c>
      <c r="J102" s="1188">
        <v>1E-3</v>
      </c>
      <c r="K102" s="1382">
        <v>0.01</v>
      </c>
      <c r="L102" s="1464">
        <v>0.375</v>
      </c>
      <c r="M102" s="1465"/>
      <c r="N102" s="1418"/>
      <c r="O102" s="2117"/>
      <c r="P102" s="2204">
        <v>0.33200000000000002</v>
      </c>
      <c r="Q102" s="2454">
        <v>0.30199999999999999</v>
      </c>
      <c r="R102" s="1468"/>
      <c r="S102" s="1469"/>
      <c r="T102" s="174"/>
      <c r="U102" s="1468"/>
      <c r="V102" s="1">
        <v>0.63600000000000001</v>
      </c>
      <c r="W102" s="1468"/>
      <c r="X102" s="1468"/>
      <c r="Y102" s="1468"/>
      <c r="Z102" s="1468"/>
      <c r="AA102" s="1468"/>
      <c r="AB102" s="1468"/>
      <c r="AC102" s="1468"/>
      <c r="AD102" s="1468"/>
      <c r="AE102" s="1468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2"/>
      <c r="AZ102" s="172"/>
      <c r="BA102" s="172"/>
      <c r="BB102" s="172"/>
      <c r="BC102" s="172"/>
      <c r="BD102" s="172"/>
      <c r="BE102" s="172"/>
      <c r="BF102" s="172"/>
      <c r="BG102" s="172"/>
      <c r="BH102" s="172"/>
      <c r="BI102" s="172"/>
      <c r="BJ102" s="172"/>
      <c r="BK102" s="172"/>
      <c r="BL102" s="172"/>
      <c r="BM102" s="172"/>
      <c r="BN102" s="172"/>
      <c r="BO102" s="172"/>
      <c r="BP102" s="172"/>
      <c r="BQ102" s="172"/>
      <c r="BR102" s="172"/>
      <c r="BS102" s="172"/>
      <c r="BT102" s="172"/>
      <c r="BU102" s="172"/>
      <c r="BV102" s="172"/>
      <c r="BW102" s="172"/>
      <c r="BX102" s="172"/>
      <c r="BY102" s="172"/>
      <c r="BZ102" s="172"/>
      <c r="CA102" s="172"/>
      <c r="CB102" s="172"/>
      <c r="CC102" s="172"/>
      <c r="CD102" s="172"/>
      <c r="CE102" s="172"/>
      <c r="CF102" s="172"/>
      <c r="CG102" s="172"/>
      <c r="CH102" s="172"/>
      <c r="CI102" s="172"/>
      <c r="CJ102" s="172"/>
      <c r="CK102" s="172"/>
      <c r="CL102" s="172"/>
      <c r="CM102" s="172"/>
      <c r="CN102" s="172"/>
      <c r="CO102" s="172"/>
      <c r="CP102" s="172"/>
      <c r="CQ102" s="172"/>
    </row>
    <row r="103" spans="1:105" s="12" customFormat="1">
      <c r="A103" s="1199" t="s">
        <v>67</v>
      </c>
      <c r="B103" s="996"/>
      <c r="C103" s="1163" t="s">
        <v>268</v>
      </c>
      <c r="D103" s="1122"/>
      <c r="E103" s="1003"/>
      <c r="F103" s="1003"/>
      <c r="G103" s="1164"/>
      <c r="H103" s="718"/>
      <c r="I103" s="1122"/>
      <c r="J103" s="1188"/>
      <c r="K103" s="1382"/>
      <c r="L103" s="1464">
        <v>0.105</v>
      </c>
      <c r="M103" s="1465"/>
      <c r="N103" s="1418"/>
      <c r="O103" s="2117"/>
      <c r="P103" s="2204">
        <v>2.5000000000000001E-2</v>
      </c>
      <c r="Q103" s="2454">
        <v>1E-3</v>
      </c>
      <c r="R103" s="1468"/>
      <c r="S103" s="1469"/>
      <c r="T103" s="174"/>
      <c r="U103" s="1468"/>
      <c r="V103" s="1">
        <v>0.64700000000000002</v>
      </c>
      <c r="W103" s="1468"/>
      <c r="X103" s="1468"/>
      <c r="Y103" s="1468"/>
      <c r="Z103" s="1468"/>
      <c r="AA103" s="1468"/>
      <c r="AB103" s="1468"/>
      <c r="AC103" s="1468"/>
      <c r="AD103" s="1468"/>
      <c r="AE103" s="1468"/>
      <c r="AF103" s="172"/>
      <c r="AG103" s="172"/>
      <c r="AH103" s="172"/>
      <c r="AI103" s="172"/>
      <c r="AJ103" s="172"/>
      <c r="AK103" s="172"/>
      <c r="AL103" s="172"/>
      <c r="AM103" s="172"/>
      <c r="AN103" s="172"/>
      <c r="AO103" s="172"/>
      <c r="AP103" s="172"/>
      <c r="AQ103" s="172"/>
      <c r="AR103" s="172"/>
      <c r="AS103" s="172"/>
      <c r="AT103" s="172"/>
      <c r="AU103" s="172"/>
      <c r="AV103" s="172"/>
      <c r="AW103" s="172"/>
      <c r="AX103" s="172"/>
      <c r="AY103" s="172"/>
      <c r="AZ103" s="172"/>
      <c r="BA103" s="172"/>
      <c r="BB103" s="172"/>
      <c r="BC103" s="172"/>
      <c r="BD103" s="172"/>
      <c r="BE103" s="172"/>
      <c r="BF103" s="172"/>
      <c r="BG103" s="172"/>
      <c r="BH103" s="172"/>
      <c r="BI103" s="172"/>
      <c r="BJ103" s="172"/>
      <c r="BK103" s="172"/>
      <c r="BL103" s="172"/>
      <c r="BM103" s="172"/>
      <c r="BN103" s="172"/>
      <c r="BO103" s="172"/>
      <c r="BP103" s="172"/>
      <c r="BQ103" s="172"/>
      <c r="BR103" s="172"/>
      <c r="BS103" s="172"/>
      <c r="BT103" s="172"/>
      <c r="BU103" s="172"/>
      <c r="BV103" s="172"/>
      <c r="BW103" s="172"/>
      <c r="BX103" s="172"/>
      <c r="BY103" s="172"/>
      <c r="BZ103" s="172"/>
      <c r="CA103" s="172"/>
      <c r="CB103" s="172"/>
      <c r="CC103" s="172"/>
      <c r="CD103" s="172"/>
      <c r="CE103" s="172"/>
      <c r="CF103" s="172"/>
      <c r="CG103" s="172"/>
      <c r="CH103" s="172"/>
      <c r="CI103" s="172"/>
      <c r="CJ103" s="172"/>
      <c r="CK103" s="172"/>
      <c r="CL103" s="172"/>
      <c r="CM103" s="172"/>
      <c r="CN103" s="172"/>
      <c r="CO103" s="172"/>
      <c r="CP103" s="172"/>
      <c r="CQ103" s="172"/>
    </row>
    <row r="104" spans="1:105" s="12" customFormat="1" ht="15.75" thickBot="1">
      <c r="A104" s="1205" t="s">
        <v>67</v>
      </c>
      <c r="B104" s="997"/>
      <c r="C104" s="1165" t="s">
        <v>191</v>
      </c>
      <c r="D104" s="1146">
        <v>1E-3</v>
      </c>
      <c r="E104" s="1147">
        <v>1.0509999999999999</v>
      </c>
      <c r="F104" s="1147">
        <v>7.9000000000000001E-2</v>
      </c>
      <c r="G104" s="1166" t="s">
        <v>82</v>
      </c>
      <c r="H104" s="1160">
        <v>0.438</v>
      </c>
      <c r="I104" s="1146">
        <v>0.35799999999999998</v>
      </c>
      <c r="J104" s="1193">
        <v>1E-3</v>
      </c>
      <c r="K104" s="1383">
        <v>0.02</v>
      </c>
      <c r="L104" s="1470">
        <v>0.19800000000000001</v>
      </c>
      <c r="M104" s="1471"/>
      <c r="N104" s="2081"/>
      <c r="O104" s="2118"/>
      <c r="P104" s="2234">
        <v>0.47199999999999998</v>
      </c>
      <c r="Q104" s="2464">
        <v>0.69699999999999995</v>
      </c>
      <c r="R104" s="1472"/>
      <c r="S104" s="1473"/>
      <c r="T104" s="174"/>
      <c r="U104" s="3051"/>
      <c r="V104" s="1">
        <v>4.9000000000000002E-2</v>
      </c>
      <c r="W104" s="3051"/>
      <c r="X104" s="3051"/>
      <c r="Y104" s="3051"/>
      <c r="Z104" s="3051"/>
      <c r="AA104" s="3051"/>
      <c r="AB104" s="3051"/>
      <c r="AC104" s="3051"/>
      <c r="AD104" s="3051"/>
      <c r="AE104" s="3051"/>
      <c r="AF104" s="172"/>
      <c r="AG104" s="172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172"/>
      <c r="BN104" s="172"/>
      <c r="BO104" s="172"/>
      <c r="BP104" s="172"/>
      <c r="BQ104" s="172"/>
      <c r="BR104" s="172"/>
      <c r="BS104" s="172"/>
      <c r="BT104" s="172"/>
      <c r="BU104" s="172"/>
      <c r="BV104" s="172"/>
      <c r="BW104" s="172"/>
      <c r="BX104" s="172"/>
      <c r="BY104" s="172"/>
      <c r="BZ104" s="172"/>
      <c r="CA104" s="172"/>
      <c r="CB104" s="172"/>
      <c r="CC104" s="172"/>
      <c r="CD104" s="172"/>
      <c r="CE104" s="172"/>
      <c r="CF104" s="172"/>
      <c r="CG104" s="172"/>
      <c r="CH104" s="172"/>
      <c r="CI104" s="172"/>
      <c r="CJ104" s="172"/>
      <c r="CK104" s="172"/>
      <c r="CL104" s="172"/>
      <c r="CM104" s="172"/>
      <c r="CN104" s="172"/>
      <c r="CO104" s="172"/>
      <c r="CP104" s="172"/>
      <c r="CQ104" s="172"/>
    </row>
    <row r="105" spans="1:105" s="12" customFormat="1">
      <c r="A105" s="1023" t="s">
        <v>186</v>
      </c>
      <c r="B105" s="995">
        <f>COUNTA(C105:C112)</f>
        <v>8</v>
      </c>
      <c r="C105" s="1180" t="s">
        <v>265</v>
      </c>
      <c r="D105" s="1474"/>
      <c r="E105" s="1474"/>
      <c r="F105" s="1474"/>
      <c r="G105" s="1475"/>
      <c r="H105" s="1476"/>
      <c r="I105" s="1474"/>
      <c r="J105" s="1474"/>
      <c r="K105" s="1475"/>
      <c r="L105" s="1268">
        <v>0.03</v>
      </c>
      <c r="M105" s="1477"/>
      <c r="N105" s="2082"/>
      <c r="O105" s="2119"/>
      <c r="P105" s="2235">
        <v>2E-3</v>
      </c>
      <c r="Q105" s="2455">
        <v>8.2500000000000004E-2</v>
      </c>
      <c r="R105" s="1478"/>
      <c r="S105" s="1479"/>
      <c r="T105" s="174"/>
      <c r="U105" s="3054"/>
      <c r="V105" s="3045">
        <v>1.9E-2</v>
      </c>
      <c r="W105" s="3054"/>
      <c r="X105" s="3054"/>
      <c r="Y105" s="3054"/>
      <c r="Z105" s="3054"/>
      <c r="AA105" s="3054"/>
      <c r="AB105" s="3054"/>
      <c r="AC105" s="3054"/>
      <c r="AD105" s="3054"/>
      <c r="AE105" s="3054"/>
      <c r="AF105" s="172"/>
      <c r="AG105" s="172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172"/>
      <c r="AZ105" s="172"/>
      <c r="BA105" s="172"/>
      <c r="BB105" s="172"/>
      <c r="BC105" s="172"/>
      <c r="BD105" s="172"/>
      <c r="BE105" s="172"/>
      <c r="BF105" s="172"/>
      <c r="BG105" s="172"/>
      <c r="BH105" s="172"/>
      <c r="BI105" s="172"/>
      <c r="BJ105" s="172"/>
      <c r="BK105" s="172"/>
      <c r="BL105" s="172"/>
      <c r="BM105" s="172"/>
      <c r="BN105" s="172"/>
      <c r="BO105" s="172"/>
      <c r="BP105" s="172"/>
      <c r="BQ105" s="172"/>
      <c r="BR105" s="172"/>
      <c r="BS105" s="172"/>
      <c r="BT105" s="172"/>
      <c r="BU105" s="172"/>
      <c r="BV105" s="172"/>
      <c r="BW105" s="172"/>
      <c r="BX105" s="172"/>
      <c r="BY105" s="172"/>
      <c r="BZ105" s="172"/>
      <c r="CA105" s="172"/>
      <c r="CB105" s="172"/>
      <c r="CC105" s="172"/>
      <c r="CD105" s="172"/>
      <c r="CE105" s="172"/>
      <c r="CF105" s="172"/>
      <c r="CG105" s="172"/>
      <c r="CH105" s="172"/>
      <c r="CI105" s="172"/>
      <c r="CJ105" s="172"/>
      <c r="CK105" s="172"/>
      <c r="CL105" s="172"/>
      <c r="CM105" s="172"/>
      <c r="CN105" s="172"/>
      <c r="CO105" s="172"/>
      <c r="CP105" s="172"/>
      <c r="CQ105" s="172"/>
    </row>
    <row r="106" spans="1:105" s="12" customFormat="1">
      <c r="A106" s="1199" t="s">
        <v>186</v>
      </c>
      <c r="B106" s="996"/>
      <c r="C106" s="1163" t="s">
        <v>79</v>
      </c>
      <c r="D106" s="1003">
        <v>1E-3</v>
      </c>
      <c r="E106" s="1003">
        <v>1.6</v>
      </c>
      <c r="F106" s="1003">
        <v>1E-3</v>
      </c>
      <c r="G106" s="1480" t="s">
        <v>82</v>
      </c>
      <c r="H106" s="718">
        <v>1E-3</v>
      </c>
      <c r="I106" s="1122">
        <v>8.9999999999999993E-3</v>
      </c>
      <c r="J106" s="1189">
        <v>0</v>
      </c>
      <c r="K106" s="1481">
        <v>0.97</v>
      </c>
      <c r="L106" s="1482">
        <v>0.48</v>
      </c>
      <c r="M106" s="1483"/>
      <c r="N106" s="2080"/>
      <c r="O106" s="2117"/>
      <c r="P106" s="2204">
        <v>8.9999999999999993E-3</v>
      </c>
      <c r="Q106" s="2454">
        <v>0.626</v>
      </c>
      <c r="R106" s="1468"/>
      <c r="S106" s="1469"/>
      <c r="T106" s="174"/>
      <c r="U106" s="1468"/>
      <c r="V106" s="3046">
        <v>0.05</v>
      </c>
      <c r="W106" s="1468"/>
      <c r="X106" s="1468"/>
      <c r="Y106" s="1468"/>
      <c r="Z106" s="1468"/>
      <c r="AA106" s="1468"/>
      <c r="AB106" s="1468"/>
      <c r="AC106" s="1468"/>
      <c r="AD106" s="1468"/>
      <c r="AE106" s="1468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172"/>
      <c r="AT106" s="172"/>
      <c r="AU106" s="172"/>
      <c r="AV106" s="172"/>
      <c r="AW106" s="172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172"/>
      <c r="BJ106" s="172"/>
      <c r="BK106" s="172"/>
      <c r="BL106" s="172"/>
      <c r="BM106" s="172"/>
      <c r="BN106" s="172"/>
      <c r="BO106" s="172"/>
      <c r="BP106" s="172"/>
      <c r="BQ106" s="172"/>
      <c r="BR106" s="172"/>
      <c r="BS106" s="172"/>
      <c r="BT106" s="172"/>
      <c r="BU106" s="172"/>
      <c r="BV106" s="172"/>
      <c r="BW106" s="172"/>
      <c r="BX106" s="172"/>
      <c r="BY106" s="172"/>
      <c r="BZ106" s="172"/>
      <c r="CA106" s="172"/>
      <c r="CB106" s="172"/>
      <c r="CC106" s="172"/>
      <c r="CD106" s="172"/>
      <c r="CE106" s="172"/>
      <c r="CF106" s="172"/>
      <c r="CG106" s="172"/>
      <c r="CH106" s="172"/>
      <c r="CI106" s="172"/>
      <c r="CJ106" s="172"/>
      <c r="CK106" s="172"/>
      <c r="CL106" s="172"/>
      <c r="CM106" s="172"/>
      <c r="CN106" s="172"/>
      <c r="CO106" s="172"/>
      <c r="CP106" s="172"/>
      <c r="CQ106" s="172"/>
    </row>
    <row r="107" spans="1:105" s="4" customFormat="1">
      <c r="A107" s="1199" t="s">
        <v>186</v>
      </c>
      <c r="B107" s="996"/>
      <c r="C107" s="1163" t="s">
        <v>188</v>
      </c>
      <c r="D107" s="1122">
        <v>1E-3</v>
      </c>
      <c r="E107" s="1003">
        <v>1.27</v>
      </c>
      <c r="F107" s="1003">
        <v>1.7000000000000001E-2</v>
      </c>
      <c r="G107" s="1480" t="s">
        <v>82</v>
      </c>
      <c r="H107" s="718">
        <v>4.4999999999999998E-2</v>
      </c>
      <c r="I107" s="1122">
        <v>0.39550000000000002</v>
      </c>
      <c r="J107" s="1189">
        <v>1E-3</v>
      </c>
      <c r="K107" s="1481">
        <v>0.71</v>
      </c>
      <c r="L107" s="1482">
        <v>0.47</v>
      </c>
      <c r="M107" s="1483"/>
      <c r="N107" s="2080"/>
      <c r="O107" s="2117"/>
      <c r="P107" s="2204">
        <v>0.106</v>
      </c>
      <c r="Q107" s="2454">
        <v>0.47099999999999997</v>
      </c>
      <c r="R107" s="1468"/>
      <c r="S107" s="1469"/>
      <c r="T107" s="174"/>
      <c r="U107" s="1468"/>
      <c r="V107" s="3046">
        <v>8.7999999999999995E-2</v>
      </c>
      <c r="W107" s="1468"/>
      <c r="X107" s="1468"/>
      <c r="Y107" s="1468"/>
      <c r="Z107" s="1468"/>
      <c r="AA107" s="1468"/>
      <c r="AB107" s="1468"/>
      <c r="AC107" s="1468"/>
      <c r="AD107" s="1468"/>
      <c r="AE107" s="1468"/>
      <c r="BB107" s="83"/>
      <c r="BC107" s="83"/>
      <c r="BD107" s="83"/>
      <c r="BE107" s="83"/>
      <c r="BF107" s="83"/>
      <c r="BG107" s="83"/>
      <c r="BH107" s="83"/>
      <c r="BI107" s="83"/>
      <c r="BJ107" s="83"/>
      <c r="BK107" s="83"/>
      <c r="BL107" s="83"/>
      <c r="BM107" s="83"/>
      <c r="BN107" s="83"/>
      <c r="BO107" s="83"/>
      <c r="BP107" s="83"/>
      <c r="BQ107" s="83"/>
      <c r="BR107" s="83"/>
      <c r="BS107" s="83"/>
      <c r="BT107" s="83"/>
      <c r="BU107" s="83"/>
      <c r="BV107" s="83"/>
      <c r="CE107" s="83"/>
      <c r="CF107" s="83"/>
      <c r="CG107" s="83"/>
      <c r="CH107" s="83"/>
      <c r="CI107" s="83"/>
      <c r="CJ107" s="83"/>
      <c r="CK107" s="83"/>
      <c r="CL107" s="83"/>
      <c r="CM107" s="83"/>
      <c r="CN107" s="83"/>
      <c r="CO107" s="83"/>
      <c r="CP107" s="83"/>
      <c r="CQ107" s="83"/>
      <c r="CR107" s="83"/>
      <c r="CS107" s="83"/>
      <c r="CT107" s="83"/>
      <c r="CU107" s="83"/>
      <c r="CV107" s="83"/>
      <c r="CW107" s="83"/>
      <c r="CX107" s="83"/>
      <c r="CY107" s="83"/>
      <c r="CZ107" s="83"/>
      <c r="DA107" s="83"/>
    </row>
    <row r="108" spans="1:105" s="4" customFormat="1">
      <c r="A108" s="1199" t="s">
        <v>186</v>
      </c>
      <c r="B108" s="996"/>
      <c r="C108" s="1163" t="s">
        <v>72</v>
      </c>
      <c r="D108" s="1122">
        <v>1E-3</v>
      </c>
      <c r="E108" s="1003">
        <v>1.1499999999999999</v>
      </c>
      <c r="F108" s="1003">
        <v>1E-3</v>
      </c>
      <c r="G108" s="1480" t="s">
        <v>82</v>
      </c>
      <c r="H108" s="718">
        <v>0.30299999999999999</v>
      </c>
      <c r="I108" s="1122">
        <v>0.496</v>
      </c>
      <c r="J108" s="1189">
        <v>2.5000000000000001E-3</v>
      </c>
      <c r="K108" s="1481">
        <v>0.06</v>
      </c>
      <c r="L108" s="1273">
        <v>0.47</v>
      </c>
      <c r="M108" s="1483"/>
      <c r="N108" s="1418"/>
      <c r="O108" s="2117"/>
      <c r="P108" s="2204">
        <v>0.33600000000000002</v>
      </c>
      <c r="Q108" s="2454">
        <v>0.19400000000000001</v>
      </c>
      <c r="R108" s="1468"/>
      <c r="S108" s="1469"/>
      <c r="T108" s="174"/>
      <c r="U108" s="1468"/>
      <c r="V108" s="3046">
        <v>8.9999999999999993E-3</v>
      </c>
      <c r="W108" s="1468"/>
      <c r="X108" s="1468"/>
      <c r="Y108" s="1468"/>
      <c r="Z108" s="1468"/>
      <c r="AA108" s="1468"/>
      <c r="AB108" s="1468"/>
      <c r="AC108" s="1468"/>
      <c r="AD108" s="1468"/>
      <c r="AE108" s="1468"/>
      <c r="BB108" s="83"/>
      <c r="BC108" s="83"/>
      <c r="BD108" s="83"/>
      <c r="BE108" s="83"/>
      <c r="BF108" s="83"/>
      <c r="BG108" s="83"/>
      <c r="BH108" s="83"/>
      <c r="BI108" s="83"/>
      <c r="BJ108" s="83"/>
      <c r="BK108" s="83"/>
      <c r="BL108" s="83"/>
      <c r="BM108" s="83"/>
      <c r="BN108" s="83"/>
      <c r="BO108" s="83"/>
      <c r="BP108" s="83"/>
      <c r="BQ108" s="83"/>
      <c r="BR108" s="83"/>
      <c r="BS108" s="83"/>
      <c r="BT108" s="83"/>
      <c r="BU108" s="83"/>
      <c r="BV108" s="83"/>
      <c r="CE108" s="83"/>
      <c r="CF108" s="83"/>
      <c r="CG108" s="83"/>
      <c r="CH108" s="83"/>
      <c r="CI108" s="83"/>
      <c r="CJ108" s="83"/>
      <c r="CK108" s="83"/>
      <c r="CL108" s="83"/>
      <c r="CM108" s="83"/>
      <c r="CN108" s="83"/>
      <c r="CO108" s="83"/>
      <c r="CP108" s="83"/>
      <c r="CQ108" s="83"/>
      <c r="CR108" s="83"/>
      <c r="CS108" s="83"/>
      <c r="CT108" s="83"/>
      <c r="CU108" s="83"/>
      <c r="CV108" s="83"/>
      <c r="CW108" s="83"/>
      <c r="CX108" s="83"/>
      <c r="CY108" s="83"/>
      <c r="CZ108" s="83"/>
      <c r="DA108" s="83"/>
    </row>
    <row r="109" spans="1:105" s="4" customFormat="1">
      <c r="A109" s="1199" t="s">
        <v>186</v>
      </c>
      <c r="B109" s="996"/>
      <c r="C109" s="1163" t="s">
        <v>76</v>
      </c>
      <c r="D109" s="1003">
        <v>1E-3</v>
      </c>
      <c r="E109" s="1003">
        <v>1.94</v>
      </c>
      <c r="F109" s="1003">
        <v>1E-3</v>
      </c>
      <c r="G109" s="1480" t="s">
        <v>82</v>
      </c>
      <c r="H109" s="718">
        <v>1.254</v>
      </c>
      <c r="I109" s="1122">
        <v>1.6645000000000001</v>
      </c>
      <c r="J109" s="1189">
        <v>0.185</v>
      </c>
      <c r="K109" s="1481">
        <v>0.67</v>
      </c>
      <c r="L109" s="1482">
        <v>0.56000000000000005</v>
      </c>
      <c r="M109" s="1483"/>
      <c r="N109" s="2080"/>
      <c r="O109" s="2116"/>
      <c r="P109" s="2236">
        <v>0.26</v>
      </c>
      <c r="Q109" s="2456">
        <v>0.54400000000000004</v>
      </c>
      <c r="R109" s="1466"/>
      <c r="S109" s="1467"/>
      <c r="T109" s="57"/>
      <c r="U109" s="1466"/>
      <c r="V109" s="3047">
        <v>1.4999999999999999E-2</v>
      </c>
      <c r="W109" s="1466"/>
      <c r="X109" s="1466"/>
      <c r="Y109" s="1466"/>
      <c r="Z109" s="1466"/>
      <c r="AA109" s="1466"/>
      <c r="AB109" s="1466"/>
      <c r="AC109" s="1466"/>
      <c r="AD109" s="1466"/>
      <c r="AE109" s="1466"/>
      <c r="BB109" s="83"/>
      <c r="BC109" s="83"/>
      <c r="BD109" s="83"/>
      <c r="BE109" s="83"/>
      <c r="BF109" s="83"/>
      <c r="BG109" s="83"/>
      <c r="BH109" s="83"/>
      <c r="BI109" s="83"/>
      <c r="BJ109" s="83"/>
      <c r="BK109" s="83"/>
      <c r="BL109" s="83"/>
      <c r="BM109" s="83"/>
      <c r="BN109" s="83"/>
      <c r="BO109" s="83"/>
      <c r="BP109" s="83"/>
      <c r="BQ109" s="83"/>
      <c r="BR109" s="83"/>
      <c r="BS109" s="83"/>
      <c r="BT109" s="83"/>
      <c r="BU109" s="83"/>
      <c r="BV109" s="83"/>
      <c r="CE109" s="83"/>
      <c r="CF109" s="83"/>
      <c r="CG109" s="83"/>
      <c r="CH109" s="83"/>
      <c r="CI109" s="83"/>
      <c r="CJ109" s="83"/>
      <c r="CK109" s="83"/>
      <c r="CL109" s="83"/>
      <c r="CM109" s="83"/>
      <c r="CN109" s="83"/>
      <c r="CO109" s="83"/>
      <c r="CP109" s="83"/>
      <c r="CQ109" s="83"/>
      <c r="CR109" s="83"/>
      <c r="CS109" s="83"/>
      <c r="CT109" s="83"/>
      <c r="CU109" s="83"/>
      <c r="CV109" s="83"/>
      <c r="CW109" s="83"/>
      <c r="CX109" s="83"/>
      <c r="CY109" s="83"/>
      <c r="CZ109" s="83"/>
      <c r="DA109" s="83"/>
    </row>
    <row r="110" spans="1:105" s="4" customFormat="1">
      <c r="A110" s="1199" t="s">
        <v>186</v>
      </c>
      <c r="B110" s="996"/>
      <c r="C110" s="1163" t="s">
        <v>189</v>
      </c>
      <c r="D110" s="1122">
        <v>1E-3</v>
      </c>
      <c r="E110" s="1003">
        <v>1.6</v>
      </c>
      <c r="F110" s="1003">
        <v>3.4000000000000002E-2</v>
      </c>
      <c r="G110" s="1480" t="s">
        <v>82</v>
      </c>
      <c r="H110" s="718">
        <v>5.0000000000000001E-3</v>
      </c>
      <c r="I110" s="1122">
        <v>5.8000000000000003E-2</v>
      </c>
      <c r="J110" s="1189">
        <v>0</v>
      </c>
      <c r="K110" s="1481">
        <v>0.52</v>
      </c>
      <c r="L110" s="1482">
        <v>0.4</v>
      </c>
      <c r="M110" s="1483"/>
      <c r="N110" s="2080"/>
      <c r="O110" s="2114"/>
      <c r="P110" s="2204">
        <v>8.5999999999999993E-2</v>
      </c>
      <c r="Q110" s="2457">
        <v>1.0255000000000001</v>
      </c>
      <c r="R110" s="1459"/>
      <c r="S110" s="1484"/>
      <c r="T110" s="40"/>
      <c r="U110" s="1459"/>
      <c r="V110" s="3048">
        <v>8.1000000000000003E-2</v>
      </c>
      <c r="W110" s="1459"/>
      <c r="X110" s="3496"/>
      <c r="Y110" s="3496"/>
      <c r="Z110" s="3496"/>
      <c r="AA110" s="3496"/>
      <c r="AB110" s="3496"/>
      <c r="AC110" s="3496"/>
      <c r="AD110" s="3496"/>
      <c r="AE110" s="3496"/>
      <c r="BB110" s="83"/>
      <c r="BC110" s="83"/>
      <c r="BD110" s="83"/>
      <c r="BE110" s="83"/>
      <c r="BF110" s="83"/>
      <c r="BG110" s="83"/>
      <c r="BH110" s="83"/>
      <c r="BI110" s="83"/>
      <c r="BJ110" s="83"/>
      <c r="BK110" s="83"/>
      <c r="BL110" s="83"/>
      <c r="BM110" s="83"/>
      <c r="BN110" s="83"/>
      <c r="BO110" s="83"/>
      <c r="BP110" s="83"/>
      <c r="BQ110" s="83"/>
      <c r="BR110" s="83"/>
      <c r="BS110" s="83"/>
      <c r="BT110" s="83"/>
      <c r="BU110" s="83"/>
      <c r="BV110" s="83"/>
      <c r="CE110" s="83"/>
      <c r="CF110" s="83"/>
      <c r="CG110" s="83"/>
      <c r="CH110" s="83"/>
      <c r="CI110" s="83"/>
      <c r="CJ110" s="83"/>
      <c r="CK110" s="83"/>
      <c r="CL110" s="83"/>
      <c r="CM110" s="83"/>
      <c r="CN110" s="83"/>
      <c r="CO110" s="83"/>
      <c r="CP110" s="83"/>
      <c r="CQ110" s="83"/>
      <c r="CR110" s="83"/>
      <c r="CS110" s="83"/>
      <c r="CT110" s="83"/>
      <c r="CU110" s="83"/>
      <c r="CV110" s="83"/>
      <c r="CW110" s="83"/>
      <c r="CX110" s="83"/>
      <c r="CY110" s="83"/>
      <c r="CZ110" s="83"/>
      <c r="DA110" s="83"/>
    </row>
    <row r="111" spans="1:105" s="4" customFormat="1">
      <c r="A111" s="1199" t="s">
        <v>186</v>
      </c>
      <c r="B111" s="996"/>
      <c r="C111" s="1163" t="s">
        <v>266</v>
      </c>
      <c r="D111" s="1122"/>
      <c r="E111" s="1003"/>
      <c r="F111" s="1003"/>
      <c r="G111" s="1480"/>
      <c r="H111" s="718"/>
      <c r="I111" s="1122"/>
      <c r="J111" s="1189"/>
      <c r="K111" s="1481"/>
      <c r="L111" s="1482">
        <v>0.17</v>
      </c>
      <c r="M111" s="1483"/>
      <c r="N111" s="2080"/>
      <c r="O111" s="2114"/>
      <c r="P111" s="2204">
        <v>1E-3</v>
      </c>
      <c r="Q111" s="2457">
        <v>0.185</v>
      </c>
      <c r="R111" s="1459"/>
      <c r="S111" s="1484"/>
      <c r="T111" s="40"/>
      <c r="U111" s="1459"/>
      <c r="V111" s="3048">
        <v>0.01</v>
      </c>
      <c r="W111" s="1459"/>
      <c r="X111" s="3496"/>
      <c r="Y111" s="3496"/>
      <c r="Z111" s="3496"/>
      <c r="AA111" s="3496"/>
      <c r="AB111" s="3496"/>
      <c r="AC111" s="3496"/>
      <c r="AD111" s="3496"/>
      <c r="AE111" s="3496"/>
      <c r="BB111" s="83"/>
      <c r="BC111" s="83"/>
      <c r="BD111" s="83"/>
      <c r="BE111" s="83"/>
      <c r="BF111" s="83"/>
      <c r="BG111" s="83"/>
      <c r="BH111" s="83"/>
      <c r="BI111" s="83"/>
      <c r="BJ111" s="83"/>
      <c r="BK111" s="83"/>
      <c r="BL111" s="83"/>
      <c r="BM111" s="83"/>
      <c r="BN111" s="83"/>
      <c r="BO111" s="83"/>
      <c r="BP111" s="83"/>
      <c r="BQ111" s="83"/>
      <c r="BR111" s="83"/>
      <c r="BS111" s="83"/>
      <c r="BT111" s="83"/>
      <c r="BU111" s="83"/>
      <c r="BV111" s="83"/>
      <c r="CE111" s="83"/>
      <c r="CF111" s="83"/>
      <c r="CG111" s="83"/>
      <c r="CH111" s="83"/>
      <c r="CI111" s="83"/>
      <c r="CJ111" s="83"/>
      <c r="CK111" s="83"/>
      <c r="CL111" s="83"/>
      <c r="CM111" s="83"/>
      <c r="CN111" s="83"/>
      <c r="CO111" s="83"/>
      <c r="CP111" s="83"/>
      <c r="CQ111" s="83"/>
      <c r="CR111" s="83"/>
      <c r="CS111" s="83"/>
      <c r="CT111" s="83"/>
      <c r="CU111" s="83"/>
      <c r="CV111" s="83"/>
      <c r="CW111" s="83"/>
      <c r="CX111" s="83"/>
      <c r="CY111" s="83"/>
      <c r="CZ111" s="83"/>
      <c r="DA111" s="83"/>
    </row>
    <row r="112" spans="1:105" s="4" customFormat="1" ht="15.75" thickBot="1">
      <c r="A112" s="1205" t="s">
        <v>186</v>
      </c>
      <c r="B112" s="997"/>
      <c r="C112" s="1165" t="s">
        <v>80</v>
      </c>
      <c r="D112" s="1146">
        <v>1E-3</v>
      </c>
      <c r="E112" s="1147">
        <v>1.56</v>
      </c>
      <c r="F112" s="1147">
        <v>0.03</v>
      </c>
      <c r="G112" s="1485" t="s">
        <v>82</v>
      </c>
      <c r="H112" s="1160">
        <v>8.5000000000000006E-2</v>
      </c>
      <c r="I112" s="1146">
        <v>0.39100000000000001</v>
      </c>
      <c r="J112" s="1194">
        <v>3.5000000000000001E-3</v>
      </c>
      <c r="K112" s="1486">
        <v>0.67</v>
      </c>
      <c r="L112" s="1487">
        <v>0.55000000000000004</v>
      </c>
      <c r="M112" s="1488"/>
      <c r="N112" s="2081"/>
      <c r="O112" s="2120"/>
      <c r="P112" s="2234">
        <v>0.32700000000000001</v>
      </c>
      <c r="Q112" s="2458">
        <v>0.86650000000000005</v>
      </c>
      <c r="R112" s="630"/>
      <c r="S112" s="638"/>
      <c r="T112" s="40"/>
      <c r="U112" s="851"/>
      <c r="V112" s="3049">
        <v>0.13800000000000001</v>
      </c>
      <c r="W112" s="851"/>
      <c r="X112" s="851"/>
      <c r="Y112" s="851"/>
      <c r="Z112" s="851"/>
      <c r="AA112" s="851"/>
      <c r="AB112" s="851"/>
      <c r="AC112" s="851"/>
      <c r="AD112" s="851"/>
      <c r="AE112" s="851"/>
      <c r="BB112" s="83"/>
      <c r="BC112" s="83"/>
      <c r="BD112" s="83"/>
      <c r="BE112" s="83"/>
      <c r="BF112" s="83"/>
      <c r="BG112" s="83"/>
      <c r="BH112" s="83"/>
      <c r="BI112" s="83"/>
      <c r="BJ112" s="83"/>
      <c r="BK112" s="83"/>
      <c r="BL112" s="83"/>
      <c r="BM112" s="83"/>
      <c r="BN112" s="83"/>
      <c r="BO112" s="83"/>
      <c r="BP112" s="83"/>
      <c r="BQ112" s="83"/>
      <c r="BR112" s="83"/>
      <c r="BS112" s="83"/>
      <c r="BT112" s="83"/>
      <c r="BU112" s="83"/>
      <c r="BV112" s="83"/>
      <c r="CE112" s="83"/>
      <c r="CF112" s="83"/>
      <c r="CG112" s="83"/>
      <c r="CH112" s="83"/>
      <c r="CI112" s="83"/>
      <c r="CJ112" s="83"/>
      <c r="CK112" s="83"/>
      <c r="CL112" s="83"/>
      <c r="CM112" s="83"/>
      <c r="CN112" s="83"/>
      <c r="CO112" s="83"/>
      <c r="CP112" s="83"/>
      <c r="CQ112" s="83"/>
      <c r="CR112" s="83"/>
      <c r="CS112" s="83"/>
      <c r="CT112" s="83"/>
      <c r="CU112" s="83"/>
      <c r="CV112" s="83"/>
      <c r="CW112" s="83"/>
      <c r="CX112" s="83"/>
      <c r="CY112" s="83"/>
      <c r="CZ112" s="83"/>
      <c r="DA112" s="83"/>
    </row>
    <row r="113" spans="1:105" s="4" customFormat="1">
      <c r="A113" s="1023" t="s">
        <v>68</v>
      </c>
      <c r="B113" s="995">
        <f>COUNTA(C113:C117)</f>
        <v>5</v>
      </c>
      <c r="C113" s="1161" t="s">
        <v>74</v>
      </c>
      <c r="D113" s="1185"/>
      <c r="E113" s="1185"/>
      <c r="F113" s="1185"/>
      <c r="G113" s="1186"/>
      <c r="H113" s="1187"/>
      <c r="I113" s="1114">
        <v>3.5000000000000003E-2</v>
      </c>
      <c r="J113" s="1186">
        <v>2.3E-2</v>
      </c>
      <c r="K113" s="1489">
        <v>0.47</v>
      </c>
      <c r="L113" s="1460"/>
      <c r="M113" s="1477"/>
      <c r="N113" s="2087"/>
      <c r="O113" s="2121"/>
      <c r="P113" s="1490">
        <v>7.0000000000000001E-3</v>
      </c>
      <c r="Q113" s="1491">
        <v>0.28999999999999998</v>
      </c>
      <c r="R113" s="1491"/>
      <c r="S113" s="1492"/>
      <c r="T113" s="172"/>
      <c r="U113" s="3052"/>
      <c r="V113" s="3052">
        <v>8.0000000000000002E-3</v>
      </c>
      <c r="W113" s="3052"/>
      <c r="X113" s="3052"/>
      <c r="Y113" s="3052"/>
      <c r="Z113" s="3052"/>
      <c r="AA113" s="3052"/>
      <c r="AB113" s="3052"/>
      <c r="AC113" s="3052"/>
      <c r="AD113" s="3052"/>
      <c r="AE113" s="3052"/>
      <c r="BB113" s="83"/>
      <c r="BC113" s="83"/>
      <c r="BD113" s="83"/>
      <c r="BE113" s="83"/>
      <c r="BF113" s="83"/>
      <c r="BG113" s="83"/>
      <c r="BH113" s="83"/>
      <c r="BI113" s="83"/>
      <c r="BJ113" s="83"/>
      <c r="BK113" s="83"/>
      <c r="BL113" s="83"/>
      <c r="BM113" s="83"/>
      <c r="BN113" s="83"/>
      <c r="BO113" s="83"/>
      <c r="BP113" s="83"/>
      <c r="BQ113" s="83"/>
      <c r="BR113" s="83"/>
      <c r="BS113" s="83"/>
      <c r="BT113" s="83"/>
      <c r="BU113" s="83"/>
      <c r="BV113" s="83"/>
      <c r="CE113" s="83"/>
      <c r="CF113" s="83"/>
      <c r="CG113" s="83"/>
      <c r="CH113" s="83"/>
      <c r="CI113" s="83"/>
      <c r="CJ113" s="83"/>
      <c r="CK113" s="83"/>
      <c r="CL113" s="83"/>
      <c r="CM113" s="83"/>
      <c r="CN113" s="83"/>
      <c r="CO113" s="83"/>
      <c r="CP113" s="83"/>
      <c r="CQ113" s="83"/>
      <c r="CR113" s="83"/>
      <c r="CS113" s="83"/>
      <c r="CT113" s="83"/>
      <c r="CU113" s="83"/>
      <c r="CV113" s="83"/>
      <c r="CW113" s="83"/>
      <c r="CX113" s="83"/>
      <c r="CY113" s="83"/>
      <c r="CZ113" s="83"/>
      <c r="DA113" s="83"/>
    </row>
    <row r="114" spans="1:105" s="4" customFormat="1">
      <c r="A114" s="1199" t="s">
        <v>68</v>
      </c>
      <c r="B114" s="996"/>
      <c r="C114" s="1163" t="s">
        <v>78</v>
      </c>
      <c r="D114" s="1188"/>
      <c r="E114" s="1188"/>
      <c r="F114" s="1188"/>
      <c r="G114" s="1189"/>
      <c r="H114" s="1190"/>
      <c r="I114" s="1003">
        <v>0.68700000000000006</v>
      </c>
      <c r="J114" s="1189">
        <v>1.7999999999999999E-2</v>
      </c>
      <c r="K114" s="1481">
        <v>0.45</v>
      </c>
      <c r="L114" s="1464"/>
      <c r="M114" s="1483"/>
      <c r="N114" s="2088"/>
      <c r="O114" s="2122"/>
      <c r="P114" s="1493">
        <v>2.8000000000000001E-2</v>
      </c>
      <c r="Q114" s="1494">
        <v>0.64</v>
      </c>
      <c r="R114" s="1494"/>
      <c r="S114" s="1495"/>
      <c r="T114" s="172"/>
      <c r="U114" s="1494"/>
      <c r="V114" s="1494">
        <v>1.2999999999999999E-2</v>
      </c>
      <c r="W114" s="1494"/>
      <c r="X114" s="1494"/>
      <c r="Y114" s="1494"/>
      <c r="Z114" s="1494"/>
      <c r="AA114" s="1494"/>
      <c r="AB114" s="1494"/>
      <c r="AC114" s="1494"/>
      <c r="AD114" s="1494"/>
      <c r="AE114" s="1494"/>
      <c r="BB114" s="83"/>
      <c r="BC114" s="83"/>
      <c r="BD114" s="83"/>
      <c r="BE114" s="83"/>
      <c r="BF114" s="83"/>
      <c r="BG114" s="83"/>
      <c r="BH114" s="83"/>
      <c r="BI114" s="83"/>
      <c r="BJ114" s="83"/>
      <c r="BK114" s="83"/>
      <c r="BL114" s="83"/>
      <c r="BM114" s="83"/>
      <c r="BN114" s="83"/>
      <c r="BO114" s="83"/>
      <c r="BP114" s="83"/>
      <c r="BQ114" s="83"/>
      <c r="BR114" s="83"/>
      <c r="BS114" s="83"/>
      <c r="BT114" s="83"/>
      <c r="BU114" s="83"/>
      <c r="BV114" s="83"/>
      <c r="CE114" s="83"/>
      <c r="CF114" s="83"/>
      <c r="CG114" s="83"/>
      <c r="CH114" s="83"/>
      <c r="CI114" s="83"/>
      <c r="CJ114" s="83"/>
      <c r="CK114" s="83"/>
      <c r="CL114" s="83"/>
      <c r="CM114" s="83"/>
      <c r="CN114" s="83"/>
      <c r="CO114" s="83"/>
      <c r="CP114" s="83"/>
      <c r="CQ114" s="83"/>
      <c r="CR114" s="83"/>
      <c r="CS114" s="83"/>
      <c r="CT114" s="83"/>
      <c r="CU114" s="83"/>
      <c r="CV114" s="83"/>
      <c r="CW114" s="83"/>
      <c r="CX114" s="83"/>
      <c r="CY114" s="83"/>
      <c r="CZ114" s="83"/>
      <c r="DA114" s="83"/>
    </row>
    <row r="115" spans="1:105" s="4" customFormat="1">
      <c r="A115" s="1199" t="s">
        <v>68</v>
      </c>
      <c r="B115" s="996"/>
      <c r="C115" s="1163" t="s">
        <v>69</v>
      </c>
      <c r="D115" s="1188"/>
      <c r="E115" s="1188"/>
      <c r="F115" s="1188"/>
      <c r="G115" s="1189"/>
      <c r="H115" s="1190"/>
      <c r="I115" s="1003">
        <v>1E-3</v>
      </c>
      <c r="J115" s="1189">
        <v>0.05</v>
      </c>
      <c r="K115" s="1481">
        <v>1.2E-2</v>
      </c>
      <c r="L115" s="1464"/>
      <c r="M115" s="1483"/>
      <c r="N115" s="2088"/>
      <c r="O115" s="2122"/>
      <c r="P115" s="1493">
        <v>0.11600000000000001</v>
      </c>
      <c r="Q115" s="1494">
        <v>0.05</v>
      </c>
      <c r="R115" s="1494"/>
      <c r="S115" s="1495"/>
      <c r="T115" s="172"/>
      <c r="U115" s="1494"/>
      <c r="V115" s="1494">
        <v>1E-3</v>
      </c>
      <c r="W115" s="1494"/>
      <c r="X115" s="1494"/>
      <c r="Y115" s="1494"/>
      <c r="Z115" s="1494"/>
      <c r="AA115" s="1494"/>
      <c r="AB115" s="1494"/>
      <c r="AC115" s="1494"/>
      <c r="AD115" s="1494"/>
      <c r="AE115" s="1494"/>
      <c r="BB115" s="83"/>
      <c r="BC115" s="83"/>
      <c r="BD115" s="83"/>
      <c r="BE115" s="83"/>
      <c r="BF115" s="83"/>
      <c r="BG115" s="83"/>
      <c r="BH115" s="83"/>
      <c r="BI115" s="83"/>
      <c r="BJ115" s="83"/>
      <c r="BK115" s="83"/>
      <c r="BL115" s="83"/>
      <c r="BM115" s="83"/>
      <c r="BN115" s="83"/>
      <c r="BO115" s="83"/>
      <c r="BP115" s="83"/>
      <c r="BQ115" s="83"/>
      <c r="BR115" s="83"/>
      <c r="BS115" s="83"/>
      <c r="BT115" s="83"/>
      <c r="BU115" s="83"/>
      <c r="BV115" s="83"/>
      <c r="CE115" s="83"/>
      <c r="CF115" s="83"/>
      <c r="CG115" s="83"/>
      <c r="CH115" s="83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3"/>
      <c r="CW115" s="83"/>
      <c r="CX115" s="83"/>
      <c r="CY115" s="83"/>
      <c r="CZ115" s="83"/>
      <c r="DA115" s="83"/>
    </row>
    <row r="116" spans="1:105" s="12" customFormat="1">
      <c r="A116" s="1199" t="s">
        <v>68</v>
      </c>
      <c r="B116" s="996"/>
      <c r="C116" s="1163" t="s">
        <v>75</v>
      </c>
      <c r="D116" s="1188"/>
      <c r="E116" s="1188"/>
      <c r="F116" s="1188"/>
      <c r="G116" s="1189"/>
      <c r="H116" s="1190"/>
      <c r="I116" s="1003">
        <v>8.8999999999999996E-2</v>
      </c>
      <c r="J116" s="1189">
        <v>1.2999999999999999E-2</v>
      </c>
      <c r="K116" s="1481">
        <v>0.14000000000000001</v>
      </c>
      <c r="L116" s="1464"/>
      <c r="M116" s="1483"/>
      <c r="N116" s="2088"/>
      <c r="O116" s="2122"/>
      <c r="P116" s="1493">
        <v>8.6999999999999994E-2</v>
      </c>
      <c r="Q116" s="1494">
        <v>7.0000000000000007E-2</v>
      </c>
      <c r="R116" s="1494"/>
      <c r="S116" s="1495"/>
      <c r="T116" s="172"/>
      <c r="U116" s="1494"/>
      <c r="V116" s="1494">
        <v>4.7E-2</v>
      </c>
      <c r="W116" s="1494"/>
      <c r="X116" s="1494"/>
      <c r="Y116" s="1494"/>
      <c r="Z116" s="1494"/>
      <c r="AA116" s="1494"/>
      <c r="AB116" s="1494"/>
      <c r="AC116" s="1494"/>
      <c r="AD116" s="1494"/>
      <c r="AE116" s="1494"/>
      <c r="AF116" s="172"/>
      <c r="AG116" s="172"/>
      <c r="AH116" s="172"/>
      <c r="AI116" s="172"/>
      <c r="AJ116" s="172"/>
      <c r="AK116" s="172"/>
      <c r="AL116" s="172"/>
      <c r="AM116" s="172"/>
      <c r="AN116" s="172"/>
      <c r="AO116" s="172"/>
      <c r="AP116" s="172"/>
      <c r="AQ116" s="172"/>
      <c r="AR116" s="172"/>
      <c r="AS116" s="172"/>
      <c r="AT116" s="172"/>
      <c r="AU116" s="172"/>
      <c r="AV116" s="172"/>
      <c r="AW116" s="172"/>
      <c r="AX116" s="172"/>
      <c r="AY116" s="172"/>
      <c r="AZ116" s="172"/>
      <c r="BA116" s="172"/>
      <c r="BB116" s="172"/>
      <c r="BC116" s="172"/>
      <c r="BD116" s="172"/>
      <c r="BE116" s="172"/>
      <c r="BF116" s="172"/>
      <c r="BG116" s="172"/>
      <c r="BH116" s="172"/>
      <c r="BI116" s="172"/>
      <c r="BJ116" s="172"/>
      <c r="BK116" s="172"/>
      <c r="BL116" s="172"/>
      <c r="BM116" s="172"/>
      <c r="BN116" s="172"/>
      <c r="BO116" s="172"/>
      <c r="BP116" s="172"/>
      <c r="BQ116" s="172"/>
      <c r="BR116" s="172"/>
      <c r="BS116" s="172"/>
      <c r="BT116" s="172"/>
      <c r="BU116" s="172"/>
      <c r="BV116" s="172"/>
      <c r="BW116" s="172"/>
      <c r="BX116" s="172"/>
      <c r="BY116" s="172"/>
      <c r="BZ116" s="172"/>
      <c r="CA116" s="172"/>
      <c r="CB116" s="172"/>
      <c r="CC116" s="172"/>
      <c r="CD116" s="172"/>
      <c r="CE116" s="172"/>
      <c r="CF116" s="172"/>
      <c r="CG116" s="172"/>
      <c r="CH116" s="172"/>
      <c r="CI116" s="172"/>
      <c r="CJ116" s="172"/>
      <c r="CK116" s="172"/>
      <c r="CL116" s="172"/>
      <c r="CM116" s="172"/>
      <c r="CN116" s="172"/>
      <c r="CO116" s="172"/>
      <c r="CP116" s="172"/>
      <c r="CQ116" s="172"/>
    </row>
    <row r="117" spans="1:105" s="12" customFormat="1" ht="15.75" thickBot="1">
      <c r="A117" s="1205" t="s">
        <v>68</v>
      </c>
      <c r="B117" s="997"/>
      <c r="C117" s="1165" t="s">
        <v>73</v>
      </c>
      <c r="D117" s="1193"/>
      <c r="E117" s="1193"/>
      <c r="F117" s="1193"/>
      <c r="G117" s="1194"/>
      <c r="H117" s="1195"/>
      <c r="I117" s="1147">
        <v>0</v>
      </c>
      <c r="J117" s="1194">
        <v>1.9E-2</v>
      </c>
      <c r="K117" s="1486">
        <v>0.04</v>
      </c>
      <c r="L117" s="1470"/>
      <c r="M117" s="1488"/>
      <c r="N117" s="2089"/>
      <c r="O117" s="2123"/>
      <c r="P117" s="1496">
        <v>1E-3</v>
      </c>
      <c r="Q117" s="1497">
        <v>0.02</v>
      </c>
      <c r="R117" s="1497"/>
      <c r="S117" s="1498"/>
      <c r="T117" s="172"/>
      <c r="U117" s="3053"/>
      <c r="V117" s="3053">
        <v>1E-3</v>
      </c>
      <c r="W117" s="3053"/>
      <c r="X117" s="3053"/>
      <c r="Y117" s="3053"/>
      <c r="Z117" s="3053"/>
      <c r="AA117" s="3053"/>
      <c r="AB117" s="3053"/>
      <c r="AC117" s="3053"/>
      <c r="AD117" s="3053"/>
      <c r="AE117" s="3053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172"/>
      <c r="AY117" s="172"/>
      <c r="AZ117" s="172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172"/>
      <c r="BK117" s="172"/>
      <c r="BL117" s="172"/>
      <c r="BM117" s="172"/>
      <c r="BN117" s="172"/>
      <c r="BO117" s="172"/>
      <c r="BP117" s="172"/>
      <c r="BQ117" s="172"/>
      <c r="BR117" s="172"/>
      <c r="BS117" s="172"/>
      <c r="BT117" s="172"/>
      <c r="BU117" s="172"/>
      <c r="BV117" s="172"/>
      <c r="BW117" s="172"/>
      <c r="BX117" s="172"/>
      <c r="BY117" s="172"/>
      <c r="BZ117" s="172"/>
      <c r="CA117" s="172"/>
      <c r="CB117" s="172"/>
      <c r="CC117" s="172"/>
      <c r="CD117" s="172"/>
      <c r="CE117" s="172"/>
      <c r="CF117" s="172"/>
      <c r="CG117" s="172"/>
      <c r="CH117" s="172"/>
      <c r="CI117" s="172"/>
      <c r="CJ117" s="172"/>
      <c r="CK117" s="172"/>
      <c r="CL117" s="172"/>
      <c r="CM117" s="172"/>
      <c r="CN117" s="172"/>
      <c r="CO117" s="172"/>
      <c r="CP117" s="172"/>
      <c r="CQ117" s="172"/>
    </row>
    <row r="118" spans="1:105" s="12" customFormat="1">
      <c r="A118" s="1023" t="s">
        <v>70</v>
      </c>
      <c r="B118" s="995">
        <f>COUNTA(C118:C122)</f>
        <v>5</v>
      </c>
      <c r="C118" s="1286" t="s">
        <v>192</v>
      </c>
      <c r="D118" s="1112">
        <v>1E-3</v>
      </c>
      <c r="E118" s="1114">
        <v>1E-3</v>
      </c>
      <c r="F118" s="1114">
        <v>6.8000000000000005E-2</v>
      </c>
      <c r="G118" s="1407" t="s">
        <v>82</v>
      </c>
      <c r="H118" s="1158">
        <v>1E-3</v>
      </c>
      <c r="I118" s="1112">
        <v>3.9E-2</v>
      </c>
      <c r="J118" s="1186">
        <v>0</v>
      </c>
      <c r="K118" s="1381">
        <v>0.02</v>
      </c>
      <c r="L118" s="1460">
        <v>3.4500000000000003E-2</v>
      </c>
      <c r="M118" s="1477"/>
      <c r="N118" s="2087"/>
      <c r="O118" s="2121"/>
      <c r="P118" s="1490">
        <v>1.006</v>
      </c>
      <c r="Q118" s="1491">
        <v>0.39400000000000002</v>
      </c>
      <c r="R118" s="1491"/>
      <c r="S118" s="1492"/>
      <c r="T118" s="172"/>
      <c r="U118" s="3052"/>
      <c r="V118" s="3052">
        <v>9.9000000000000005E-2</v>
      </c>
      <c r="W118" s="3052"/>
      <c r="X118" s="3052"/>
      <c r="Y118" s="3052"/>
      <c r="Z118" s="3052"/>
      <c r="AA118" s="3052"/>
      <c r="AB118" s="3052"/>
      <c r="AC118" s="3052"/>
      <c r="AD118" s="3052"/>
      <c r="AE118" s="3052"/>
      <c r="AF118" s="172"/>
      <c r="AG118" s="172"/>
      <c r="AH118" s="172"/>
      <c r="AI118" s="172"/>
      <c r="AJ118" s="172"/>
      <c r="AK118" s="172"/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172"/>
      <c r="AY118" s="172"/>
      <c r="AZ118" s="172"/>
      <c r="BA118" s="172"/>
      <c r="BB118" s="172"/>
      <c r="BC118" s="172"/>
      <c r="BD118" s="172"/>
      <c r="BE118" s="172"/>
      <c r="BF118" s="172"/>
      <c r="BG118" s="172"/>
      <c r="BH118" s="172"/>
      <c r="BI118" s="172"/>
      <c r="BJ118" s="172"/>
      <c r="BK118" s="172"/>
      <c r="BL118" s="172"/>
      <c r="BM118" s="172"/>
      <c r="BN118" s="172"/>
      <c r="BO118" s="172"/>
      <c r="BP118" s="172"/>
      <c r="BQ118" s="172"/>
      <c r="BR118" s="172"/>
      <c r="BS118" s="172"/>
      <c r="BT118" s="172"/>
      <c r="BU118" s="172"/>
      <c r="BV118" s="172"/>
      <c r="BW118" s="172"/>
      <c r="BX118" s="172"/>
      <c r="BY118" s="172"/>
      <c r="BZ118" s="172"/>
      <c r="CA118" s="172"/>
      <c r="CB118" s="172"/>
      <c r="CC118" s="172"/>
      <c r="CD118" s="172"/>
      <c r="CE118" s="172"/>
      <c r="CF118" s="172"/>
      <c r="CG118" s="172"/>
      <c r="CH118" s="172"/>
      <c r="CI118" s="172"/>
      <c r="CJ118" s="172"/>
      <c r="CK118" s="172"/>
      <c r="CL118" s="172"/>
      <c r="CM118" s="172"/>
      <c r="CN118" s="172"/>
      <c r="CO118" s="172"/>
      <c r="CP118" s="172"/>
      <c r="CQ118" s="172"/>
    </row>
    <row r="119" spans="1:105">
      <c r="A119" s="1199" t="s">
        <v>70</v>
      </c>
      <c r="B119" s="996"/>
      <c r="C119" s="1197" t="s">
        <v>281</v>
      </c>
      <c r="D119" s="1122">
        <v>1E-3</v>
      </c>
      <c r="E119" s="1003">
        <v>1E-3</v>
      </c>
      <c r="F119" s="1003">
        <v>7.5999999999999998E-2</v>
      </c>
      <c r="G119" s="1442" t="s">
        <v>82</v>
      </c>
      <c r="H119" s="718">
        <v>1E-3</v>
      </c>
      <c r="I119" s="1122">
        <v>8.0000000000000002E-3</v>
      </c>
      <c r="J119" s="1189">
        <v>0</v>
      </c>
      <c r="K119" s="1382">
        <v>0.27</v>
      </c>
      <c r="L119" s="1464">
        <v>0.3135</v>
      </c>
      <c r="M119" s="1483"/>
      <c r="N119" s="2088"/>
      <c r="O119" s="2122"/>
      <c r="P119" s="1493">
        <v>1E-3</v>
      </c>
      <c r="Q119" s="1494">
        <v>0.1245</v>
      </c>
      <c r="R119" s="1494"/>
      <c r="S119" s="1495"/>
      <c r="T119" s="172"/>
      <c r="U119" s="1494"/>
      <c r="V119" s="1494">
        <v>1E-3</v>
      </c>
      <c r="W119" s="1494"/>
      <c r="X119" s="1494"/>
      <c r="Y119" s="1494"/>
      <c r="Z119" s="1494"/>
      <c r="AA119" s="1494"/>
      <c r="AB119" s="1494"/>
      <c r="AC119" s="1494"/>
      <c r="AD119" s="1494"/>
      <c r="AE119" s="1494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/>
      <c r="CG119" s="61"/>
      <c r="CH119" s="61"/>
      <c r="CI119" s="61"/>
      <c r="CJ119" s="61"/>
      <c r="CK119" s="61"/>
      <c r="CL119" s="61"/>
      <c r="CM119" s="61"/>
      <c r="CN119" s="61"/>
      <c r="CO119" s="61"/>
      <c r="CP119" s="61"/>
      <c r="CQ119" s="61"/>
    </row>
    <row r="120" spans="1:105">
      <c r="A120" s="1199" t="s">
        <v>70</v>
      </c>
      <c r="B120" s="996"/>
      <c r="C120" s="1197" t="s">
        <v>270</v>
      </c>
      <c r="D120" s="1122">
        <v>1E-3</v>
      </c>
      <c r="E120" s="1003">
        <v>1E-3</v>
      </c>
      <c r="F120" s="1003">
        <v>1E-3</v>
      </c>
      <c r="G120" s="1442" t="s">
        <v>82</v>
      </c>
      <c r="H120" s="718">
        <v>3.1E-2</v>
      </c>
      <c r="I120" s="1122">
        <v>3.2000000000000001E-2</v>
      </c>
      <c r="J120" s="1189">
        <v>0</v>
      </c>
      <c r="K120" s="1382">
        <v>0.02</v>
      </c>
      <c r="L120" s="1499">
        <v>1E-3</v>
      </c>
      <c r="M120" s="1483"/>
      <c r="N120" s="2088"/>
      <c r="O120" s="2122"/>
      <c r="P120" s="1493">
        <v>1E-3</v>
      </c>
      <c r="Q120" s="1494">
        <v>3.0000000000000001E-3</v>
      </c>
      <c r="R120" s="1494"/>
      <c r="S120" s="1495"/>
      <c r="T120" s="172"/>
      <c r="U120" s="1494"/>
      <c r="V120" s="1494">
        <v>1E-3</v>
      </c>
      <c r="W120" s="1494"/>
      <c r="X120" s="1494"/>
      <c r="Y120" s="1494"/>
      <c r="Z120" s="1494"/>
      <c r="AA120" s="1494"/>
      <c r="AB120" s="1494"/>
      <c r="AC120" s="1494"/>
      <c r="AD120" s="1494"/>
      <c r="AE120" s="1494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  <c r="CH120" s="61"/>
      <c r="CI120" s="61"/>
      <c r="CJ120" s="61"/>
      <c r="CK120" s="61"/>
      <c r="CL120" s="61"/>
      <c r="CM120" s="61"/>
      <c r="CN120" s="61"/>
      <c r="CO120" s="61"/>
      <c r="CP120" s="61"/>
      <c r="CQ120" s="61"/>
    </row>
    <row r="121" spans="1:105">
      <c r="A121" s="1199" t="s">
        <v>70</v>
      </c>
      <c r="B121" s="996"/>
      <c r="C121" s="1197" t="s">
        <v>71</v>
      </c>
      <c r="D121" s="1122">
        <v>1E-3</v>
      </c>
      <c r="E121" s="1003">
        <v>0.55900000000000005</v>
      </c>
      <c r="F121" s="1003">
        <v>5.1999999999999998E-2</v>
      </c>
      <c r="G121" s="1442" t="s">
        <v>82</v>
      </c>
      <c r="H121" s="718">
        <v>1E-3</v>
      </c>
      <c r="I121" s="1122">
        <v>3.5999999999999997E-2</v>
      </c>
      <c r="J121" s="1189">
        <v>4.0000000000000001E-3</v>
      </c>
      <c r="K121" s="1382">
        <v>0.08</v>
      </c>
      <c r="L121" s="1464">
        <v>0.42949999999999999</v>
      </c>
      <c r="M121" s="1483"/>
      <c r="N121" s="2088"/>
      <c r="O121" s="2122"/>
      <c r="P121" s="1493">
        <v>1E-3</v>
      </c>
      <c r="Q121" s="1494">
        <v>0.53500000000000003</v>
      </c>
      <c r="R121" s="1494"/>
      <c r="S121" s="1495"/>
      <c r="T121" s="172"/>
      <c r="U121" s="1494"/>
      <c r="V121" s="1494">
        <v>5.0000000000000001E-3</v>
      </c>
      <c r="W121" s="1494"/>
      <c r="X121" s="1494"/>
      <c r="Y121" s="1494"/>
      <c r="Z121" s="1494"/>
      <c r="AA121" s="1494"/>
      <c r="AB121" s="1494"/>
      <c r="AC121" s="1494"/>
      <c r="AD121" s="1494"/>
      <c r="AE121" s="1494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  <c r="CL121" s="61"/>
      <c r="CM121" s="61"/>
      <c r="CN121" s="61"/>
      <c r="CO121" s="61"/>
      <c r="CP121" s="61"/>
      <c r="CQ121" s="61"/>
    </row>
    <row r="122" spans="1:105" ht="15.75" thickBot="1">
      <c r="A122" s="1205" t="s">
        <v>70</v>
      </c>
      <c r="B122" s="997"/>
      <c r="C122" s="1198" t="s">
        <v>81</v>
      </c>
      <c r="D122" s="1146">
        <v>0.83</v>
      </c>
      <c r="E122" s="1147">
        <v>0.16500000000000001</v>
      </c>
      <c r="F122" s="1147">
        <v>2.8000000000000001E-2</v>
      </c>
      <c r="G122" s="1444" t="s">
        <v>82</v>
      </c>
      <c r="H122" s="1160">
        <v>0.73399999999999999</v>
      </c>
      <c r="I122" s="1146">
        <v>2.786</v>
      </c>
      <c r="J122" s="1194">
        <v>0</v>
      </c>
      <c r="K122" s="1383">
        <v>0.17</v>
      </c>
      <c r="L122" s="1470">
        <v>0.124</v>
      </c>
      <c r="M122" s="1488"/>
      <c r="N122" s="2089"/>
      <c r="O122" s="2123"/>
      <c r="P122" s="1496">
        <v>0.68799999999999994</v>
      </c>
      <c r="Q122" s="1497">
        <v>1.7230000000000001</v>
      </c>
      <c r="R122" s="1497"/>
      <c r="S122" s="1498"/>
      <c r="T122" s="172"/>
      <c r="U122" s="3053"/>
      <c r="V122" s="3053">
        <v>1.583</v>
      </c>
      <c r="W122" s="3053"/>
      <c r="X122" s="3053"/>
      <c r="Y122" s="3053"/>
      <c r="Z122" s="3053"/>
      <c r="AA122" s="3053"/>
      <c r="AB122" s="3053"/>
      <c r="AC122" s="3053"/>
      <c r="AD122" s="3053"/>
      <c r="AE122" s="3053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/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  <c r="CP122" s="61"/>
      <c r="CQ122" s="61"/>
    </row>
    <row r="123" spans="1:105">
      <c r="A123" s="114"/>
      <c r="B123" s="114"/>
      <c r="C123" s="775" t="s">
        <v>285</v>
      </c>
      <c r="D123" s="1025">
        <f>COUNTIF(D99:D122,"&lt;=10")</f>
        <v>14</v>
      </c>
      <c r="E123" s="1025">
        <f t="shared" ref="E123:Q123" si="22">COUNTIF(E99:E122,"&lt;=10")</f>
        <v>14</v>
      </c>
      <c r="F123" s="1025">
        <f t="shared" si="22"/>
        <v>14</v>
      </c>
      <c r="G123" s="1025">
        <f t="shared" si="22"/>
        <v>0</v>
      </c>
      <c r="H123" s="1025">
        <f t="shared" si="22"/>
        <v>14</v>
      </c>
      <c r="I123" s="1025">
        <f t="shared" si="22"/>
        <v>19</v>
      </c>
      <c r="J123" s="1025">
        <f t="shared" si="22"/>
        <v>19</v>
      </c>
      <c r="K123" s="1025">
        <f t="shared" si="22"/>
        <v>19</v>
      </c>
      <c r="L123" s="1025">
        <f t="shared" si="22"/>
        <v>19</v>
      </c>
      <c r="M123" s="1025">
        <f t="shared" si="22"/>
        <v>0</v>
      </c>
      <c r="N123" s="2083">
        <f t="shared" si="22"/>
        <v>0</v>
      </c>
      <c r="O123" s="1025">
        <f t="shared" si="22"/>
        <v>0</v>
      </c>
      <c r="P123" s="1025">
        <f t="shared" si="22"/>
        <v>24</v>
      </c>
      <c r="Q123" s="1025">
        <f t="shared" si="22"/>
        <v>24</v>
      </c>
      <c r="R123" s="1025">
        <f t="shared" ref="R123:T123" si="23">COUNTIF(R99:R122,"&lt;=10")</f>
        <v>0</v>
      </c>
      <c r="S123" s="1025">
        <f t="shared" si="23"/>
        <v>0</v>
      </c>
      <c r="T123" s="1025">
        <f t="shared" si="23"/>
        <v>0</v>
      </c>
      <c r="U123" s="1025">
        <f t="shared" ref="U123:AE123" si="24">COUNTIF(U99:U122,"&lt;=10")</f>
        <v>0</v>
      </c>
      <c r="V123" s="1025">
        <f t="shared" si="24"/>
        <v>24</v>
      </c>
      <c r="W123" s="1025">
        <f t="shared" si="24"/>
        <v>0</v>
      </c>
      <c r="X123" s="1025">
        <f t="shared" si="24"/>
        <v>0</v>
      </c>
      <c r="Y123" s="1025">
        <f t="shared" si="24"/>
        <v>0</v>
      </c>
      <c r="Z123" s="1025">
        <f t="shared" si="24"/>
        <v>0</v>
      </c>
      <c r="AA123" s="1025">
        <f t="shared" si="24"/>
        <v>0</v>
      </c>
      <c r="AB123" s="1025">
        <f t="shared" si="24"/>
        <v>0</v>
      </c>
      <c r="AC123" s="1025">
        <f t="shared" si="24"/>
        <v>0</v>
      </c>
      <c r="AD123" s="1025">
        <f t="shared" si="24"/>
        <v>0</v>
      </c>
      <c r="AE123" s="1025">
        <f t="shared" si="24"/>
        <v>0</v>
      </c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  <c r="CP123" s="61"/>
      <c r="CQ123" s="61"/>
    </row>
    <row r="124" spans="1:105">
      <c r="A124" s="114"/>
      <c r="B124" s="114"/>
      <c r="C124" s="775" t="s">
        <v>287</v>
      </c>
      <c r="D124" s="1027">
        <f>COUNT(D99:D122)</f>
        <v>14</v>
      </c>
      <c r="E124" s="1027">
        <f t="shared" ref="E124:Q124" si="25">COUNT(E99:E122)</f>
        <v>14</v>
      </c>
      <c r="F124" s="1027">
        <f t="shared" si="25"/>
        <v>14</v>
      </c>
      <c r="G124" s="1027">
        <f>COUNT(G99:G122)</f>
        <v>0</v>
      </c>
      <c r="H124" s="1027">
        <f t="shared" si="25"/>
        <v>14</v>
      </c>
      <c r="I124" s="1027">
        <f t="shared" si="25"/>
        <v>19</v>
      </c>
      <c r="J124" s="1027">
        <f t="shared" si="25"/>
        <v>19</v>
      </c>
      <c r="K124" s="1027">
        <f t="shared" si="25"/>
        <v>19</v>
      </c>
      <c r="L124" s="1027">
        <f t="shared" si="25"/>
        <v>19</v>
      </c>
      <c r="M124" s="1027">
        <f t="shared" si="25"/>
        <v>0</v>
      </c>
      <c r="N124" s="2084">
        <f t="shared" si="25"/>
        <v>0</v>
      </c>
      <c r="O124" s="1027">
        <f t="shared" si="25"/>
        <v>0</v>
      </c>
      <c r="P124" s="1027">
        <f t="shared" si="25"/>
        <v>24</v>
      </c>
      <c r="Q124" s="1027">
        <f t="shared" si="25"/>
        <v>24</v>
      </c>
      <c r="R124" s="1027">
        <f t="shared" ref="R124:T124" si="26">COUNT(R99:R122)</f>
        <v>0</v>
      </c>
      <c r="S124" s="1027">
        <f t="shared" si="26"/>
        <v>0</v>
      </c>
      <c r="T124" s="1027">
        <f t="shared" si="26"/>
        <v>0</v>
      </c>
      <c r="U124" s="1027">
        <f t="shared" ref="U124:AE124" si="27">COUNT(U99:U122)</f>
        <v>0</v>
      </c>
      <c r="V124" s="1027">
        <f t="shared" si="27"/>
        <v>24</v>
      </c>
      <c r="W124" s="1027">
        <f t="shared" si="27"/>
        <v>0</v>
      </c>
      <c r="X124" s="1027">
        <f t="shared" si="27"/>
        <v>0</v>
      </c>
      <c r="Y124" s="1027">
        <f t="shared" si="27"/>
        <v>0</v>
      </c>
      <c r="Z124" s="1027">
        <f t="shared" si="27"/>
        <v>0</v>
      </c>
      <c r="AA124" s="1027">
        <f t="shared" si="27"/>
        <v>0</v>
      </c>
      <c r="AB124" s="1027">
        <f t="shared" si="27"/>
        <v>0</v>
      </c>
      <c r="AC124" s="1027">
        <f t="shared" si="27"/>
        <v>0</v>
      </c>
      <c r="AD124" s="1027">
        <f t="shared" si="27"/>
        <v>0</v>
      </c>
      <c r="AE124" s="1027">
        <f t="shared" si="27"/>
        <v>0</v>
      </c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  <c r="CP124" s="61"/>
      <c r="CQ124" s="61"/>
    </row>
    <row r="125" spans="1:105">
      <c r="A125" s="114"/>
      <c r="B125" s="114"/>
      <c r="C125" s="775" t="s">
        <v>286</v>
      </c>
      <c r="D125" s="1026">
        <f>D123/D124</f>
        <v>1</v>
      </c>
      <c r="E125" s="1026">
        <f t="shared" ref="E125:Q125" si="28">E123/E124</f>
        <v>1</v>
      </c>
      <c r="F125" s="1026">
        <f t="shared" si="28"/>
        <v>1</v>
      </c>
      <c r="G125" s="1099" t="e">
        <f>G123/G124</f>
        <v>#DIV/0!</v>
      </c>
      <c r="H125" s="1026">
        <f t="shared" si="28"/>
        <v>1</v>
      </c>
      <c r="I125" s="1026">
        <f t="shared" si="28"/>
        <v>1</v>
      </c>
      <c r="J125" s="1026">
        <f t="shared" si="28"/>
        <v>1</v>
      </c>
      <c r="K125" s="1026">
        <f t="shared" si="28"/>
        <v>1</v>
      </c>
      <c r="L125" s="1026">
        <f t="shared" si="28"/>
        <v>1</v>
      </c>
      <c r="M125" s="1026" t="e">
        <f t="shared" si="28"/>
        <v>#DIV/0!</v>
      </c>
      <c r="N125" s="2085" t="e">
        <f t="shared" si="28"/>
        <v>#DIV/0!</v>
      </c>
      <c r="O125" s="1026" t="e">
        <f t="shared" si="28"/>
        <v>#DIV/0!</v>
      </c>
      <c r="P125" s="1026">
        <f t="shared" si="28"/>
        <v>1</v>
      </c>
      <c r="Q125" s="1026">
        <f t="shared" si="28"/>
        <v>1</v>
      </c>
      <c r="R125" s="1026" t="e">
        <f t="shared" ref="R125:T125" si="29">R123/R124</f>
        <v>#DIV/0!</v>
      </c>
      <c r="S125" s="1026" t="e">
        <f t="shared" si="29"/>
        <v>#DIV/0!</v>
      </c>
      <c r="T125" s="1026" t="e">
        <f t="shared" si="29"/>
        <v>#DIV/0!</v>
      </c>
      <c r="U125" s="1026" t="e">
        <f t="shared" ref="U125:AE125" si="30">U123/U124</f>
        <v>#DIV/0!</v>
      </c>
      <c r="V125" s="1026">
        <f t="shared" si="30"/>
        <v>1</v>
      </c>
      <c r="W125" s="1026" t="e">
        <f t="shared" si="30"/>
        <v>#DIV/0!</v>
      </c>
      <c r="X125" s="1026" t="e">
        <f t="shared" si="30"/>
        <v>#DIV/0!</v>
      </c>
      <c r="Y125" s="1026" t="e">
        <f t="shared" si="30"/>
        <v>#DIV/0!</v>
      </c>
      <c r="Z125" s="1026" t="e">
        <f t="shared" si="30"/>
        <v>#DIV/0!</v>
      </c>
      <c r="AA125" s="1026" t="e">
        <f t="shared" si="30"/>
        <v>#DIV/0!</v>
      </c>
      <c r="AB125" s="1026" t="e">
        <f t="shared" si="30"/>
        <v>#DIV/0!</v>
      </c>
      <c r="AC125" s="1026" t="e">
        <f t="shared" si="30"/>
        <v>#DIV/0!</v>
      </c>
      <c r="AD125" s="1026" t="e">
        <f t="shared" si="30"/>
        <v>#DIV/0!</v>
      </c>
      <c r="AE125" s="1026" t="e">
        <f t="shared" si="30"/>
        <v>#DIV/0!</v>
      </c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  <c r="CP125" s="61"/>
      <c r="CQ125" s="61"/>
    </row>
    <row r="126" spans="1:105">
      <c r="A126" s="114"/>
      <c r="B126" s="114"/>
      <c r="C126" s="775"/>
      <c r="D126" s="1026"/>
      <c r="E126" s="1026"/>
      <c r="F126" s="1026"/>
      <c r="G126" s="1026"/>
      <c r="H126" s="1026"/>
      <c r="I126" s="1026"/>
      <c r="J126" s="1026"/>
      <c r="K126" s="1026"/>
      <c r="L126" s="1026"/>
      <c r="M126" s="1026"/>
      <c r="N126" s="2085"/>
      <c r="O126" s="1026"/>
      <c r="P126" s="1026"/>
      <c r="Q126" s="1026"/>
      <c r="R126" s="1026"/>
      <c r="S126" s="1026"/>
      <c r="T126" s="1026"/>
      <c r="U126" s="1026"/>
      <c r="V126" s="1026"/>
      <c r="W126" s="1026"/>
      <c r="X126" s="770"/>
      <c r="Y126" s="4"/>
      <c r="Z126" s="4"/>
      <c r="AA126" s="4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/>
      <c r="CP126" s="61"/>
      <c r="CQ126" s="61"/>
    </row>
    <row r="127" spans="1:105">
      <c r="A127" s="114"/>
      <c r="B127" s="114"/>
      <c r="C127" s="775"/>
      <c r="D127" s="1026"/>
      <c r="E127" s="1026"/>
      <c r="F127" s="1026"/>
      <c r="G127" s="1026"/>
      <c r="H127" s="1026"/>
      <c r="I127" s="1026"/>
      <c r="J127" s="1026"/>
      <c r="K127" s="1026"/>
      <c r="L127" s="1026"/>
      <c r="M127" s="1026"/>
      <c r="N127" s="2085"/>
      <c r="O127" s="1026"/>
      <c r="P127" s="1026"/>
      <c r="Q127" s="1026"/>
      <c r="R127" s="1026"/>
      <c r="S127" s="1026"/>
      <c r="T127" s="1026"/>
      <c r="U127" s="1026"/>
      <c r="V127" s="1026"/>
      <c r="W127" s="1026"/>
      <c r="X127" s="770"/>
      <c r="Y127" s="4"/>
      <c r="Z127" s="4"/>
      <c r="AA127" s="4"/>
      <c r="AB127" s="40"/>
      <c r="AC127" s="40"/>
      <c r="AD127" s="40"/>
      <c r="AE127" s="40"/>
      <c r="AF127" s="61"/>
      <c r="AG127" s="61"/>
      <c r="AH127" s="61"/>
      <c r="AI127" s="40"/>
      <c r="AJ127" s="40"/>
      <c r="AK127" s="40"/>
      <c r="AL127" s="40"/>
      <c r="AM127" s="40"/>
      <c r="AN127" s="61"/>
      <c r="AO127" s="61"/>
      <c r="AP127" s="61"/>
      <c r="AQ127" s="40"/>
      <c r="AR127" s="40"/>
      <c r="AS127" s="40"/>
      <c r="AT127" s="40"/>
      <c r="AU127" s="40"/>
      <c r="AV127" s="61"/>
      <c r="AW127" s="61"/>
      <c r="AX127" s="61"/>
      <c r="AY127" s="40"/>
      <c r="AZ127" s="40"/>
      <c r="BA127" s="40"/>
      <c r="BB127" s="61"/>
      <c r="BC127" s="61"/>
      <c r="BD127" s="61"/>
      <c r="BE127" s="61"/>
      <c r="BF127" s="61"/>
      <c r="BG127" s="40"/>
      <c r="BH127" s="40"/>
      <c r="BI127" s="40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</row>
    <row r="128" spans="1:105">
      <c r="A128" s="114"/>
      <c r="B128" s="3568" t="s">
        <v>291</v>
      </c>
      <c r="C128" s="775" t="s">
        <v>289</v>
      </c>
      <c r="D128" s="1027">
        <f>SUM(D61,D93,D123)</f>
        <v>36</v>
      </c>
      <c r="E128" s="1027">
        <f t="shared" ref="E128:S128" si="31">SUM(E61,E93,E123)</f>
        <v>37</v>
      </c>
      <c r="F128" s="1027">
        <f t="shared" si="31"/>
        <v>38</v>
      </c>
      <c r="G128" s="1027">
        <f t="shared" si="31"/>
        <v>24</v>
      </c>
      <c r="H128" s="1027">
        <f t="shared" si="31"/>
        <v>40</v>
      </c>
      <c r="I128" s="1027">
        <f t="shared" si="31"/>
        <v>78</v>
      </c>
      <c r="J128" s="1027">
        <f t="shared" si="31"/>
        <v>75</v>
      </c>
      <c r="K128" s="1027">
        <f t="shared" si="31"/>
        <v>71</v>
      </c>
      <c r="L128" s="1027">
        <f t="shared" si="31"/>
        <v>64</v>
      </c>
      <c r="M128" s="1027">
        <f t="shared" si="31"/>
        <v>14</v>
      </c>
      <c r="N128" s="2084">
        <f t="shared" si="31"/>
        <v>45</v>
      </c>
      <c r="O128" s="1027">
        <f t="shared" si="31"/>
        <v>0</v>
      </c>
      <c r="P128" s="1027">
        <f t="shared" si="31"/>
        <v>68</v>
      </c>
      <c r="Q128" s="1027">
        <f t="shared" si="31"/>
        <v>77</v>
      </c>
      <c r="R128" s="1027">
        <f t="shared" si="31"/>
        <v>53</v>
      </c>
      <c r="S128" s="1027">
        <f t="shared" si="31"/>
        <v>53</v>
      </c>
      <c r="T128" s="1027">
        <f t="shared" ref="T128" si="32">SUM(T61,T93,T123)</f>
        <v>31</v>
      </c>
      <c r="U128" s="1027">
        <f>SUM(U61,U93,U123)</f>
        <v>31</v>
      </c>
      <c r="V128" s="1027">
        <f t="shared" ref="V128:AA128" si="33">SUM(V61,V93,V123)</f>
        <v>54</v>
      </c>
      <c r="W128" s="1027">
        <f t="shared" si="33"/>
        <v>46</v>
      </c>
      <c r="X128" s="1027">
        <f t="shared" si="33"/>
        <v>14</v>
      </c>
      <c r="Y128" s="1027">
        <f t="shared" si="33"/>
        <v>56</v>
      </c>
      <c r="Z128" s="1027">
        <f t="shared" si="33"/>
        <v>59</v>
      </c>
      <c r="AA128" s="1027">
        <f t="shared" si="33"/>
        <v>59</v>
      </c>
      <c r="AB128" s="1027">
        <f t="shared" ref="AB128:AE128" si="34">SUM(AB61,AB93,AB123)</f>
        <v>56</v>
      </c>
      <c r="AC128" s="1027">
        <f t="shared" si="34"/>
        <v>0</v>
      </c>
      <c r="AD128" s="1027">
        <f t="shared" si="34"/>
        <v>0</v>
      </c>
      <c r="AE128" s="1027">
        <f t="shared" si="34"/>
        <v>0</v>
      </c>
      <c r="AF128" s="44"/>
      <c r="AG128" s="61"/>
      <c r="AH128" s="173"/>
      <c r="AI128" s="40"/>
      <c r="AJ128" s="40"/>
      <c r="AK128" s="40"/>
      <c r="AL128" s="40"/>
      <c r="AM128" s="40"/>
      <c r="AN128" s="44"/>
      <c r="AO128" s="61"/>
      <c r="AP128" s="173"/>
      <c r="AQ128" s="40"/>
      <c r="AR128" s="40"/>
      <c r="AS128" s="40"/>
      <c r="AT128" s="40"/>
      <c r="AU128" s="40"/>
      <c r="AV128" s="44"/>
      <c r="AW128" s="61"/>
      <c r="AX128" s="173"/>
      <c r="AY128" s="40"/>
      <c r="AZ128" s="40"/>
      <c r="BA128" s="40"/>
      <c r="BB128" s="44"/>
      <c r="BC128" s="61"/>
      <c r="BD128" s="61"/>
      <c r="BE128" s="61"/>
      <c r="BF128" s="173"/>
      <c r="BG128" s="40"/>
      <c r="BH128" s="40"/>
      <c r="BI128" s="40"/>
      <c r="BJ128" s="44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  <c r="CL128" s="61"/>
      <c r="CM128" s="61"/>
      <c r="CN128" s="61"/>
      <c r="CO128" s="61"/>
      <c r="CP128" s="61"/>
      <c r="CQ128" s="61"/>
    </row>
    <row r="129" spans="1:95">
      <c r="A129" s="114"/>
      <c r="B129" s="3568"/>
      <c r="C129" s="775" t="s">
        <v>288</v>
      </c>
      <c r="D129" s="1027">
        <f>SUM(D62,D94,D124)</f>
        <v>40</v>
      </c>
      <c r="E129" s="1027">
        <f t="shared" ref="E129:S129" si="35">SUM(E62,E94,E124)</f>
        <v>40</v>
      </c>
      <c r="F129" s="1027">
        <f t="shared" si="35"/>
        <v>40</v>
      </c>
      <c r="G129" s="1027">
        <f t="shared" si="35"/>
        <v>26</v>
      </c>
      <c r="H129" s="1027">
        <f t="shared" si="35"/>
        <v>40</v>
      </c>
      <c r="I129" s="1027">
        <f t="shared" si="35"/>
        <v>79</v>
      </c>
      <c r="J129" s="1027">
        <f t="shared" si="35"/>
        <v>79</v>
      </c>
      <c r="K129" s="1027">
        <f t="shared" si="35"/>
        <v>79</v>
      </c>
      <c r="L129" s="1027">
        <f t="shared" si="35"/>
        <v>75</v>
      </c>
      <c r="M129" s="1027">
        <f t="shared" si="35"/>
        <v>26</v>
      </c>
      <c r="N129" s="2084">
        <f t="shared" si="35"/>
        <v>57</v>
      </c>
      <c r="O129" s="1027">
        <f t="shared" si="35"/>
        <v>0</v>
      </c>
      <c r="P129" s="1027">
        <f t="shared" si="35"/>
        <v>79</v>
      </c>
      <c r="Q129" s="1027">
        <f t="shared" si="35"/>
        <v>78</v>
      </c>
      <c r="R129" s="1027">
        <f t="shared" si="35"/>
        <v>55</v>
      </c>
      <c r="S129" s="1027">
        <f t="shared" si="35"/>
        <v>60</v>
      </c>
      <c r="T129" s="1027">
        <f t="shared" ref="T129:AA129" si="36">SUM(T62,T94,T124)</f>
        <v>39</v>
      </c>
      <c r="U129" s="1027">
        <f t="shared" si="36"/>
        <v>38</v>
      </c>
      <c r="V129" s="1027">
        <f t="shared" si="36"/>
        <v>61</v>
      </c>
      <c r="W129" s="1027">
        <f t="shared" si="36"/>
        <v>60</v>
      </c>
      <c r="X129" s="1027">
        <f t="shared" si="36"/>
        <v>26</v>
      </c>
      <c r="Y129" s="1027">
        <f t="shared" si="36"/>
        <v>59</v>
      </c>
      <c r="Z129" s="1027">
        <f t="shared" si="36"/>
        <v>59</v>
      </c>
      <c r="AA129" s="1027">
        <f t="shared" si="36"/>
        <v>59</v>
      </c>
      <c r="AB129" s="1027">
        <f t="shared" ref="AB129:AE129" si="37">SUM(AB62,AB94,AB124)</f>
        <v>56</v>
      </c>
      <c r="AC129" s="1027">
        <f t="shared" si="37"/>
        <v>0</v>
      </c>
      <c r="AD129" s="1027">
        <f t="shared" si="37"/>
        <v>0</v>
      </c>
      <c r="AE129" s="1027">
        <f t="shared" si="37"/>
        <v>0</v>
      </c>
      <c r="AF129" s="44"/>
      <c r="AG129" s="61"/>
      <c r="AH129" s="70"/>
      <c r="AI129" s="40"/>
      <c r="AJ129" s="40"/>
      <c r="AK129" s="40"/>
      <c r="AL129" s="40"/>
      <c r="AM129" s="40"/>
      <c r="AN129" s="44"/>
      <c r="AO129" s="61"/>
      <c r="AP129" s="70"/>
      <c r="AQ129" s="40"/>
      <c r="AR129" s="40"/>
      <c r="AS129" s="40"/>
      <c r="AT129" s="40"/>
      <c r="AU129" s="40"/>
      <c r="AV129" s="44"/>
      <c r="AW129" s="61"/>
      <c r="AX129" s="70"/>
      <c r="AY129" s="40"/>
      <c r="AZ129" s="40"/>
      <c r="BA129" s="40"/>
      <c r="BB129" s="44"/>
      <c r="BC129" s="61"/>
      <c r="BD129" s="61"/>
      <c r="BE129" s="61"/>
      <c r="BF129" s="70"/>
      <c r="BG129" s="40"/>
      <c r="BH129" s="40"/>
      <c r="BI129" s="40"/>
      <c r="BJ129" s="44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1"/>
      <c r="CP129" s="61"/>
      <c r="CQ129" s="61"/>
    </row>
    <row r="130" spans="1:95">
      <c r="A130" s="114"/>
      <c r="B130" s="3568"/>
      <c r="C130" s="775" t="s">
        <v>278</v>
      </c>
      <c r="D130" s="1026">
        <f>D128/D129</f>
        <v>0.9</v>
      </c>
      <c r="E130" s="1026">
        <f t="shared" ref="E130:S130" si="38">E128/E129</f>
        <v>0.92500000000000004</v>
      </c>
      <c r="F130" s="1026">
        <f t="shared" si="38"/>
        <v>0.95</v>
      </c>
      <c r="G130" s="1026">
        <f t="shared" si="38"/>
        <v>0.92307692307692313</v>
      </c>
      <c r="H130" s="1026">
        <f t="shared" si="38"/>
        <v>1</v>
      </c>
      <c r="I130" s="1026">
        <f t="shared" si="38"/>
        <v>0.98734177215189878</v>
      </c>
      <c r="J130" s="1026">
        <f t="shared" si="38"/>
        <v>0.94936708860759489</v>
      </c>
      <c r="K130" s="1026">
        <f t="shared" si="38"/>
        <v>0.89873417721518989</v>
      </c>
      <c r="L130" s="1026">
        <f t="shared" si="38"/>
        <v>0.85333333333333339</v>
      </c>
      <c r="M130" s="1026">
        <f t="shared" si="38"/>
        <v>0.53846153846153844</v>
      </c>
      <c r="N130" s="2085">
        <f t="shared" si="38"/>
        <v>0.78947368421052633</v>
      </c>
      <c r="O130" s="1026" t="e">
        <f t="shared" si="38"/>
        <v>#DIV/0!</v>
      </c>
      <c r="P130" s="1026">
        <f t="shared" si="38"/>
        <v>0.86075949367088611</v>
      </c>
      <c r="Q130" s="1026">
        <f t="shared" si="38"/>
        <v>0.98717948717948723</v>
      </c>
      <c r="R130" s="1026">
        <f t="shared" si="38"/>
        <v>0.96363636363636362</v>
      </c>
      <c r="S130" s="1026">
        <f t="shared" si="38"/>
        <v>0.8833333333333333</v>
      </c>
      <c r="T130" s="1026">
        <f t="shared" ref="T130:AA130" si="39">T128/T129</f>
        <v>0.79487179487179482</v>
      </c>
      <c r="U130" s="1026">
        <f t="shared" si="39"/>
        <v>0.81578947368421051</v>
      </c>
      <c r="V130" s="1026">
        <f t="shared" si="39"/>
        <v>0.88524590163934425</v>
      </c>
      <c r="W130" s="1026">
        <f t="shared" si="39"/>
        <v>0.76666666666666672</v>
      </c>
      <c r="X130" s="1026">
        <f t="shared" si="39"/>
        <v>0.53846153846153844</v>
      </c>
      <c r="Y130" s="1026">
        <f t="shared" si="39"/>
        <v>0.94915254237288138</v>
      </c>
      <c r="Z130" s="1026">
        <f t="shared" si="39"/>
        <v>1</v>
      </c>
      <c r="AA130" s="1026">
        <f t="shared" si="39"/>
        <v>1</v>
      </c>
      <c r="AB130" s="1026">
        <f t="shared" ref="AB130:AE130" si="40">AB128/AB129</f>
        <v>1</v>
      </c>
      <c r="AC130" s="1026" t="e">
        <f t="shared" si="40"/>
        <v>#DIV/0!</v>
      </c>
      <c r="AD130" s="1026" t="e">
        <f t="shared" si="40"/>
        <v>#DIV/0!</v>
      </c>
      <c r="AE130" s="1026" t="e">
        <f t="shared" si="40"/>
        <v>#DIV/0!</v>
      </c>
      <c r="AF130" s="44"/>
      <c r="AG130" s="61"/>
      <c r="AH130" s="70"/>
      <c r="AI130" s="40"/>
      <c r="AJ130" s="40"/>
      <c r="AK130" s="40"/>
      <c r="AL130" s="40"/>
      <c r="AM130" s="40"/>
      <c r="AN130" s="44"/>
      <c r="AO130" s="61"/>
      <c r="AP130" s="70"/>
      <c r="AQ130" s="40"/>
      <c r="AR130" s="40"/>
      <c r="AS130" s="40"/>
      <c r="AT130" s="40"/>
      <c r="AU130" s="40"/>
      <c r="AV130" s="44"/>
      <c r="AW130" s="61"/>
      <c r="AX130" s="70"/>
      <c r="AY130" s="40"/>
      <c r="AZ130" s="40"/>
      <c r="BA130" s="40"/>
      <c r="BB130" s="44"/>
      <c r="BC130" s="61"/>
      <c r="BD130" s="61"/>
      <c r="BE130" s="61"/>
      <c r="BF130" s="70"/>
      <c r="BG130" s="40"/>
      <c r="BH130" s="40"/>
      <c r="BI130" s="40"/>
      <c r="BJ130" s="44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  <c r="CL130" s="61"/>
      <c r="CM130" s="61"/>
      <c r="CN130" s="61"/>
      <c r="CO130" s="61"/>
      <c r="CP130" s="61"/>
      <c r="CQ130" s="61"/>
    </row>
    <row r="131" spans="1:95">
      <c r="A131" s="114"/>
      <c r="B131" s="114"/>
      <c r="C131" s="775"/>
      <c r="D131" s="1026"/>
      <c r="E131" s="1026"/>
      <c r="F131" s="1026"/>
      <c r="G131" s="1026"/>
      <c r="H131" s="1026"/>
      <c r="I131" s="1026"/>
      <c r="J131" s="1026"/>
      <c r="K131" s="1026"/>
      <c r="L131" s="1026"/>
      <c r="M131" s="1026"/>
      <c r="N131" s="2085"/>
      <c r="O131" s="1026"/>
      <c r="P131" s="1026"/>
      <c r="Q131" s="1026"/>
      <c r="R131" s="1026"/>
      <c r="S131" s="1026"/>
      <c r="T131" s="1026"/>
      <c r="U131" s="1026"/>
      <c r="V131" s="1026"/>
      <c r="W131" s="1026"/>
      <c r="X131" s="770"/>
      <c r="Y131" s="4"/>
      <c r="Z131" s="4"/>
      <c r="AA131" s="4"/>
      <c r="AB131" s="40"/>
      <c r="AC131" s="40"/>
      <c r="AD131" s="40"/>
      <c r="AE131" s="40"/>
      <c r="AF131" s="44"/>
      <c r="AG131" s="61"/>
      <c r="AH131" s="70"/>
      <c r="AI131" s="40"/>
      <c r="AJ131" s="40"/>
      <c r="AK131" s="40"/>
      <c r="AL131" s="40"/>
      <c r="AM131" s="40"/>
      <c r="AN131" s="44"/>
      <c r="AO131" s="61"/>
      <c r="AP131" s="70"/>
      <c r="AQ131" s="40"/>
      <c r="AR131" s="40"/>
      <c r="AS131" s="40"/>
      <c r="AT131" s="40"/>
      <c r="AU131" s="40"/>
      <c r="AV131" s="44"/>
      <c r="AW131" s="61"/>
      <c r="AX131" s="70"/>
      <c r="AY131" s="40"/>
      <c r="AZ131" s="40"/>
      <c r="BA131" s="40"/>
      <c r="BB131" s="44"/>
      <c r="BC131" s="61"/>
      <c r="BD131" s="61"/>
      <c r="BE131" s="61"/>
      <c r="BF131" s="70"/>
      <c r="BG131" s="40"/>
      <c r="BH131" s="40"/>
      <c r="BI131" s="40"/>
      <c r="BJ131" s="44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1"/>
      <c r="CM131" s="61"/>
      <c r="CN131" s="61"/>
      <c r="CO131" s="61"/>
      <c r="CP131" s="61"/>
      <c r="CQ131" s="61"/>
    </row>
    <row r="132" spans="1:95" ht="15" customHeight="1">
      <c r="A132" s="108"/>
      <c r="B132" s="108"/>
      <c r="C132" s="124"/>
      <c r="D132" s="224"/>
      <c r="E132" s="223"/>
      <c r="F132" s="223"/>
      <c r="G132" s="223"/>
      <c r="H132" s="223"/>
      <c r="I132" s="224"/>
      <c r="J132" s="206"/>
      <c r="K132" s="206"/>
      <c r="L132" s="219"/>
      <c r="M132" s="220"/>
      <c r="N132" s="2090"/>
      <c r="O132" s="220"/>
      <c r="P132" s="220"/>
      <c r="Q132" s="220"/>
      <c r="R132" s="220"/>
      <c r="S132" s="220"/>
      <c r="T132" s="220"/>
      <c r="U132" s="220"/>
      <c r="V132" s="220"/>
      <c r="W132" s="220"/>
      <c r="X132" s="791"/>
      <c r="Y132" s="172"/>
      <c r="Z132" s="172"/>
      <c r="AA132" s="172"/>
      <c r="AB132" s="175"/>
      <c r="AC132" s="175"/>
      <c r="AD132" s="175"/>
      <c r="AE132" s="175"/>
      <c r="AF132" s="44"/>
      <c r="AG132" s="61"/>
      <c r="AH132" s="95"/>
      <c r="AI132" s="175"/>
      <c r="AJ132" s="175"/>
      <c r="AK132" s="175"/>
      <c r="AL132" s="175"/>
      <c r="AM132" s="175"/>
      <c r="AN132" s="44"/>
      <c r="AO132" s="61"/>
      <c r="AP132" s="95"/>
      <c r="AQ132" s="175"/>
      <c r="AR132" s="175"/>
      <c r="AS132" s="175"/>
      <c r="AT132" s="175"/>
      <c r="AU132" s="175"/>
      <c r="AV132" s="44"/>
      <c r="AW132" s="61"/>
      <c r="AX132" s="95"/>
      <c r="AY132" s="175"/>
      <c r="AZ132" s="175"/>
      <c r="BA132" s="175"/>
      <c r="BB132" s="44"/>
      <c r="BC132" s="61"/>
      <c r="BD132" s="61"/>
      <c r="BE132" s="61"/>
      <c r="BF132" s="95"/>
      <c r="BG132" s="175"/>
      <c r="BH132" s="175"/>
      <c r="BI132" s="175"/>
      <c r="BJ132" s="44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  <c r="CL132" s="61"/>
      <c r="CM132" s="61"/>
      <c r="CN132" s="61"/>
      <c r="CO132" s="61"/>
      <c r="CP132" s="61"/>
      <c r="CQ132" s="61"/>
    </row>
    <row r="133" spans="1:95">
      <c r="A133" s="108"/>
      <c r="B133" s="108"/>
      <c r="C133" s="124"/>
      <c r="D133" s="224"/>
      <c r="E133" s="223"/>
      <c r="F133" s="3546" t="s">
        <v>228</v>
      </c>
      <c r="G133" s="3546"/>
      <c r="H133" s="3546"/>
      <c r="I133" s="3546"/>
      <c r="J133" s="219"/>
      <c r="K133" s="206"/>
      <c r="L133" s="219"/>
      <c r="M133" s="220"/>
      <c r="N133" s="3546" t="s">
        <v>228</v>
      </c>
      <c r="O133" s="3546"/>
      <c r="P133" s="3546"/>
      <c r="Q133" s="3546"/>
      <c r="R133" s="220"/>
      <c r="S133" s="220"/>
      <c r="T133" s="220"/>
      <c r="U133" s="220"/>
      <c r="V133" s="220"/>
      <c r="W133" s="220"/>
      <c r="X133" s="791"/>
      <c r="Y133" s="172"/>
      <c r="Z133" s="172"/>
      <c r="AA133" s="172"/>
      <c r="AB133" s="175"/>
      <c r="AC133" s="175"/>
      <c r="AD133" s="175"/>
      <c r="AE133" s="175"/>
      <c r="AF133" s="44"/>
      <c r="AG133" s="61"/>
      <c r="AH133" s="70"/>
      <c r="AI133" s="175"/>
      <c r="AJ133" s="175"/>
      <c r="AK133" s="175"/>
      <c r="AL133" s="175"/>
      <c r="AM133" s="175"/>
      <c r="AN133" s="44"/>
      <c r="AO133" s="61"/>
      <c r="AP133" s="70"/>
      <c r="AQ133" s="175"/>
      <c r="AR133" s="175"/>
      <c r="AS133" s="175"/>
      <c r="AT133" s="175"/>
      <c r="AU133" s="175"/>
      <c r="AV133" s="44"/>
      <c r="AW133" s="61"/>
      <c r="AX133" s="70"/>
      <c r="AY133" s="175"/>
      <c r="AZ133" s="175"/>
      <c r="BA133" s="175"/>
      <c r="BB133" s="44"/>
      <c r="BC133" s="61"/>
      <c r="BD133" s="61"/>
      <c r="BE133" s="61"/>
      <c r="BF133" s="70"/>
      <c r="BG133" s="175"/>
      <c r="BH133" s="175"/>
      <c r="BI133" s="175"/>
      <c r="BJ133" s="44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  <c r="CP133" s="61"/>
      <c r="CQ133" s="61"/>
    </row>
    <row r="134" spans="1:95" ht="15.75" thickBot="1">
      <c r="A134" s="328"/>
      <c r="B134" s="113"/>
      <c r="C134" s="124"/>
      <c r="D134" s="224"/>
      <c r="E134" s="223"/>
      <c r="F134" s="3546"/>
      <c r="G134" s="3546"/>
      <c r="H134" s="3546"/>
      <c r="I134" s="3546"/>
      <c r="J134" s="219"/>
      <c r="K134" s="206"/>
      <c r="L134" s="219"/>
      <c r="M134" s="220"/>
      <c r="N134" s="3546"/>
      <c r="O134" s="3546"/>
      <c r="P134" s="3546"/>
      <c r="Q134" s="3546"/>
      <c r="R134" s="220"/>
      <c r="S134" s="220"/>
      <c r="T134" s="220"/>
      <c r="U134" s="220"/>
      <c r="V134" s="220"/>
      <c r="W134" s="220"/>
      <c r="X134" s="791"/>
      <c r="Y134" s="172"/>
      <c r="Z134" s="172"/>
      <c r="AA134" s="172"/>
      <c r="AB134" s="175"/>
      <c r="AC134" s="175"/>
      <c r="AD134" s="175"/>
      <c r="AE134" s="175"/>
      <c r="AF134" s="44"/>
      <c r="AG134" s="61"/>
      <c r="AH134" s="70"/>
      <c r="AI134" s="175"/>
      <c r="AJ134" s="175"/>
      <c r="AK134" s="175"/>
      <c r="AL134" s="175"/>
      <c r="AM134" s="175"/>
      <c r="AN134" s="44"/>
      <c r="AO134" s="61"/>
      <c r="AP134" s="70"/>
      <c r="AQ134" s="175"/>
      <c r="AR134" s="175"/>
      <c r="AS134" s="175"/>
      <c r="AT134" s="175"/>
      <c r="AU134" s="175"/>
      <c r="AV134" s="44"/>
      <c r="AW134" s="61"/>
      <c r="AX134" s="70"/>
      <c r="AY134" s="175"/>
      <c r="AZ134" s="175"/>
      <c r="BA134" s="175"/>
      <c r="BB134" s="44"/>
      <c r="BC134" s="61"/>
      <c r="BD134" s="61"/>
      <c r="BE134" s="61"/>
      <c r="BF134" s="70"/>
      <c r="BG134" s="175"/>
      <c r="BH134" s="175"/>
      <c r="BI134" s="175"/>
      <c r="BJ134" s="44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/>
    </row>
    <row r="135" spans="1:95" ht="15.75" thickBot="1">
      <c r="A135" s="328"/>
      <c r="B135" s="113"/>
      <c r="C135" s="266" t="s">
        <v>168</v>
      </c>
      <c r="D135" s="268">
        <v>10</v>
      </c>
      <c r="E135" s="268">
        <v>10</v>
      </c>
      <c r="F135" s="268">
        <v>10</v>
      </c>
      <c r="G135" s="345">
        <v>10</v>
      </c>
      <c r="H135" s="346">
        <v>10</v>
      </c>
      <c r="I135" s="268">
        <v>10</v>
      </c>
      <c r="J135" s="268">
        <v>10</v>
      </c>
      <c r="K135" s="269">
        <v>10</v>
      </c>
      <c r="L135" s="346">
        <v>10</v>
      </c>
      <c r="M135" s="268">
        <v>10</v>
      </c>
      <c r="N135" s="2091">
        <v>10</v>
      </c>
      <c r="O135" s="274">
        <v>10</v>
      </c>
      <c r="P135" s="547">
        <v>10</v>
      </c>
      <c r="Q135" s="355">
        <v>10</v>
      </c>
      <c r="R135" s="355">
        <v>10</v>
      </c>
      <c r="S135" s="428">
        <v>10</v>
      </c>
      <c r="T135" s="428">
        <v>10</v>
      </c>
      <c r="U135" s="428">
        <v>10</v>
      </c>
      <c r="V135" s="428">
        <v>10</v>
      </c>
      <c r="W135" s="428">
        <v>10</v>
      </c>
      <c r="X135" s="428">
        <v>10</v>
      </c>
      <c r="Y135" s="428">
        <v>10</v>
      </c>
      <c r="Z135" s="428">
        <v>10</v>
      </c>
      <c r="AA135" s="428">
        <v>7</v>
      </c>
      <c r="AB135" s="175"/>
      <c r="AC135" s="175"/>
      <c r="AD135" s="175"/>
      <c r="AE135" s="175"/>
      <c r="AF135" s="44"/>
      <c r="AG135" s="61"/>
      <c r="AH135" s="70"/>
      <c r="AI135" s="175"/>
      <c r="AJ135" s="175"/>
      <c r="AK135" s="175"/>
      <c r="AL135" s="175"/>
      <c r="AM135" s="175"/>
      <c r="AN135" s="44"/>
      <c r="AO135" s="61"/>
      <c r="AP135" s="70"/>
      <c r="AQ135" s="175"/>
      <c r="AR135" s="175"/>
      <c r="AS135" s="175"/>
      <c r="AT135" s="175"/>
      <c r="AU135" s="175"/>
      <c r="AV135" s="44"/>
      <c r="AW135" s="61"/>
      <c r="AX135" s="70"/>
      <c r="AY135" s="175"/>
      <c r="AZ135" s="175"/>
      <c r="BA135" s="175"/>
      <c r="BB135" s="44"/>
      <c r="BC135" s="61"/>
      <c r="BD135" s="61"/>
      <c r="BE135" s="61"/>
      <c r="BF135" s="70"/>
      <c r="BG135" s="175"/>
      <c r="BH135" s="175"/>
      <c r="BI135" s="175"/>
      <c r="BJ135" s="44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/>
      <c r="CQ135" s="61"/>
    </row>
    <row r="136" spans="1:95">
      <c r="A136" s="195"/>
      <c r="B136" s="1039"/>
      <c r="C136" s="263" t="s">
        <v>105</v>
      </c>
      <c r="D136" s="582">
        <v>7.9399999999999998E-2</v>
      </c>
      <c r="E136" s="582">
        <v>7.46E-2</v>
      </c>
      <c r="F136" s="582">
        <v>9.4999999999999998E-3</v>
      </c>
      <c r="G136" s="583">
        <v>0.1401</v>
      </c>
      <c r="H136" s="496">
        <v>0.19700000000000001</v>
      </c>
      <c r="I136" s="494">
        <v>5.8000000000000003E-2</v>
      </c>
      <c r="J136" s="494">
        <v>0.121</v>
      </c>
      <c r="K136" s="497">
        <v>9.5000000000000001E-2</v>
      </c>
      <c r="L136" s="487"/>
      <c r="M136" s="481">
        <v>5.0999999999999997E-2</v>
      </c>
      <c r="N136" s="2092">
        <v>0.248</v>
      </c>
      <c r="O136" s="845"/>
      <c r="P136" s="2293">
        <v>3.3000000000000002E-2</v>
      </c>
      <c r="Q136" s="2636">
        <v>4.4999999999999998E-2</v>
      </c>
      <c r="R136" s="358"/>
      <c r="S136" s="354"/>
      <c r="T136" s="354"/>
      <c r="U136" s="354"/>
      <c r="V136" s="354"/>
      <c r="W136" s="354"/>
      <c r="X136" s="354">
        <v>6.6000000000000003E-2</v>
      </c>
      <c r="Y136" s="354">
        <v>0.03</v>
      </c>
      <c r="Z136" s="354"/>
      <c r="AA136" s="354">
        <v>0.15933333333333333</v>
      </c>
      <c r="AB136" s="40"/>
      <c r="AC136" s="40"/>
      <c r="AD136" s="40"/>
      <c r="AE136" s="40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1"/>
      <c r="CQ136" s="61"/>
    </row>
    <row r="137" spans="1:95">
      <c r="A137" s="195"/>
      <c r="B137" s="1039"/>
      <c r="C137" s="106" t="s">
        <v>94</v>
      </c>
      <c r="D137" s="584">
        <v>0.16120000000000001</v>
      </c>
      <c r="E137" s="584">
        <v>0.37780000000000002</v>
      </c>
      <c r="F137" s="584">
        <v>1.5348999999999999</v>
      </c>
      <c r="G137" s="585">
        <v>1.3512</v>
      </c>
      <c r="H137" s="483">
        <v>0.57799999999999996</v>
      </c>
      <c r="I137" s="484">
        <v>0.124</v>
      </c>
      <c r="J137" s="484">
        <v>1.4670000000000001</v>
      </c>
      <c r="K137" s="472">
        <v>0.83</v>
      </c>
      <c r="L137" s="409">
        <v>0.189</v>
      </c>
      <c r="M137" s="410">
        <v>3.4000000000000002E-2</v>
      </c>
      <c r="N137" s="2093">
        <v>1.133</v>
      </c>
      <c r="O137" s="846"/>
      <c r="P137" s="2291">
        <v>0.114</v>
      </c>
      <c r="Q137" s="2636">
        <v>0.19800000000000001</v>
      </c>
      <c r="R137" s="304"/>
      <c r="S137" s="319"/>
      <c r="T137" s="319"/>
      <c r="U137" s="319"/>
      <c r="V137" s="319"/>
      <c r="W137" s="319"/>
      <c r="X137" s="319">
        <v>3.4500000000000003E-2</v>
      </c>
      <c r="Y137" s="319">
        <v>2.7E-2</v>
      </c>
      <c r="Z137" s="319"/>
      <c r="AA137" s="319">
        <v>1.6453333333333333</v>
      </c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</row>
    <row r="138" spans="1:95">
      <c r="A138" s="195"/>
      <c r="B138" s="1039"/>
      <c r="C138" s="106" t="s">
        <v>166</v>
      </c>
      <c r="D138" s="586" t="s">
        <v>82</v>
      </c>
      <c r="E138" s="586" t="s">
        <v>82</v>
      </c>
      <c r="F138" s="586" t="s">
        <v>82</v>
      </c>
      <c r="G138" s="587" t="s">
        <v>82</v>
      </c>
      <c r="H138" s="483">
        <v>0.10199999999999999</v>
      </c>
      <c r="I138" s="484">
        <v>0.26</v>
      </c>
      <c r="J138" s="484">
        <v>0.39100000000000001</v>
      </c>
      <c r="K138" s="472">
        <v>6.5000000000000002E-2</v>
      </c>
      <c r="L138" s="409">
        <v>3.6999999999999998E-2</v>
      </c>
      <c r="M138" s="410"/>
      <c r="N138" s="2093"/>
      <c r="O138" s="846"/>
      <c r="P138" s="2291"/>
      <c r="Q138" s="304"/>
      <c r="R138" s="304"/>
      <c r="S138" s="319"/>
      <c r="T138" s="319"/>
      <c r="U138" s="319"/>
      <c r="V138" s="319"/>
      <c r="W138" s="319"/>
      <c r="X138" s="319"/>
      <c r="Y138" s="319"/>
      <c r="Z138" s="319"/>
      <c r="AA138" s="319" t="e">
        <v>#DIV/0!</v>
      </c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</row>
    <row r="139" spans="1:95">
      <c r="A139" s="195"/>
      <c r="B139" s="1039"/>
      <c r="C139" s="106" t="s">
        <v>162</v>
      </c>
      <c r="D139" s="584">
        <v>0.80879999999999996</v>
      </c>
      <c r="E139" s="584">
        <v>0.22320000000000001</v>
      </c>
      <c r="F139" s="584">
        <v>0.60850000000000004</v>
      </c>
      <c r="G139" s="585">
        <v>0.56140000000000001</v>
      </c>
      <c r="H139" s="483">
        <v>0.63600000000000001</v>
      </c>
      <c r="I139" s="484">
        <v>0.66500000000000004</v>
      </c>
      <c r="J139" s="484">
        <v>0.78400000000000003</v>
      </c>
      <c r="K139" s="472">
        <v>0.70399999999999996</v>
      </c>
      <c r="L139" s="409">
        <v>0.80400000000000005</v>
      </c>
      <c r="M139" s="410">
        <v>0.41699999999999998</v>
      </c>
      <c r="N139" s="2093">
        <v>0.877</v>
      </c>
      <c r="O139" s="846"/>
      <c r="P139" s="2291">
        <v>0.67100000000000004</v>
      </c>
      <c r="Q139" s="2636">
        <v>0.54</v>
      </c>
      <c r="R139" s="304"/>
      <c r="S139" s="319"/>
      <c r="T139" s="319"/>
      <c r="U139" s="319"/>
      <c r="V139" s="319"/>
      <c r="W139" s="319"/>
      <c r="X139" s="319">
        <v>0.63</v>
      </c>
      <c r="Y139" s="319">
        <v>0.629</v>
      </c>
      <c r="Z139" s="319"/>
      <c r="AA139" s="319">
        <v>0.79733333333333345</v>
      </c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</row>
    <row r="140" spans="1:95">
      <c r="A140" s="195"/>
      <c r="B140" s="1039"/>
      <c r="C140" s="106" t="s">
        <v>101</v>
      </c>
      <c r="D140" s="584">
        <v>7.7899999999999997E-2</v>
      </c>
      <c r="E140" s="584">
        <v>2.3099999999999999E-2</v>
      </c>
      <c r="F140" s="584">
        <v>0.44829999999999998</v>
      </c>
      <c r="G140" s="585">
        <v>0.82189999999999996</v>
      </c>
      <c r="H140" s="483">
        <v>0.55000000000000004</v>
      </c>
      <c r="I140" s="484">
        <v>3.4000000000000002E-2</v>
      </c>
      <c r="J140" s="484">
        <v>0.182</v>
      </c>
      <c r="K140" s="472">
        <v>8.6999999999999994E-2</v>
      </c>
      <c r="L140" s="409">
        <v>4.5999999999999999E-2</v>
      </c>
      <c r="M140" s="410">
        <v>0.22800000000000001</v>
      </c>
      <c r="N140" s="2093">
        <v>5.5E-2</v>
      </c>
      <c r="O140" s="846"/>
      <c r="P140" s="2291">
        <v>3.6999999999999998E-2</v>
      </c>
      <c r="Q140" s="2636">
        <v>4.5999999999999999E-2</v>
      </c>
      <c r="R140" s="304"/>
      <c r="S140" s="319"/>
      <c r="T140" s="319"/>
      <c r="U140" s="319"/>
      <c r="V140" s="319"/>
      <c r="W140" s="319"/>
      <c r="X140" s="319">
        <v>3.5999999999999997E-2</v>
      </c>
      <c r="Y140" s="319">
        <v>7.0999999999999994E-2</v>
      </c>
      <c r="Z140" s="319"/>
      <c r="AA140" s="319">
        <v>0.79366666666666663</v>
      </c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</row>
    <row r="141" spans="1:95">
      <c r="A141" s="195"/>
      <c r="B141" s="1039"/>
      <c r="C141" s="106" t="s">
        <v>158</v>
      </c>
      <c r="D141" s="584">
        <v>6.4500000000000002E-2</v>
      </c>
      <c r="E141" s="584">
        <v>4.6699999999999998E-2</v>
      </c>
      <c r="F141" s="584">
        <v>1.9099999999999999E-2</v>
      </c>
      <c r="G141" s="585">
        <v>7.3400000000000007E-2</v>
      </c>
      <c r="H141" s="483">
        <v>0.153</v>
      </c>
      <c r="I141" s="484">
        <v>3.6999999999999998E-2</v>
      </c>
      <c r="J141" s="484">
        <v>5.8999999999999997E-2</v>
      </c>
      <c r="K141" s="472">
        <v>5.6000000000000001E-2</v>
      </c>
      <c r="L141" s="409">
        <v>6.7000000000000004E-2</v>
      </c>
      <c r="M141" s="410">
        <v>3.9E-2</v>
      </c>
      <c r="N141" s="2093">
        <v>0.29199999999999998</v>
      </c>
      <c r="O141" s="846"/>
      <c r="P141" s="2291">
        <v>4.3999999999999997E-2</v>
      </c>
      <c r="Q141" s="2636">
        <v>0.52</v>
      </c>
      <c r="R141" s="304"/>
      <c r="S141" s="319"/>
      <c r="T141" s="319"/>
      <c r="U141" s="319"/>
      <c r="V141" s="319"/>
      <c r="W141" s="319"/>
      <c r="X141" s="319">
        <v>1E-3</v>
      </c>
      <c r="Y141" s="319">
        <v>5.1999999999999998E-2</v>
      </c>
      <c r="Z141" s="319"/>
      <c r="AA141" s="319">
        <v>0.45599999999999996</v>
      </c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</row>
    <row r="142" spans="1:95">
      <c r="A142" s="195"/>
      <c r="B142" s="1039"/>
      <c r="C142" s="106" t="s">
        <v>97</v>
      </c>
      <c r="D142" s="584">
        <v>6.59E-2</v>
      </c>
      <c r="E142" s="584">
        <v>3.5499999999999997E-2</v>
      </c>
      <c r="F142" s="584">
        <v>4.5699999999999998E-2</v>
      </c>
      <c r="G142" s="585">
        <v>0.38940000000000002</v>
      </c>
      <c r="H142" s="483">
        <v>0.246</v>
      </c>
      <c r="I142" s="484">
        <v>7.6999999999999999E-2</v>
      </c>
      <c r="J142" s="484">
        <v>0.182</v>
      </c>
      <c r="K142" s="472">
        <v>9.7000000000000003E-2</v>
      </c>
      <c r="L142" s="409">
        <v>6.5000000000000002E-2</v>
      </c>
      <c r="M142" s="410">
        <v>3.7999999999999999E-2</v>
      </c>
      <c r="N142" s="2093">
        <v>0.25900000000000001</v>
      </c>
      <c r="O142" s="846"/>
      <c r="P142" s="2291">
        <v>1.2999999999999999E-2</v>
      </c>
      <c r="Q142" s="2636">
        <v>4.7E-2</v>
      </c>
      <c r="R142" s="304"/>
      <c r="S142" s="319"/>
      <c r="T142" s="319"/>
      <c r="U142" s="319"/>
      <c r="V142" s="319"/>
      <c r="W142" s="319"/>
      <c r="X142" s="319">
        <v>3.2000000000000001E-2</v>
      </c>
      <c r="Y142" s="319">
        <v>0.252</v>
      </c>
      <c r="Z142" s="319"/>
      <c r="AA142" s="319" t="e">
        <v>#DIV/0!</v>
      </c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</row>
    <row r="143" spans="1:95">
      <c r="A143" s="195"/>
      <c r="B143" s="1039"/>
      <c r="C143" s="106" t="s">
        <v>167</v>
      </c>
      <c r="D143" s="584">
        <v>1.7299999999999999E-2</v>
      </c>
      <c r="E143" s="584">
        <v>1.6004</v>
      </c>
      <c r="F143" s="584">
        <v>0.99280000000000002</v>
      </c>
      <c r="G143" s="585">
        <v>0.6532</v>
      </c>
      <c r="H143" s="483">
        <v>4.2999999999999997E-2</v>
      </c>
      <c r="I143" s="484">
        <v>0.60499999999999998</v>
      </c>
      <c r="J143" s="484">
        <v>0.69699999999999995</v>
      </c>
      <c r="K143" s="472">
        <v>0.32300000000000001</v>
      </c>
      <c r="L143" s="409">
        <v>4.2999999999999997E-2</v>
      </c>
      <c r="M143" s="410">
        <v>4.2999999999999997E-2</v>
      </c>
      <c r="N143" s="2093">
        <v>0.65</v>
      </c>
      <c r="O143" s="847"/>
      <c r="P143" s="2290">
        <v>2.8000000000000001E-2</v>
      </c>
      <c r="Q143" s="2636">
        <v>3.5999999999999997E-2</v>
      </c>
      <c r="R143" s="841"/>
      <c r="S143" s="842"/>
      <c r="T143" s="842"/>
      <c r="U143" s="842"/>
      <c r="V143" s="842"/>
      <c r="W143" s="842"/>
      <c r="X143" s="842">
        <v>1.95E-2</v>
      </c>
      <c r="Y143" s="842">
        <v>1E-3</v>
      </c>
      <c r="Z143" s="842"/>
      <c r="AA143" s="842">
        <v>0.14499999999999999</v>
      </c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</row>
    <row r="144" spans="1:95">
      <c r="A144" s="195"/>
      <c r="B144" s="1039"/>
      <c r="C144" s="106" t="s">
        <v>165</v>
      </c>
      <c r="D144" s="586" t="s">
        <v>82</v>
      </c>
      <c r="E144" s="586" t="s">
        <v>82</v>
      </c>
      <c r="F144" s="586" t="s">
        <v>82</v>
      </c>
      <c r="G144" s="587" t="s">
        <v>82</v>
      </c>
      <c r="H144" s="483">
        <v>0.36899999999999999</v>
      </c>
      <c r="I144" s="588" t="s">
        <v>82</v>
      </c>
      <c r="J144" s="484">
        <v>0.69299999999999995</v>
      </c>
      <c r="K144" s="472">
        <v>0.38500000000000001</v>
      </c>
      <c r="L144" s="409"/>
      <c r="M144" s="410"/>
      <c r="N144" s="2069">
        <v>0.61099999999999999</v>
      </c>
      <c r="O144" s="847"/>
      <c r="P144" s="2290"/>
      <c r="Q144" s="841"/>
      <c r="R144" s="841"/>
      <c r="S144" s="842"/>
      <c r="T144" s="842"/>
      <c r="U144" s="842"/>
      <c r="V144" s="842"/>
      <c r="W144" s="842"/>
      <c r="X144" s="842"/>
      <c r="Y144" s="842" t="s">
        <v>336</v>
      </c>
      <c r="Z144" s="842"/>
      <c r="AA144" s="842">
        <v>0.54800000000000004</v>
      </c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</row>
    <row r="145" spans="1:103">
      <c r="A145" s="195"/>
      <c r="B145" s="1039"/>
      <c r="C145" s="106" t="s">
        <v>87</v>
      </c>
      <c r="D145" s="584">
        <v>0.91259999999999997</v>
      </c>
      <c r="E145" s="584">
        <v>0.5242</v>
      </c>
      <c r="F145" s="584">
        <v>0.61319999999999997</v>
      </c>
      <c r="G145" s="585">
        <v>0.58660000000000001</v>
      </c>
      <c r="H145" s="483">
        <v>0.66900000000000004</v>
      </c>
      <c r="I145" s="484">
        <v>0.47699999999999998</v>
      </c>
      <c r="J145" s="484">
        <v>0.76300000000000001</v>
      </c>
      <c r="K145" s="472">
        <v>0.40100000000000002</v>
      </c>
      <c r="L145" s="409">
        <v>0.82799999999999996</v>
      </c>
      <c r="M145" s="410">
        <v>0.41899999999999998</v>
      </c>
      <c r="N145" s="2093">
        <v>0.44700000000000001</v>
      </c>
      <c r="O145" s="847"/>
      <c r="P145" s="2290">
        <v>0.82099999999999995</v>
      </c>
      <c r="Q145" s="2636">
        <v>0.373</v>
      </c>
      <c r="R145" s="841"/>
      <c r="S145" s="842"/>
      <c r="T145" s="842"/>
      <c r="U145" s="842"/>
      <c r="V145" s="842"/>
      <c r="W145" s="842"/>
      <c r="X145" s="842">
        <v>0.60199999999999998</v>
      </c>
      <c r="Y145" s="842">
        <v>0.38800000000000001</v>
      </c>
      <c r="Z145" s="842"/>
      <c r="AA145" s="842">
        <v>0.78966666666666663</v>
      </c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</row>
    <row r="146" spans="1:103">
      <c r="A146" s="195"/>
      <c r="B146" s="1039"/>
      <c r="C146" s="1717" t="s">
        <v>435</v>
      </c>
      <c r="D146" s="1724">
        <v>5.0099999999999999E-2</v>
      </c>
      <c r="E146" s="1724">
        <v>1.18E-2</v>
      </c>
      <c r="F146" s="1724">
        <v>2.1600000000000001E-2</v>
      </c>
      <c r="G146" s="1725">
        <v>0.34799999999999998</v>
      </c>
      <c r="H146" s="1726">
        <v>0.107</v>
      </c>
      <c r="I146" s="1727">
        <v>2.5000000000000001E-2</v>
      </c>
      <c r="J146" s="1727">
        <v>0.108</v>
      </c>
      <c r="K146" s="1714">
        <v>3.2000000000000001E-2</v>
      </c>
      <c r="L146" s="1715"/>
      <c r="M146" s="1707"/>
      <c r="N146" s="2094"/>
      <c r="O146" s="847"/>
      <c r="P146" s="2290">
        <v>0.107</v>
      </c>
      <c r="Q146" s="2638">
        <v>0.157</v>
      </c>
      <c r="R146" s="841"/>
      <c r="S146" s="842"/>
      <c r="T146" s="842"/>
      <c r="U146" s="842"/>
      <c r="V146" s="842"/>
      <c r="W146" s="842"/>
      <c r="X146" s="842">
        <v>1.2999999999999999E-2</v>
      </c>
      <c r="Y146" s="842">
        <v>2.8000000000000001E-2</v>
      </c>
      <c r="Z146" s="842"/>
      <c r="AA146" s="842">
        <v>0.19399999999999998</v>
      </c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</row>
    <row r="147" spans="1:103" s="3452" customFormat="1">
      <c r="A147" s="195"/>
      <c r="B147" s="1039"/>
      <c r="C147" s="1717" t="s">
        <v>436</v>
      </c>
      <c r="D147" s="1724"/>
      <c r="E147" s="1724"/>
      <c r="F147" s="1724"/>
      <c r="G147" s="1725"/>
      <c r="H147" s="1726"/>
      <c r="I147" s="1727"/>
      <c r="J147" s="1727"/>
      <c r="K147" s="1714"/>
      <c r="L147" s="1715"/>
      <c r="M147" s="1707"/>
      <c r="N147" s="2094"/>
      <c r="O147" s="847"/>
      <c r="P147" s="2290"/>
      <c r="Q147" s="2638"/>
      <c r="R147" s="841"/>
      <c r="S147" s="842"/>
      <c r="T147" s="842"/>
      <c r="U147" s="842"/>
      <c r="V147" s="842"/>
      <c r="W147" s="842"/>
      <c r="X147" s="842"/>
      <c r="Y147" s="842"/>
      <c r="Z147" s="842"/>
      <c r="AA147" s="842">
        <v>0.43433333333333329</v>
      </c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/>
      <c r="CM147" s="61"/>
      <c r="CN147" s="61"/>
      <c r="CO147" s="61"/>
    </row>
    <row r="148" spans="1:103" s="4" customFormat="1">
      <c r="A148" s="195"/>
      <c r="B148" s="1039"/>
      <c r="C148" s="106" t="s">
        <v>95</v>
      </c>
      <c r="D148" s="584">
        <v>2.46E-2</v>
      </c>
      <c r="E148" s="584">
        <v>0.80400000000000005</v>
      </c>
      <c r="F148" s="584">
        <v>0.52080000000000004</v>
      </c>
      <c r="G148" s="585">
        <v>0.69989999999999997</v>
      </c>
      <c r="H148" s="483">
        <v>4.5999999999999999E-2</v>
      </c>
      <c r="I148" s="484">
        <v>0.34399999999999997</v>
      </c>
      <c r="J148" s="484">
        <v>0.58199999999999996</v>
      </c>
      <c r="K148" s="472">
        <v>0.27600000000000002</v>
      </c>
      <c r="L148" s="409">
        <v>4.7E-2</v>
      </c>
      <c r="M148" s="410">
        <v>0.374</v>
      </c>
      <c r="N148" s="2093">
        <v>0.435</v>
      </c>
      <c r="O148" s="847"/>
      <c r="P148" s="2290">
        <v>4.1000000000000002E-2</v>
      </c>
      <c r="Q148" s="2636">
        <v>1.7999999999999999E-2</v>
      </c>
      <c r="R148" s="841"/>
      <c r="S148" s="842"/>
      <c r="T148" s="842"/>
      <c r="U148" s="842"/>
      <c r="V148" s="842"/>
      <c r="W148" s="842"/>
      <c r="X148" s="842">
        <v>3.5499999999999997E-2</v>
      </c>
      <c r="Y148" s="842">
        <v>2.8000000000000001E-2</v>
      </c>
      <c r="Z148" s="842"/>
      <c r="AA148" s="842">
        <v>0.371</v>
      </c>
      <c r="AZ148" s="83"/>
      <c r="BA148" s="83"/>
      <c r="BB148" s="83"/>
      <c r="BC148" s="83"/>
      <c r="BD148" s="83"/>
      <c r="BE148" s="83"/>
      <c r="BF148" s="83"/>
      <c r="BG148" s="83"/>
      <c r="BH148" s="83"/>
      <c r="BI148" s="83"/>
      <c r="BJ148" s="83"/>
      <c r="BK148" s="83"/>
      <c r="BL148" s="83"/>
      <c r="BM148" s="83"/>
      <c r="BN148" s="83"/>
      <c r="BO148" s="83"/>
      <c r="BP148" s="83"/>
      <c r="BQ148" s="83"/>
      <c r="BR148" s="83"/>
      <c r="BS148" s="83"/>
      <c r="BT148" s="83"/>
      <c r="CC148" s="83"/>
      <c r="CD148" s="83"/>
      <c r="CE148" s="83"/>
      <c r="CF148" s="83"/>
      <c r="CG148" s="83"/>
      <c r="CH148" s="83"/>
      <c r="CI148" s="83"/>
      <c r="CJ148" s="83"/>
      <c r="CK148" s="83"/>
      <c r="CL148" s="83"/>
      <c r="CM148" s="83"/>
      <c r="CN148" s="83"/>
      <c r="CO148" s="83"/>
      <c r="CP148" s="83"/>
      <c r="CQ148" s="83"/>
      <c r="CR148" s="83"/>
      <c r="CS148" s="83"/>
      <c r="CT148" s="83"/>
      <c r="CU148" s="83"/>
      <c r="CV148" s="83"/>
      <c r="CW148" s="83"/>
      <c r="CX148" s="83"/>
      <c r="CY148" s="83"/>
    </row>
    <row r="149" spans="1:103" s="4" customFormat="1">
      <c r="A149" s="195"/>
      <c r="B149" s="1039"/>
      <c r="C149" s="1717" t="s">
        <v>437</v>
      </c>
      <c r="D149" s="1724">
        <v>2.2378999999999998</v>
      </c>
      <c r="E149" s="1724">
        <v>0.51429999999999998</v>
      </c>
      <c r="F149" s="1724">
        <v>1.8029999999999999</v>
      </c>
      <c r="G149" s="1725">
        <v>1.1771</v>
      </c>
      <c r="H149" s="1726">
        <v>2.9889999999999999</v>
      </c>
      <c r="I149" s="1727">
        <v>1.859</v>
      </c>
      <c r="J149" s="1727">
        <v>1.1120000000000001</v>
      </c>
      <c r="K149" s="1714">
        <v>1.82</v>
      </c>
      <c r="L149" s="1715">
        <v>0.72699999999999998</v>
      </c>
      <c r="M149" s="1707"/>
      <c r="N149" s="2095"/>
      <c r="O149" s="847"/>
      <c r="P149" s="2408">
        <v>0.111</v>
      </c>
      <c r="Q149" s="2638">
        <v>0.22900000000000001</v>
      </c>
      <c r="R149" s="521"/>
      <c r="S149" s="500"/>
      <c r="T149" s="500"/>
      <c r="U149" s="500"/>
      <c r="V149" s="500"/>
      <c r="W149" s="500"/>
      <c r="X149" s="500">
        <v>0.52349999999999997</v>
      </c>
      <c r="Y149" s="500">
        <v>0.83</v>
      </c>
      <c r="Z149" s="500"/>
      <c r="AA149" s="500">
        <v>1.9506666666666665</v>
      </c>
      <c r="AZ149" s="83"/>
      <c r="BA149" s="83"/>
      <c r="BB149" s="83"/>
      <c r="BC149" s="83"/>
      <c r="BD149" s="83"/>
      <c r="BE149" s="83"/>
      <c r="BF149" s="83"/>
      <c r="BG149" s="83"/>
      <c r="BH149" s="83"/>
      <c r="BI149" s="83"/>
      <c r="BJ149" s="83"/>
      <c r="BK149" s="83"/>
      <c r="BL149" s="83"/>
      <c r="BM149" s="83"/>
      <c r="BN149" s="83"/>
      <c r="BO149" s="83"/>
      <c r="BP149" s="83"/>
      <c r="BQ149" s="83"/>
      <c r="BR149" s="83"/>
      <c r="BS149" s="83"/>
      <c r="BT149" s="83"/>
      <c r="CC149" s="83"/>
      <c r="CD149" s="83"/>
      <c r="CE149" s="83"/>
      <c r="CF149" s="83"/>
      <c r="CG149" s="83"/>
      <c r="CH149" s="83"/>
      <c r="CI149" s="83"/>
      <c r="CJ149" s="83"/>
      <c r="CK149" s="83"/>
      <c r="CL149" s="83"/>
      <c r="CM149" s="83"/>
      <c r="CN149" s="83"/>
      <c r="CO149" s="83"/>
      <c r="CP149" s="83"/>
      <c r="CQ149" s="83"/>
      <c r="CR149" s="83"/>
      <c r="CS149" s="83"/>
      <c r="CT149" s="83"/>
      <c r="CU149" s="83"/>
      <c r="CV149" s="83"/>
      <c r="CW149" s="83"/>
      <c r="CX149" s="83"/>
      <c r="CY149" s="83"/>
    </row>
    <row r="150" spans="1:103" s="4" customFormat="1">
      <c r="A150" s="195"/>
      <c r="B150" s="1039"/>
      <c r="C150" s="1717" t="s">
        <v>438</v>
      </c>
      <c r="D150" s="1724"/>
      <c r="E150" s="1724"/>
      <c r="F150" s="1724"/>
      <c r="G150" s="1725"/>
      <c r="H150" s="1726"/>
      <c r="I150" s="1727"/>
      <c r="J150" s="1727"/>
      <c r="K150" s="1714"/>
      <c r="L150" s="1715"/>
      <c r="M150" s="1707"/>
      <c r="N150" s="2095"/>
      <c r="O150" s="847"/>
      <c r="P150" s="2408"/>
      <c r="Q150" s="2638"/>
      <c r="R150" s="521"/>
      <c r="S150" s="500"/>
      <c r="T150" s="500"/>
      <c r="U150" s="500"/>
      <c r="V150" s="500"/>
      <c r="W150" s="500"/>
      <c r="X150" s="500"/>
      <c r="Y150" s="500"/>
      <c r="Z150" s="500"/>
      <c r="AA150" s="500">
        <v>1.3550000000000002</v>
      </c>
      <c r="AZ150" s="83"/>
      <c r="BA150" s="83"/>
      <c r="BB150" s="83"/>
      <c r="BC150" s="83"/>
      <c r="BD150" s="83"/>
      <c r="BE150" s="83"/>
      <c r="BF150" s="83"/>
      <c r="BG150" s="83"/>
      <c r="BH150" s="83"/>
      <c r="BI150" s="83"/>
      <c r="BJ150" s="83"/>
      <c r="BK150" s="83"/>
      <c r="BL150" s="83"/>
      <c r="BM150" s="83"/>
      <c r="BN150" s="83"/>
      <c r="BO150" s="83"/>
      <c r="BP150" s="83"/>
      <c r="BQ150" s="83"/>
      <c r="BR150" s="83"/>
      <c r="BS150" s="83"/>
      <c r="BT150" s="83"/>
      <c r="CC150" s="83"/>
      <c r="CD150" s="83"/>
      <c r="CE150" s="83"/>
      <c r="CF150" s="83"/>
      <c r="CG150" s="83"/>
      <c r="CH150" s="83"/>
      <c r="CI150" s="83"/>
      <c r="CJ150" s="83"/>
      <c r="CK150" s="83"/>
      <c r="CL150" s="83"/>
      <c r="CM150" s="83"/>
      <c r="CN150" s="83"/>
      <c r="CO150" s="83"/>
      <c r="CP150" s="83"/>
      <c r="CQ150" s="83"/>
      <c r="CR150" s="83"/>
      <c r="CS150" s="83"/>
      <c r="CT150" s="83"/>
      <c r="CU150" s="83"/>
      <c r="CV150" s="83"/>
      <c r="CW150" s="83"/>
      <c r="CX150" s="83"/>
      <c r="CY150" s="83"/>
    </row>
    <row r="151" spans="1:103" s="4" customFormat="1">
      <c r="A151" s="195"/>
      <c r="B151" s="1039"/>
      <c r="C151" s="106" t="s">
        <v>164</v>
      </c>
      <c r="D151" s="584">
        <v>0.2316</v>
      </c>
      <c r="E151" s="584">
        <v>8.9399999999999993E-2</v>
      </c>
      <c r="F151" s="584">
        <v>0.41470000000000001</v>
      </c>
      <c r="G151" s="585">
        <v>0.31119999999999998</v>
      </c>
      <c r="H151" s="483">
        <v>0.48099999999999998</v>
      </c>
      <c r="I151" s="484">
        <v>0.32600000000000001</v>
      </c>
      <c r="J151" s="484">
        <v>0.158</v>
      </c>
      <c r="K151" s="472">
        <v>0.19500000000000001</v>
      </c>
      <c r="L151" s="409">
        <v>0.224</v>
      </c>
      <c r="M151" s="410">
        <v>0.26300000000000001</v>
      </c>
      <c r="N151" s="2093">
        <v>0.22500000000000001</v>
      </c>
      <c r="O151" s="847"/>
      <c r="P151" s="2408">
        <v>0.377</v>
      </c>
      <c r="Q151" s="2636">
        <v>0.20300000000000001</v>
      </c>
      <c r="R151" s="521"/>
      <c r="S151" s="500"/>
      <c r="T151" s="500"/>
      <c r="U151" s="500"/>
      <c r="V151" s="500"/>
      <c r="W151" s="500"/>
      <c r="X151" s="500">
        <v>0.24399999999999999</v>
      </c>
      <c r="Y151" s="500">
        <v>0.5</v>
      </c>
      <c r="Z151" s="500"/>
      <c r="AA151" s="500">
        <v>0.39700000000000002</v>
      </c>
      <c r="AZ151" s="83"/>
      <c r="BA151" s="83"/>
      <c r="BB151" s="83"/>
      <c r="BC151" s="83"/>
      <c r="BD151" s="83"/>
      <c r="BE151" s="83"/>
      <c r="BF151" s="83"/>
      <c r="BG151" s="83"/>
      <c r="BH151" s="83"/>
      <c r="BI151" s="83"/>
      <c r="BJ151" s="83"/>
      <c r="BK151" s="83"/>
      <c r="BL151" s="83"/>
      <c r="BM151" s="83"/>
      <c r="BN151" s="83"/>
      <c r="BO151" s="83"/>
      <c r="BP151" s="83"/>
      <c r="BQ151" s="83"/>
      <c r="BR151" s="83"/>
      <c r="BS151" s="83"/>
      <c r="BT151" s="83"/>
      <c r="CC151" s="83"/>
      <c r="CD151" s="83"/>
      <c r="CE151" s="83"/>
      <c r="CF151" s="83"/>
      <c r="CG151" s="83"/>
      <c r="CH151" s="83"/>
      <c r="CI151" s="83"/>
      <c r="CJ151" s="83"/>
      <c r="CK151" s="83"/>
      <c r="CL151" s="83"/>
      <c r="CM151" s="83"/>
      <c r="CN151" s="83"/>
      <c r="CO151" s="83"/>
      <c r="CP151" s="83"/>
      <c r="CQ151" s="83"/>
      <c r="CR151" s="83"/>
      <c r="CS151" s="83"/>
      <c r="CT151" s="83"/>
      <c r="CU151" s="83"/>
      <c r="CV151" s="83"/>
      <c r="CW151" s="83"/>
      <c r="CX151" s="83"/>
      <c r="CY151" s="83"/>
    </row>
    <row r="152" spans="1:103">
      <c r="A152" s="195"/>
      <c r="B152" s="1039"/>
      <c r="C152" s="1717" t="s">
        <v>439</v>
      </c>
      <c r="D152" s="1724">
        <v>0.10059999999999999</v>
      </c>
      <c r="E152" s="1724">
        <v>0.1293</v>
      </c>
      <c r="F152" s="1724">
        <v>0.10050000000000001</v>
      </c>
      <c r="G152" s="1725">
        <v>0.217</v>
      </c>
      <c r="H152" s="1726">
        <v>0.14899999999999999</v>
      </c>
      <c r="I152" s="1727">
        <v>0.10299999999999999</v>
      </c>
      <c r="J152" s="1727">
        <v>0.23100000000000001</v>
      </c>
      <c r="K152" s="1714">
        <v>0.124</v>
      </c>
      <c r="L152" s="1715">
        <v>8.8999999999999996E-2</v>
      </c>
      <c r="M152" s="1707"/>
      <c r="N152" s="2094"/>
      <c r="O152" s="847"/>
      <c r="P152" s="2408">
        <v>9.2999999999999999E-2</v>
      </c>
      <c r="Q152" s="2579">
        <v>8.6999999999999994E-2</v>
      </c>
      <c r="R152" s="521"/>
      <c r="S152" s="500"/>
      <c r="T152" s="500"/>
      <c r="U152" s="500"/>
      <c r="V152" s="500"/>
      <c r="W152" s="500"/>
      <c r="X152" s="500">
        <v>0.24299999999999999</v>
      </c>
      <c r="Y152" s="500">
        <v>0.13300000000000001</v>
      </c>
      <c r="Z152" s="500"/>
      <c r="AA152" s="500">
        <v>0.18633333333333332</v>
      </c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</row>
    <row r="153" spans="1:103" s="3452" customFormat="1">
      <c r="A153" s="195"/>
      <c r="B153" s="1039"/>
      <c r="C153" s="1717" t="s">
        <v>440</v>
      </c>
      <c r="D153" s="1724"/>
      <c r="E153" s="1724"/>
      <c r="F153" s="1724"/>
      <c r="G153" s="1725"/>
      <c r="H153" s="1726"/>
      <c r="I153" s="1727"/>
      <c r="J153" s="1727"/>
      <c r="K153" s="1714"/>
      <c r="L153" s="1715"/>
      <c r="M153" s="1707"/>
      <c r="N153" s="2094"/>
      <c r="O153" s="847"/>
      <c r="P153" s="2408"/>
      <c r="R153" s="521"/>
      <c r="S153" s="500"/>
      <c r="T153" s="500"/>
      <c r="U153" s="500"/>
      <c r="V153" s="500"/>
      <c r="W153" s="500"/>
      <c r="X153" s="500"/>
      <c r="Y153" s="500"/>
      <c r="Z153" s="500"/>
      <c r="AA153" s="500">
        <v>0.32</v>
      </c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</row>
    <row r="154" spans="1:103">
      <c r="A154" s="195"/>
      <c r="B154" s="1039"/>
      <c r="C154" s="106" t="s">
        <v>90</v>
      </c>
      <c r="D154" s="584">
        <v>0.61919999999999997</v>
      </c>
      <c r="E154" s="584">
        <v>0.26640000000000003</v>
      </c>
      <c r="F154" s="584">
        <v>0.42670000000000002</v>
      </c>
      <c r="G154" s="585">
        <v>0.4239</v>
      </c>
      <c r="H154" s="483">
        <v>0.80600000000000005</v>
      </c>
      <c r="I154" s="484">
        <v>0.26900000000000002</v>
      </c>
      <c r="J154" s="484">
        <v>0.48099999999999998</v>
      </c>
      <c r="K154" s="472">
        <v>0.22600000000000001</v>
      </c>
      <c r="L154" s="409">
        <v>0.38</v>
      </c>
      <c r="M154" s="410">
        <v>0.16</v>
      </c>
      <c r="N154" s="2093">
        <v>0.67700000000000005</v>
      </c>
      <c r="O154" s="847"/>
      <c r="P154" s="2408">
        <v>0.34899999999999998</v>
      </c>
      <c r="Q154" s="2636">
        <v>0.19700000000000001</v>
      </c>
      <c r="R154" s="521"/>
      <c r="S154" s="500"/>
      <c r="T154" s="500"/>
      <c r="U154" s="500"/>
      <c r="V154" s="500"/>
      <c r="W154" s="500"/>
      <c r="X154" s="500">
        <v>1.6</v>
      </c>
      <c r="Y154" s="500">
        <v>0.185</v>
      </c>
      <c r="Z154" s="500"/>
      <c r="AA154" s="500">
        <v>0.52100000000000002</v>
      </c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</row>
    <row r="155" spans="1:103">
      <c r="A155" s="195"/>
      <c r="B155" s="1039"/>
      <c r="C155" s="106" t="s">
        <v>92</v>
      </c>
      <c r="D155" s="584">
        <v>0.10059999999999999</v>
      </c>
      <c r="E155" s="584">
        <v>0.58279999999999998</v>
      </c>
      <c r="F155" s="584">
        <v>0.76470000000000005</v>
      </c>
      <c r="G155" s="585">
        <v>0.98760000000000003</v>
      </c>
      <c r="H155" s="483">
        <v>0.63600000000000001</v>
      </c>
      <c r="I155" s="484">
        <v>7.0000000000000007E-2</v>
      </c>
      <c r="J155" s="484">
        <v>0.77800000000000002</v>
      </c>
      <c r="K155" s="472">
        <v>0.45300000000000001</v>
      </c>
      <c r="L155" s="409">
        <v>6.8000000000000005E-2</v>
      </c>
      <c r="M155" s="410">
        <v>0.86399999999999999</v>
      </c>
      <c r="N155" s="2093">
        <v>0.5</v>
      </c>
      <c r="O155" s="846"/>
      <c r="P155" s="2291">
        <v>0.157</v>
      </c>
      <c r="Q155" s="2636">
        <v>2.8000000000000001E-2</v>
      </c>
      <c r="R155" s="304"/>
      <c r="S155" s="319"/>
      <c r="T155" s="319"/>
      <c r="U155" s="319"/>
      <c r="V155" s="319"/>
      <c r="W155" s="319"/>
      <c r="X155" s="319">
        <v>9.4999999999999998E-3</v>
      </c>
      <c r="Y155" s="319">
        <v>4.2999999999999997E-2</v>
      </c>
      <c r="Z155" s="319"/>
      <c r="AA155" s="319">
        <v>0.33033333333333337</v>
      </c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</row>
    <row r="156" spans="1:103">
      <c r="A156" s="195"/>
      <c r="B156" s="1039"/>
      <c r="C156" s="106" t="s">
        <v>160</v>
      </c>
      <c r="D156" s="584">
        <v>5.0999999999999997E-2</v>
      </c>
      <c r="E156" s="584">
        <v>3.0599999999999999E-2</v>
      </c>
      <c r="F156" s="584">
        <v>1.3599999999999999E-2</v>
      </c>
      <c r="G156" s="585">
        <v>0.72399999999999998</v>
      </c>
      <c r="H156" s="483">
        <v>2.1000000000000001E-2</v>
      </c>
      <c r="I156" s="484">
        <v>3.4000000000000002E-2</v>
      </c>
      <c r="J156" s="484">
        <v>0.255</v>
      </c>
      <c r="K156" s="472">
        <v>0.36199999999999999</v>
      </c>
      <c r="L156" s="409">
        <v>2.9000000000000001E-2</v>
      </c>
      <c r="M156" s="410">
        <v>4.2999999999999997E-2</v>
      </c>
      <c r="N156" s="2093">
        <v>0.4</v>
      </c>
      <c r="O156" s="846"/>
      <c r="P156" s="2291">
        <v>3.4000000000000002E-2</v>
      </c>
      <c r="Q156" s="2636">
        <v>0.42</v>
      </c>
      <c r="R156" s="304"/>
      <c r="S156" s="319"/>
      <c r="T156" s="319"/>
      <c r="U156" s="319"/>
      <c r="V156" s="319"/>
      <c r="W156" s="319"/>
      <c r="X156" s="319">
        <v>1.7000000000000001E-2</v>
      </c>
      <c r="Y156" s="319">
        <v>2.4E-2</v>
      </c>
      <c r="Z156" s="319"/>
      <c r="AA156" s="319">
        <v>3.3999999999999996E-2</v>
      </c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</row>
    <row r="157" spans="1:103">
      <c r="A157" s="195"/>
      <c r="B157" s="1039"/>
      <c r="C157" s="106" t="s">
        <v>161</v>
      </c>
      <c r="D157" s="584">
        <v>4.7793000000000001</v>
      </c>
      <c r="E157" s="584">
        <v>2.3973</v>
      </c>
      <c r="F157" s="584">
        <v>5.1193</v>
      </c>
      <c r="G157" s="585">
        <v>1.2171000000000001</v>
      </c>
      <c r="H157" s="483">
        <v>7.1970000000000001</v>
      </c>
      <c r="I157" s="484">
        <v>3.0339999999999998</v>
      </c>
      <c r="J157" s="484">
        <v>3.64</v>
      </c>
      <c r="K157" s="472">
        <v>8.6059999999999999</v>
      </c>
      <c r="L157" s="409">
        <v>4.9720000000000004</v>
      </c>
      <c r="M157" s="410">
        <v>5.2</v>
      </c>
      <c r="N157" s="2093">
        <v>3.1509999999999998</v>
      </c>
      <c r="O157" s="846"/>
      <c r="P157" s="2291">
        <v>4.0570000000000004</v>
      </c>
      <c r="Q157" s="2636">
        <v>3.8809999999999998</v>
      </c>
      <c r="R157" s="304"/>
      <c r="S157" s="319"/>
      <c r="T157" s="319"/>
      <c r="U157" s="319"/>
      <c r="V157" s="319"/>
      <c r="W157" s="319"/>
      <c r="X157" s="319">
        <v>4.2270000000000003</v>
      </c>
      <c r="Y157" s="319">
        <v>2.85</v>
      </c>
      <c r="Z157" s="319"/>
      <c r="AA157" s="319">
        <v>5.844333333333334</v>
      </c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  <c r="CM157" s="61"/>
      <c r="CN157" s="61"/>
      <c r="CO157" s="61"/>
    </row>
    <row r="158" spans="1:103">
      <c r="A158" s="195"/>
      <c r="B158" s="1039"/>
      <c r="C158" s="106" t="s">
        <v>159</v>
      </c>
      <c r="D158" s="584">
        <v>6.6900000000000001E-2</v>
      </c>
      <c r="E158" s="584">
        <v>5.1400000000000001E-2</v>
      </c>
      <c r="F158" s="584">
        <v>0.82809999999999995</v>
      </c>
      <c r="G158" s="585">
        <v>0.79649999999999999</v>
      </c>
      <c r="H158" s="483">
        <v>1.085</v>
      </c>
      <c r="I158" s="484">
        <v>5.8000000000000003E-2</v>
      </c>
      <c r="J158" s="484">
        <v>1.1879999999999999</v>
      </c>
      <c r="K158" s="472">
        <v>0.38200000000000001</v>
      </c>
      <c r="L158" s="409">
        <v>0.216</v>
      </c>
      <c r="M158" s="410">
        <v>6.8000000000000005E-2</v>
      </c>
      <c r="N158" s="2093">
        <v>0.98899999999999999</v>
      </c>
      <c r="O158" s="846"/>
      <c r="P158" s="2291"/>
      <c r="Q158" s="2636">
        <v>4.1000000000000002E-2</v>
      </c>
      <c r="R158" s="304"/>
      <c r="S158" s="319"/>
      <c r="T158" s="319"/>
      <c r="U158" s="319"/>
      <c r="V158" s="319"/>
      <c r="W158" s="319"/>
      <c r="X158" s="319">
        <v>9.4299999999999995E-2</v>
      </c>
      <c r="Y158" s="319">
        <v>0.57499999999999996</v>
      </c>
      <c r="Z158" s="319"/>
      <c r="AA158" s="319">
        <v>0.89033333333333342</v>
      </c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</row>
    <row r="159" spans="1:103">
      <c r="A159" s="195"/>
      <c r="B159" s="1039"/>
      <c r="C159" s="106" t="s">
        <v>89</v>
      </c>
      <c r="D159" s="584">
        <v>0.22620000000000001</v>
      </c>
      <c r="E159" s="584">
        <v>0.41339999999999999</v>
      </c>
      <c r="F159" s="584">
        <v>0.33289999999999997</v>
      </c>
      <c r="G159" s="585">
        <v>0.41120000000000001</v>
      </c>
      <c r="H159" s="483">
        <v>0.45300000000000001</v>
      </c>
      <c r="I159" s="484">
        <v>0.17299999999999999</v>
      </c>
      <c r="J159" s="484">
        <v>0.46200000000000002</v>
      </c>
      <c r="K159" s="472">
        <v>0.29199999999999998</v>
      </c>
      <c r="L159" s="409">
        <v>0.22</v>
      </c>
      <c r="M159" s="410">
        <v>0.19600000000000001</v>
      </c>
      <c r="N159" s="2093">
        <v>0.42599999999999999</v>
      </c>
      <c r="O159" s="846"/>
      <c r="P159" s="2291">
        <v>0.317</v>
      </c>
      <c r="Q159" s="2636">
        <v>0.14099999999999999</v>
      </c>
      <c r="R159" s="304"/>
      <c r="S159" s="319"/>
      <c r="T159" s="319"/>
      <c r="U159" s="319"/>
      <c r="V159" s="319"/>
      <c r="W159" s="319"/>
      <c r="X159" s="319">
        <v>0.51500000000000001</v>
      </c>
      <c r="Y159" s="319">
        <v>0.189</v>
      </c>
      <c r="Z159" s="319"/>
      <c r="AA159" s="319">
        <v>0.26499999999999996</v>
      </c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</row>
    <row r="160" spans="1:103">
      <c r="A160" s="195"/>
      <c r="B160" s="1039"/>
      <c r="C160" s="106" t="s">
        <v>163</v>
      </c>
      <c r="D160" s="584">
        <v>0.44490000000000002</v>
      </c>
      <c r="E160" s="584">
        <v>0.42909999999999998</v>
      </c>
      <c r="F160" s="584">
        <v>0.84940000000000004</v>
      </c>
      <c r="G160" s="585">
        <v>0.61119999999999997</v>
      </c>
      <c r="H160" s="483">
        <v>1.383</v>
      </c>
      <c r="I160" s="484">
        <v>0.58099999999999996</v>
      </c>
      <c r="J160" s="484">
        <v>0.78100000000000003</v>
      </c>
      <c r="K160" s="472">
        <v>0.79200000000000004</v>
      </c>
      <c r="L160" s="409">
        <v>0.59099999999999997</v>
      </c>
      <c r="M160" s="410">
        <v>0.64300000000000002</v>
      </c>
      <c r="N160" s="2093">
        <v>0.91900000000000004</v>
      </c>
      <c r="O160" s="846"/>
      <c r="P160" s="2291">
        <v>0.50700000000000001</v>
      </c>
      <c r="Q160" s="2636">
        <v>0.41599999999999998</v>
      </c>
      <c r="R160" s="304"/>
      <c r="S160" s="319"/>
      <c r="T160" s="319"/>
      <c r="U160" s="319"/>
      <c r="V160" s="319"/>
      <c r="W160" s="319"/>
      <c r="X160" s="319">
        <v>0.64</v>
      </c>
      <c r="Y160" s="319">
        <v>0.56799999999999995</v>
      </c>
      <c r="Z160" s="319"/>
      <c r="AA160" s="319">
        <v>1.1833333333333333</v>
      </c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</row>
    <row r="161" spans="1:103">
      <c r="A161" s="195"/>
      <c r="B161" s="1039"/>
      <c r="C161" s="1717" t="s">
        <v>441</v>
      </c>
      <c r="D161" s="1762">
        <v>0.4995</v>
      </c>
      <c r="E161" s="1762">
        <v>0.22259999999999999</v>
      </c>
      <c r="F161" s="1762">
        <v>0.25280000000000002</v>
      </c>
      <c r="G161" s="1786">
        <v>0.32750000000000001</v>
      </c>
      <c r="H161" s="1787">
        <v>0.57999999999999996</v>
      </c>
      <c r="I161" s="1762">
        <v>0.245</v>
      </c>
      <c r="J161" s="1762">
        <v>0.315</v>
      </c>
      <c r="K161" s="1763">
        <v>0.19400000000000001</v>
      </c>
      <c r="L161" s="1764">
        <v>0.32400000000000001</v>
      </c>
      <c r="M161" s="1765"/>
      <c r="N161" s="2096"/>
      <c r="O161" s="1788"/>
      <c r="P161" s="2291">
        <v>0.47299999999999998</v>
      </c>
      <c r="Q161" s="2638">
        <v>0.34399999999999997</v>
      </c>
      <c r="R161" s="304"/>
      <c r="S161" s="319"/>
      <c r="T161" s="319"/>
      <c r="U161" s="319"/>
      <c r="V161" s="319"/>
      <c r="W161" s="319"/>
      <c r="X161" s="319">
        <v>0.60799999999999998</v>
      </c>
      <c r="Y161" s="319">
        <v>0.18</v>
      </c>
      <c r="Z161" s="319"/>
      <c r="AA161" s="319">
        <v>0.39333333333333331</v>
      </c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</row>
    <row r="162" spans="1:103" s="3452" customFormat="1">
      <c r="A162" s="195"/>
      <c r="B162" s="1039"/>
      <c r="C162" s="1717" t="s">
        <v>442</v>
      </c>
      <c r="D162" s="1762"/>
      <c r="E162" s="1762"/>
      <c r="F162" s="1762"/>
      <c r="G162" s="1786"/>
      <c r="H162" s="1787"/>
      <c r="I162" s="1762"/>
      <c r="J162" s="1762"/>
      <c r="K162" s="1763"/>
      <c r="L162" s="1764"/>
      <c r="M162" s="1765"/>
      <c r="N162" s="2096"/>
      <c r="O162" s="1788"/>
      <c r="P162" s="2291"/>
      <c r="Q162" s="2638"/>
      <c r="R162" s="304"/>
      <c r="S162" s="319"/>
      <c r="T162" s="319"/>
      <c r="U162" s="319"/>
      <c r="V162" s="319"/>
      <c r="W162" s="319"/>
      <c r="X162" s="319"/>
      <c r="Y162" s="319"/>
      <c r="Z162" s="319"/>
      <c r="AA162" s="319">
        <v>0.33100000000000002</v>
      </c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</row>
    <row r="163" spans="1:103">
      <c r="A163" s="195"/>
      <c r="B163" s="1039"/>
      <c r="C163" s="1717" t="s">
        <v>443</v>
      </c>
      <c r="D163" s="1762">
        <v>7.22E-2</v>
      </c>
      <c r="E163" s="1762">
        <v>3.6400000000000002E-2</v>
      </c>
      <c r="F163" s="1762">
        <v>0.17380000000000001</v>
      </c>
      <c r="G163" s="1786">
        <v>0.41010000000000002</v>
      </c>
      <c r="H163" s="1787">
        <v>0.39200000000000002</v>
      </c>
      <c r="I163" s="1762">
        <v>2.8000000000000001E-2</v>
      </c>
      <c r="J163" s="1762">
        <v>0.48099999999999998</v>
      </c>
      <c r="K163" s="1763">
        <v>0.42799999999999999</v>
      </c>
      <c r="L163" s="1764">
        <v>0.05</v>
      </c>
      <c r="M163" s="1765"/>
      <c r="N163" s="2096"/>
      <c r="O163" s="1788"/>
      <c r="P163" s="2291">
        <v>3.6999999999999998E-2</v>
      </c>
      <c r="Q163" s="2638">
        <v>0.80700000000000005</v>
      </c>
      <c r="R163" s="304"/>
      <c r="S163" s="319"/>
      <c r="T163" s="319"/>
      <c r="U163" s="319"/>
      <c r="V163" s="319"/>
      <c r="W163" s="319"/>
      <c r="X163" s="319">
        <v>0.61399999999999999</v>
      </c>
      <c r="Y163" s="319">
        <v>0.19400000000000001</v>
      </c>
      <c r="Z163" s="319"/>
      <c r="AA163" s="319">
        <v>0.28333333333333333</v>
      </c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</row>
    <row r="164" spans="1:103" s="3452" customFormat="1">
      <c r="A164" s="195"/>
      <c r="B164" s="1039"/>
      <c r="C164" s="1717" t="s">
        <v>444</v>
      </c>
      <c r="D164" s="1762"/>
      <c r="E164" s="1762"/>
      <c r="F164" s="1762"/>
      <c r="G164" s="1786"/>
      <c r="H164" s="1787"/>
      <c r="I164" s="1762"/>
      <c r="J164" s="1762"/>
      <c r="K164" s="1763"/>
      <c r="L164" s="1764"/>
      <c r="M164" s="1765"/>
      <c r="N164" s="2096"/>
      <c r="O164" s="1788"/>
      <c r="P164" s="2291"/>
      <c r="Q164" s="2638"/>
      <c r="R164" s="304"/>
      <c r="S164" s="319"/>
      <c r="T164" s="319"/>
      <c r="U164" s="319"/>
      <c r="V164" s="319"/>
      <c r="W164" s="319"/>
      <c r="X164" s="319"/>
      <c r="Y164" s="319"/>
      <c r="Z164" s="319"/>
      <c r="AA164" s="319">
        <v>0.14533333333333334</v>
      </c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</row>
    <row r="165" spans="1:103" s="3452" customFormat="1">
      <c r="A165" s="195"/>
      <c r="B165" s="1039"/>
      <c r="C165" s="1717" t="s">
        <v>445</v>
      </c>
      <c r="D165" s="1762"/>
      <c r="E165" s="1762"/>
      <c r="F165" s="1762"/>
      <c r="G165" s="1786"/>
      <c r="H165" s="1787"/>
      <c r="I165" s="1762"/>
      <c r="J165" s="1762"/>
      <c r="K165" s="1763"/>
      <c r="L165" s="1764"/>
      <c r="M165" s="1765"/>
      <c r="N165" s="2096"/>
      <c r="O165" s="1788"/>
      <c r="P165" s="2291"/>
      <c r="Q165" s="2638"/>
      <c r="R165" s="304"/>
      <c r="S165" s="319"/>
      <c r="T165" s="319"/>
      <c r="U165" s="319"/>
      <c r="V165" s="319"/>
      <c r="W165" s="319"/>
      <c r="X165" s="319"/>
      <c r="Y165" s="319"/>
      <c r="Z165" s="319"/>
      <c r="AA165" s="319">
        <v>1.014</v>
      </c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</row>
    <row r="166" spans="1:103">
      <c r="A166" s="195"/>
      <c r="B166" s="1039"/>
      <c r="C166" s="1717" t="s">
        <v>91</v>
      </c>
      <c r="D166" s="1762">
        <v>0.52590000000000003</v>
      </c>
      <c r="E166" s="1762">
        <v>1.1418999999999999</v>
      </c>
      <c r="F166" s="1762">
        <v>0.86470000000000002</v>
      </c>
      <c r="G166" s="1786">
        <v>1.0159</v>
      </c>
      <c r="H166" s="1787">
        <v>1.411</v>
      </c>
      <c r="I166" s="1762">
        <v>0.72499999999999998</v>
      </c>
      <c r="J166" s="1762">
        <v>0.86899999999999999</v>
      </c>
      <c r="K166" s="1763">
        <v>0.93700000000000006</v>
      </c>
      <c r="L166" s="1764">
        <v>0.48299999999999998</v>
      </c>
      <c r="M166" s="1765"/>
      <c r="N166" s="2096"/>
      <c r="O166" s="1788"/>
      <c r="P166" s="2410">
        <v>0.19</v>
      </c>
      <c r="Q166" s="2638">
        <v>0.123</v>
      </c>
      <c r="R166" s="304"/>
      <c r="S166" s="319"/>
      <c r="T166" s="319"/>
      <c r="U166" s="319"/>
      <c r="V166" s="319"/>
      <c r="W166" s="319"/>
      <c r="X166" s="319">
        <v>0.19700000000000001</v>
      </c>
      <c r="Y166" s="319"/>
      <c r="Z166" s="319"/>
      <c r="AA166" s="319" t="e">
        <v>#DIV/0!</v>
      </c>
      <c r="AB166" s="83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</row>
    <row r="167" spans="1:103" s="3269" customFormat="1">
      <c r="A167" s="195"/>
      <c r="B167" s="1039"/>
      <c r="C167" s="1700" t="s">
        <v>409</v>
      </c>
      <c r="D167" s="1772"/>
      <c r="E167" s="1772"/>
      <c r="F167" s="1772"/>
      <c r="G167" s="3280"/>
      <c r="H167" s="3281"/>
      <c r="I167" s="1772"/>
      <c r="J167" s="1772"/>
      <c r="K167" s="1773"/>
      <c r="L167" s="1764"/>
      <c r="M167" s="1765"/>
      <c r="N167" s="2096"/>
      <c r="O167" s="1788"/>
      <c r="P167" s="2410"/>
      <c r="Q167" s="2638"/>
      <c r="R167" s="304"/>
      <c r="S167" s="319"/>
      <c r="T167" s="319"/>
      <c r="U167" s="319"/>
      <c r="V167" s="319"/>
      <c r="W167" s="319"/>
      <c r="X167" s="319"/>
      <c r="Y167" s="319">
        <v>3.5999999999999997E-2</v>
      </c>
      <c r="Z167" s="319"/>
      <c r="AA167" s="319">
        <v>1.0236666666666665</v>
      </c>
      <c r="AB167" s="83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</row>
    <row r="168" spans="1:103" s="3269" customFormat="1">
      <c r="A168" s="195"/>
      <c r="B168" s="1039"/>
      <c r="C168" s="1700" t="s">
        <v>410</v>
      </c>
      <c r="D168" s="1772"/>
      <c r="E168" s="1772"/>
      <c r="F168" s="1772"/>
      <c r="G168" s="3280"/>
      <c r="H168" s="3281"/>
      <c r="I168" s="1772"/>
      <c r="J168" s="1772"/>
      <c r="K168" s="1773"/>
      <c r="L168" s="1764"/>
      <c r="M168" s="1765"/>
      <c r="N168" s="2096"/>
      <c r="O168" s="1788"/>
      <c r="P168" s="2410"/>
      <c r="Q168" s="2638"/>
      <c r="R168" s="304"/>
      <c r="S168" s="319"/>
      <c r="T168" s="319"/>
      <c r="U168" s="319"/>
      <c r="V168" s="319"/>
      <c r="W168" s="319"/>
      <c r="X168" s="319"/>
      <c r="Y168" s="319">
        <v>8.6999999999999994E-2</v>
      </c>
      <c r="Z168" s="319"/>
      <c r="AA168" s="319">
        <v>0.88533333333333319</v>
      </c>
      <c r="AB168" s="83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</row>
    <row r="169" spans="1:103" s="3269" customFormat="1">
      <c r="A169" s="195"/>
      <c r="B169" s="1039"/>
      <c r="C169" s="1700" t="s">
        <v>411</v>
      </c>
      <c r="D169" s="1772"/>
      <c r="E169" s="1772"/>
      <c r="F169" s="1772"/>
      <c r="G169" s="3280"/>
      <c r="H169" s="3281"/>
      <c r="I169" s="1772"/>
      <c r="J169" s="1772"/>
      <c r="K169" s="1773"/>
      <c r="L169" s="1764"/>
      <c r="M169" s="1765"/>
      <c r="N169" s="2096"/>
      <c r="O169" s="1788"/>
      <c r="P169" s="2410"/>
      <c r="Q169" s="2638"/>
      <c r="R169" s="304"/>
      <c r="S169" s="319"/>
      <c r="T169" s="319"/>
      <c r="U169" s="319"/>
      <c r="V169" s="319"/>
      <c r="W169" s="319"/>
      <c r="X169" s="319"/>
      <c r="Y169" s="319">
        <v>0.26100000000000001</v>
      </c>
      <c r="Z169" s="319"/>
      <c r="AA169" s="319" t="e">
        <v>#DIV/0!</v>
      </c>
      <c r="AB169" s="83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</row>
    <row r="170" spans="1:103" ht="15" customHeight="1">
      <c r="A170" s="195"/>
      <c r="B170" s="1039"/>
      <c r="C170" s="99" t="s">
        <v>108</v>
      </c>
      <c r="D170" s="1767">
        <v>2.3199999999999998E-2</v>
      </c>
      <c r="E170" s="1767">
        <v>0.74350000000000005</v>
      </c>
      <c r="F170" s="1767">
        <v>0.50190000000000001</v>
      </c>
      <c r="G170" s="1789">
        <v>0.45129999999999998</v>
      </c>
      <c r="H170" s="1790" t="s">
        <v>82</v>
      </c>
      <c r="I170" s="1791" t="s">
        <v>82</v>
      </c>
      <c r="J170" s="1791" t="s">
        <v>82</v>
      </c>
      <c r="K170" s="1768"/>
      <c r="L170" s="393"/>
      <c r="M170" s="394">
        <v>4.3999999999999997E-2</v>
      </c>
      <c r="N170" s="2097">
        <v>0.27400000000000002</v>
      </c>
      <c r="O170" s="1788"/>
      <c r="P170" s="2291">
        <v>2.1999999999999999E-2</v>
      </c>
      <c r="Q170" s="2636">
        <v>2.3E-2</v>
      </c>
      <c r="R170" s="304"/>
      <c r="S170" s="319"/>
      <c r="T170" s="319"/>
      <c r="U170" s="319"/>
      <c r="V170" s="319"/>
      <c r="W170" s="319"/>
      <c r="X170" s="319">
        <v>0.13400000000000001</v>
      </c>
      <c r="Y170" s="319">
        <v>3.3000000000000002E-2</v>
      </c>
      <c r="Z170" s="319"/>
      <c r="AA170" s="319">
        <v>0.30333333333333329</v>
      </c>
      <c r="AB170" s="38"/>
      <c r="AC170" s="40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</row>
    <row r="171" spans="1:103" ht="15.75" thickBot="1">
      <c r="A171" s="195"/>
      <c r="B171" s="1039"/>
      <c r="C171" s="1723" t="s">
        <v>446</v>
      </c>
      <c r="D171" s="1792">
        <v>5.3100000000000001E-2</v>
      </c>
      <c r="E171" s="1792">
        <v>3.3500000000000002E-2</v>
      </c>
      <c r="F171" s="1792">
        <v>7.2800000000000004E-2</v>
      </c>
      <c r="G171" s="1793">
        <v>0.59050000000000002</v>
      </c>
      <c r="H171" s="1794">
        <v>0.13</v>
      </c>
      <c r="I171" s="1792">
        <v>0.32800000000000001</v>
      </c>
      <c r="J171" s="1792">
        <v>9.6000000000000002E-2</v>
      </c>
      <c r="K171" s="1795">
        <v>7.0000000000000007E-2</v>
      </c>
      <c r="L171" s="1764">
        <v>8.8999999999999996E-2</v>
      </c>
      <c r="M171" s="1765"/>
      <c r="N171" s="2096"/>
      <c r="O171" s="1788"/>
      <c r="P171" s="2291">
        <v>0.09</v>
      </c>
      <c r="Q171" s="2638">
        <v>0.32600000000000001</v>
      </c>
      <c r="R171" s="304"/>
      <c r="S171" s="319"/>
      <c r="T171" s="319"/>
      <c r="U171" s="319"/>
      <c r="V171" s="319"/>
      <c r="W171" s="319"/>
      <c r="X171" s="319">
        <v>0.64900000000000002</v>
      </c>
      <c r="Y171" s="319">
        <v>0.106</v>
      </c>
      <c r="Z171" s="319"/>
      <c r="AA171" s="319">
        <v>0.19633333333333333</v>
      </c>
      <c r="AB171" s="40"/>
      <c r="AC171" s="40"/>
      <c r="AD171" s="44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</row>
    <row r="172" spans="1:103" s="3452" customFormat="1" ht="15.75" thickBot="1">
      <c r="A172" s="195"/>
      <c r="B172" s="1039"/>
      <c r="C172" s="1723" t="s">
        <v>447</v>
      </c>
      <c r="D172" s="3455"/>
      <c r="E172" s="3455"/>
      <c r="F172" s="3455"/>
      <c r="G172" s="3455"/>
      <c r="H172" s="3455"/>
      <c r="I172" s="3455"/>
      <c r="J172" s="3455"/>
      <c r="K172" s="3455"/>
      <c r="L172" s="3456"/>
      <c r="M172" s="3456"/>
      <c r="N172" s="3467"/>
      <c r="O172" s="143"/>
      <c r="P172" s="92"/>
      <c r="Q172" s="3468"/>
      <c r="R172" s="61"/>
      <c r="S172" s="61"/>
      <c r="T172" s="61"/>
      <c r="U172" s="61"/>
      <c r="V172" s="61"/>
      <c r="W172" s="61"/>
      <c r="X172" s="61"/>
      <c r="Y172" s="61"/>
      <c r="Z172" s="61"/>
      <c r="AA172" s="61">
        <v>1.034</v>
      </c>
      <c r="AB172" s="40"/>
      <c r="AC172" s="40"/>
      <c r="AD172" s="44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</row>
    <row r="173" spans="1:103" s="3452" customFormat="1">
      <c r="A173" s="195"/>
      <c r="B173" s="1039"/>
      <c r="C173" s="3452" t="s">
        <v>408</v>
      </c>
      <c r="D173" s="3455"/>
      <c r="E173" s="3455"/>
      <c r="F173" s="3455"/>
      <c r="G173" s="3455"/>
      <c r="H173" s="3455"/>
      <c r="I173" s="3455"/>
      <c r="J173" s="3455"/>
      <c r="K173" s="3455"/>
      <c r="L173" s="3456"/>
      <c r="M173" s="3456"/>
      <c r="N173" s="3467"/>
      <c r="O173" s="143"/>
      <c r="P173" s="92"/>
      <c r="Q173" s="3468"/>
      <c r="R173" s="61"/>
      <c r="S173" s="61"/>
      <c r="T173" s="61"/>
      <c r="U173" s="61"/>
      <c r="V173" s="61"/>
      <c r="W173" s="61"/>
      <c r="X173" s="61"/>
      <c r="Y173" s="61"/>
      <c r="Z173" s="61"/>
      <c r="AA173" s="61">
        <v>0.91433333333333333</v>
      </c>
      <c r="AB173" s="40"/>
      <c r="AC173" s="40"/>
      <c r="AD173" s="44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</row>
    <row r="174" spans="1:103" s="4" customFormat="1">
      <c r="A174" s="114"/>
      <c r="B174" s="114"/>
      <c r="C174" s="775" t="s">
        <v>285</v>
      </c>
      <c r="D174" s="1025">
        <f>COUNTIF(D136:D171,"&lt;=10")</f>
        <v>25</v>
      </c>
      <c r="E174" s="1025">
        <f t="shared" ref="E174:Z174" si="41">COUNTIF(E136:E171,"&lt;=10")</f>
        <v>25</v>
      </c>
      <c r="F174" s="1025">
        <f t="shared" si="41"/>
        <v>25</v>
      </c>
      <c r="G174" s="1025">
        <f t="shared" si="41"/>
        <v>25</v>
      </c>
      <c r="H174" s="1025">
        <f t="shared" si="41"/>
        <v>26</v>
      </c>
      <c r="I174" s="1025">
        <f t="shared" si="41"/>
        <v>25</v>
      </c>
      <c r="J174" s="1025">
        <f t="shared" si="41"/>
        <v>26</v>
      </c>
      <c r="K174" s="1025">
        <f t="shared" si="41"/>
        <v>26</v>
      </c>
      <c r="L174" s="1025">
        <f t="shared" si="41"/>
        <v>23</v>
      </c>
      <c r="M174" s="1025">
        <f t="shared" si="41"/>
        <v>18</v>
      </c>
      <c r="N174" s="2083">
        <f t="shared" si="41"/>
        <v>19</v>
      </c>
      <c r="O174" s="1025">
        <f t="shared" si="41"/>
        <v>0</v>
      </c>
      <c r="P174" s="1025">
        <f t="shared" si="41"/>
        <v>24</v>
      </c>
      <c r="Q174" s="1025">
        <f t="shared" si="41"/>
        <v>25</v>
      </c>
      <c r="R174" s="1025">
        <f t="shared" si="41"/>
        <v>0</v>
      </c>
      <c r="S174" s="1025">
        <f t="shared" si="41"/>
        <v>0</v>
      </c>
      <c r="T174" s="1025">
        <f t="shared" si="41"/>
        <v>0</v>
      </c>
      <c r="U174" s="1025">
        <f t="shared" si="41"/>
        <v>0</v>
      </c>
      <c r="V174" s="1025">
        <f t="shared" si="41"/>
        <v>0</v>
      </c>
      <c r="W174" s="1025">
        <f t="shared" si="41"/>
        <v>0</v>
      </c>
      <c r="X174" s="1025">
        <f t="shared" si="41"/>
        <v>25</v>
      </c>
      <c r="Y174" s="1025">
        <f t="shared" si="41"/>
        <v>27</v>
      </c>
      <c r="Z174" s="1025">
        <f t="shared" si="41"/>
        <v>0</v>
      </c>
      <c r="AA174" s="1025">
        <f>COUNTIF(AA136:AA173,"&lt;=7")</f>
        <v>34</v>
      </c>
      <c r="AZ174" s="83"/>
      <c r="BA174" s="83"/>
      <c r="BB174" s="83"/>
      <c r="BC174" s="83"/>
      <c r="BD174" s="83"/>
      <c r="BE174" s="83"/>
      <c r="BF174" s="83"/>
      <c r="BG174" s="83"/>
      <c r="BH174" s="83"/>
      <c r="BI174" s="83"/>
      <c r="BJ174" s="83"/>
      <c r="BK174" s="83"/>
      <c r="BL174" s="83"/>
      <c r="BM174" s="83"/>
      <c r="BN174" s="83"/>
      <c r="BO174" s="83"/>
      <c r="BP174" s="83"/>
      <c r="BQ174" s="83"/>
      <c r="BR174" s="83"/>
      <c r="BS174" s="83"/>
      <c r="BT174" s="83"/>
      <c r="CC174" s="83"/>
      <c r="CD174" s="83"/>
      <c r="CE174" s="83"/>
      <c r="CF174" s="83"/>
      <c r="CG174" s="83"/>
      <c r="CH174" s="83"/>
      <c r="CI174" s="83"/>
      <c r="CJ174" s="83"/>
      <c r="CK174" s="83"/>
      <c r="CL174" s="83"/>
      <c r="CM174" s="83"/>
      <c r="CN174" s="83"/>
      <c r="CO174" s="83"/>
      <c r="CP174" s="83"/>
      <c r="CQ174" s="83"/>
      <c r="CR174" s="83"/>
      <c r="CS174" s="83"/>
      <c r="CT174" s="83"/>
      <c r="CU174" s="83"/>
      <c r="CV174" s="83"/>
      <c r="CW174" s="83"/>
      <c r="CX174" s="83"/>
      <c r="CY174" s="83"/>
    </row>
    <row r="175" spans="1:103" s="4" customFormat="1">
      <c r="A175" s="114"/>
      <c r="B175" s="114"/>
      <c r="C175" s="775" t="s">
        <v>287</v>
      </c>
      <c r="D175" s="1027">
        <f>COUNT(D136:D171)</f>
        <v>25</v>
      </c>
      <c r="E175" s="1027">
        <f t="shared" ref="E175:Z175" si="42">COUNT(E136:E171)</f>
        <v>25</v>
      </c>
      <c r="F175" s="1027">
        <f t="shared" si="42"/>
        <v>25</v>
      </c>
      <c r="G175" s="1027">
        <f t="shared" si="42"/>
        <v>25</v>
      </c>
      <c r="H175" s="1027">
        <f t="shared" si="42"/>
        <v>26</v>
      </c>
      <c r="I175" s="1027">
        <f t="shared" si="42"/>
        <v>25</v>
      </c>
      <c r="J175" s="1027">
        <f t="shared" si="42"/>
        <v>26</v>
      </c>
      <c r="K175" s="1027">
        <f t="shared" si="42"/>
        <v>26</v>
      </c>
      <c r="L175" s="1027">
        <f t="shared" si="42"/>
        <v>23</v>
      </c>
      <c r="M175" s="1027">
        <f t="shared" si="42"/>
        <v>18</v>
      </c>
      <c r="N175" s="2084">
        <f t="shared" si="42"/>
        <v>19</v>
      </c>
      <c r="O175" s="1027">
        <f t="shared" si="42"/>
        <v>0</v>
      </c>
      <c r="P175" s="1027">
        <f t="shared" si="42"/>
        <v>24</v>
      </c>
      <c r="Q175" s="1027">
        <f t="shared" si="42"/>
        <v>25</v>
      </c>
      <c r="R175" s="1027">
        <f t="shared" si="42"/>
        <v>0</v>
      </c>
      <c r="S175" s="1027">
        <f t="shared" si="42"/>
        <v>0</v>
      </c>
      <c r="T175" s="1027">
        <f t="shared" si="42"/>
        <v>0</v>
      </c>
      <c r="U175" s="1027">
        <f t="shared" si="42"/>
        <v>0</v>
      </c>
      <c r="V175" s="1027">
        <f t="shared" si="42"/>
        <v>0</v>
      </c>
      <c r="W175" s="1027">
        <f t="shared" si="42"/>
        <v>0</v>
      </c>
      <c r="X175" s="1027">
        <f t="shared" si="42"/>
        <v>25</v>
      </c>
      <c r="Y175" s="1027">
        <f t="shared" si="42"/>
        <v>27</v>
      </c>
      <c r="Z175" s="1027">
        <f t="shared" si="42"/>
        <v>0</v>
      </c>
      <c r="AA175" s="1027">
        <f>COUNT(AA136:AA173)</f>
        <v>34</v>
      </c>
      <c r="AZ175" s="83"/>
      <c r="BA175" s="83"/>
      <c r="BB175" s="83"/>
      <c r="BC175" s="83"/>
      <c r="BD175" s="83"/>
      <c r="BE175" s="83"/>
      <c r="BF175" s="83"/>
      <c r="BG175" s="83"/>
      <c r="BH175" s="83"/>
      <c r="BI175" s="83"/>
      <c r="BJ175" s="83"/>
      <c r="BK175" s="83"/>
      <c r="BL175" s="83"/>
      <c r="BM175" s="83"/>
      <c r="BN175" s="83"/>
      <c r="BO175" s="83"/>
      <c r="BP175" s="83"/>
      <c r="BQ175" s="83"/>
      <c r="BR175" s="83"/>
      <c r="BS175" s="83"/>
      <c r="BT175" s="83"/>
      <c r="CC175" s="83"/>
      <c r="CD175" s="83"/>
      <c r="CE175" s="83"/>
      <c r="CF175" s="83"/>
      <c r="CG175" s="83"/>
      <c r="CH175" s="83"/>
      <c r="CI175" s="83"/>
      <c r="CJ175" s="83"/>
      <c r="CK175" s="83"/>
      <c r="CL175" s="83"/>
      <c r="CM175" s="83"/>
      <c r="CN175" s="83"/>
      <c r="CO175" s="83"/>
      <c r="CP175" s="83"/>
      <c r="CQ175" s="83"/>
      <c r="CR175" s="83"/>
      <c r="CS175" s="83"/>
      <c r="CT175" s="83"/>
      <c r="CU175" s="83"/>
      <c r="CV175" s="83"/>
      <c r="CW175" s="83"/>
      <c r="CX175" s="83"/>
      <c r="CY175" s="83"/>
    </row>
    <row r="176" spans="1:103" s="4" customFormat="1">
      <c r="A176" s="114"/>
      <c r="B176" s="114"/>
      <c r="C176" s="775" t="s">
        <v>286</v>
      </c>
      <c r="D176" s="1026">
        <f>D174/D175</f>
        <v>1</v>
      </c>
      <c r="E176" s="1026">
        <f t="shared" ref="E176:AA176" si="43">E174/E175</f>
        <v>1</v>
      </c>
      <c r="F176" s="1026">
        <f t="shared" si="43"/>
        <v>1</v>
      </c>
      <c r="G176" s="1026">
        <f t="shared" si="43"/>
        <v>1</v>
      </c>
      <c r="H176" s="1026">
        <f t="shared" si="43"/>
        <v>1</v>
      </c>
      <c r="I176" s="1026">
        <f t="shared" si="43"/>
        <v>1</v>
      </c>
      <c r="J176" s="1026">
        <f t="shared" si="43"/>
        <v>1</v>
      </c>
      <c r="K176" s="1026">
        <f t="shared" si="43"/>
        <v>1</v>
      </c>
      <c r="L176" s="1026">
        <f t="shared" si="43"/>
        <v>1</v>
      </c>
      <c r="M176" s="1026">
        <f t="shared" si="43"/>
        <v>1</v>
      </c>
      <c r="N176" s="2085">
        <f t="shared" si="43"/>
        <v>1</v>
      </c>
      <c r="O176" s="1026" t="e">
        <f t="shared" si="43"/>
        <v>#DIV/0!</v>
      </c>
      <c r="P176" s="1026">
        <f t="shared" si="43"/>
        <v>1</v>
      </c>
      <c r="Q176" s="1026">
        <f t="shared" si="43"/>
        <v>1</v>
      </c>
      <c r="R176" s="1026" t="e">
        <f t="shared" si="43"/>
        <v>#DIV/0!</v>
      </c>
      <c r="S176" s="1026" t="e">
        <f t="shared" si="43"/>
        <v>#DIV/0!</v>
      </c>
      <c r="T176" s="1026" t="e">
        <f t="shared" si="43"/>
        <v>#DIV/0!</v>
      </c>
      <c r="U176" s="1026" t="e">
        <f t="shared" si="43"/>
        <v>#DIV/0!</v>
      </c>
      <c r="V176" s="1026" t="e">
        <f t="shared" si="43"/>
        <v>#DIV/0!</v>
      </c>
      <c r="W176" s="1026" t="e">
        <f t="shared" si="43"/>
        <v>#DIV/0!</v>
      </c>
      <c r="X176" s="1026">
        <f t="shared" si="43"/>
        <v>1</v>
      </c>
      <c r="Y176" s="1026">
        <f t="shared" si="43"/>
        <v>1</v>
      </c>
      <c r="Z176" s="1026" t="e">
        <f t="shared" si="43"/>
        <v>#DIV/0!</v>
      </c>
      <c r="AA176" s="1026">
        <f t="shared" si="43"/>
        <v>1</v>
      </c>
      <c r="AZ176" s="83"/>
      <c r="BA176" s="83"/>
      <c r="BB176" s="83"/>
      <c r="BC176" s="83"/>
      <c r="BD176" s="83"/>
      <c r="BE176" s="83"/>
      <c r="BF176" s="83"/>
      <c r="BG176" s="83"/>
      <c r="BH176" s="83"/>
      <c r="BI176" s="83"/>
      <c r="BJ176" s="83"/>
      <c r="BK176" s="83"/>
      <c r="BL176" s="83"/>
      <c r="BM176" s="83"/>
      <c r="BN176" s="83"/>
      <c r="BO176" s="83"/>
      <c r="BP176" s="83"/>
      <c r="BQ176" s="83"/>
      <c r="BR176" s="83"/>
      <c r="BS176" s="83"/>
      <c r="BT176" s="83"/>
      <c r="CC176" s="83"/>
      <c r="CD176" s="83"/>
      <c r="CE176" s="83"/>
      <c r="CF176" s="83"/>
      <c r="CG176" s="83"/>
      <c r="CH176" s="83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3"/>
      <c r="CW176" s="83"/>
      <c r="CX176" s="83"/>
      <c r="CY176" s="83"/>
    </row>
    <row r="177" spans="1:95">
      <c r="A177" s="195"/>
      <c r="B177" s="1039"/>
      <c r="C177" s="123"/>
      <c r="D177" s="206"/>
      <c r="E177" s="206"/>
      <c r="F177" s="206"/>
      <c r="G177" s="206"/>
      <c r="H177" s="229"/>
      <c r="I177" s="229"/>
      <c r="J177" s="229"/>
      <c r="K177" s="229"/>
      <c r="L177" s="107"/>
      <c r="M177" s="120"/>
      <c r="N177" s="2086"/>
      <c r="O177" s="120"/>
      <c r="P177" s="120"/>
      <c r="Q177" s="120"/>
      <c r="R177" s="120"/>
      <c r="S177" s="120"/>
      <c r="T177" s="120"/>
      <c r="U177" s="120"/>
      <c r="V177" s="120"/>
      <c r="W177" s="120"/>
      <c r="X177" s="767"/>
      <c r="Y177" s="61"/>
      <c r="Z177" s="61"/>
      <c r="AA177" s="61"/>
      <c r="AB177" s="40"/>
      <c r="AC177" s="40"/>
      <c r="AD177" s="40"/>
      <c r="AE177" s="40"/>
      <c r="AF177" s="44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</row>
    <row r="178" spans="1:95">
      <c r="A178" s="195"/>
      <c r="B178" s="1039"/>
      <c r="C178" s="123"/>
      <c r="D178" s="206"/>
      <c r="E178" s="206"/>
      <c r="F178" s="3546" t="s">
        <v>229</v>
      </c>
      <c r="G178" s="3546"/>
      <c r="H178" s="3546"/>
      <c r="I178" s="3546"/>
      <c r="J178" s="107"/>
      <c r="K178" s="229"/>
      <c r="L178" s="107"/>
      <c r="M178" s="120"/>
      <c r="N178" s="3546" t="s">
        <v>229</v>
      </c>
      <c r="O178" s="3546"/>
      <c r="P178" s="3546"/>
      <c r="Q178" s="3546"/>
      <c r="R178" s="120"/>
      <c r="S178" s="120"/>
      <c r="T178" s="120"/>
      <c r="U178" s="120"/>
      <c r="V178" s="120"/>
      <c r="W178" s="120"/>
      <c r="X178" s="767"/>
      <c r="Y178" s="61"/>
      <c r="Z178" s="61"/>
      <c r="AA178" s="61"/>
      <c r="AB178" s="40"/>
      <c r="AC178" s="40"/>
      <c r="AD178" s="40"/>
      <c r="AE178" s="40"/>
      <c r="AF178" s="44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</row>
    <row r="179" spans="1:95" ht="15.75" thickBot="1">
      <c r="A179" s="330"/>
      <c r="B179" s="127"/>
      <c r="C179" s="121"/>
      <c r="D179" s="228"/>
      <c r="E179" s="228"/>
      <c r="F179" s="3546"/>
      <c r="G179" s="3546"/>
      <c r="H179" s="3546"/>
      <c r="I179" s="3546"/>
      <c r="J179" s="107"/>
      <c r="K179" s="228"/>
      <c r="L179" s="107"/>
      <c r="M179" s="120"/>
      <c r="N179" s="3546"/>
      <c r="O179" s="3546"/>
      <c r="P179" s="3546"/>
      <c r="Q179" s="3546"/>
      <c r="R179" s="120"/>
      <c r="S179" s="120"/>
      <c r="T179" s="120"/>
      <c r="U179" s="120"/>
      <c r="V179" s="120"/>
      <c r="W179" s="120"/>
      <c r="X179" s="767"/>
      <c r="Y179" s="61"/>
      <c r="Z179" s="61"/>
      <c r="AA179" s="61"/>
      <c r="AB179" s="40"/>
      <c r="AC179" s="40"/>
      <c r="AD179" s="40"/>
      <c r="AE179" s="40"/>
      <c r="AF179" s="44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</row>
    <row r="180" spans="1:95" ht="15.75" thickBot="1">
      <c r="A180" s="330"/>
      <c r="B180" s="127"/>
      <c r="C180" s="266" t="s">
        <v>168</v>
      </c>
      <c r="D180" s="268">
        <v>10</v>
      </c>
      <c r="E180" s="268">
        <v>10</v>
      </c>
      <c r="F180" s="268">
        <v>10</v>
      </c>
      <c r="G180" s="345">
        <v>10</v>
      </c>
      <c r="H180" s="346">
        <v>10</v>
      </c>
      <c r="I180" s="268">
        <v>10</v>
      </c>
      <c r="J180" s="268">
        <v>10</v>
      </c>
      <c r="K180" s="269">
        <v>10</v>
      </c>
      <c r="L180" s="346">
        <v>10</v>
      </c>
      <c r="M180" s="268">
        <v>10</v>
      </c>
      <c r="N180" s="2091">
        <v>10</v>
      </c>
      <c r="O180" s="345">
        <v>10</v>
      </c>
      <c r="P180" s="367">
        <v>10</v>
      </c>
      <c r="Q180" s="268">
        <v>10</v>
      </c>
      <c r="R180" s="268">
        <v>10</v>
      </c>
      <c r="S180" s="274">
        <v>10</v>
      </c>
      <c r="T180" s="274">
        <v>10</v>
      </c>
      <c r="U180" s="274">
        <v>10</v>
      </c>
      <c r="V180" s="274">
        <v>10</v>
      </c>
      <c r="W180" s="274">
        <v>10</v>
      </c>
      <c r="X180" s="274">
        <v>10</v>
      </c>
      <c r="Y180" s="274">
        <v>10</v>
      </c>
      <c r="Z180" s="274">
        <v>10</v>
      </c>
      <c r="AA180" s="274">
        <v>7</v>
      </c>
      <c r="AB180" s="40"/>
      <c r="AC180" s="40"/>
      <c r="AD180" s="40"/>
      <c r="AE180" s="40"/>
      <c r="AF180" s="44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</row>
    <row r="181" spans="1:95">
      <c r="A181" s="121"/>
      <c r="B181" s="218"/>
      <c r="C181" s="105" t="s">
        <v>152</v>
      </c>
      <c r="D181" s="1835">
        <v>6.1066666666666665E-2</v>
      </c>
      <c r="E181" s="1835">
        <v>5.0699999999999995E-2</v>
      </c>
      <c r="F181" s="1835">
        <v>0.29186666666666666</v>
      </c>
      <c r="G181" s="1836">
        <v>0.40784999999999999</v>
      </c>
      <c r="H181" s="1837">
        <v>0.36699999999999999</v>
      </c>
      <c r="I181" s="1838">
        <v>5.5E-2</v>
      </c>
      <c r="J181" s="1838">
        <v>0.24299999999999999</v>
      </c>
      <c r="K181" s="1839">
        <v>1.8700000000000001E-2</v>
      </c>
      <c r="L181" s="1828">
        <v>5.0999999999999997E-2</v>
      </c>
      <c r="M181" s="1829">
        <v>3.9E-2</v>
      </c>
      <c r="N181" s="2098">
        <v>4.3999999999999997E-2</v>
      </c>
      <c r="O181" s="482"/>
      <c r="P181" s="830">
        <v>0.32600000000000001</v>
      </c>
      <c r="Q181" s="387">
        <v>0.127</v>
      </c>
      <c r="R181" s="387"/>
      <c r="S181" s="388"/>
      <c r="U181" s="61"/>
      <c r="V181" s="61"/>
      <c r="W181" s="61"/>
      <c r="X181" s="61">
        <v>0.32</v>
      </c>
      <c r="Y181" s="61">
        <v>4.3999999999999997E-2</v>
      </c>
      <c r="Z181" s="61"/>
      <c r="AA181" s="61">
        <v>0.34933333333333333</v>
      </c>
      <c r="AB181" s="40"/>
      <c r="AC181" s="40"/>
      <c r="AD181" s="40"/>
      <c r="AE181" s="40"/>
      <c r="AF181" s="44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</row>
    <row r="182" spans="1:95">
      <c r="A182" s="121"/>
      <c r="B182" s="218"/>
      <c r="C182" s="106" t="s">
        <v>153</v>
      </c>
      <c r="D182" s="51">
        <v>7.3033333333333325E-2</v>
      </c>
      <c r="E182" s="51">
        <v>3.7433333333333339E-2</v>
      </c>
      <c r="F182" s="51">
        <v>7.746666666666667E-2</v>
      </c>
      <c r="G182" s="1840">
        <v>0.25840000000000002</v>
      </c>
      <c r="H182" s="1757">
        <v>0.32900000000000001</v>
      </c>
      <c r="I182" s="10">
        <v>6.4000000000000001E-2</v>
      </c>
      <c r="J182" s="10">
        <v>3.9E-2</v>
      </c>
      <c r="K182" s="1758">
        <v>1.7299999999999999E-2</v>
      </c>
      <c r="L182" s="393">
        <v>4.5999999999999999E-2</v>
      </c>
      <c r="M182" s="394">
        <v>1.6E-2</v>
      </c>
      <c r="N182" s="2097">
        <v>0.21099999999999999</v>
      </c>
      <c r="O182" s="411"/>
      <c r="P182" s="2403">
        <v>0.11</v>
      </c>
      <c r="Q182" s="304">
        <v>0.115</v>
      </c>
      <c r="R182" s="304"/>
      <c r="S182" s="319"/>
      <c r="U182" s="61"/>
      <c r="V182" s="61"/>
      <c r="W182" s="61"/>
      <c r="X182" s="61">
        <v>0.27</v>
      </c>
      <c r="Y182" s="61">
        <v>3.5000000000000003E-2</v>
      </c>
      <c r="Z182" s="61"/>
      <c r="AA182" s="61">
        <v>0.14366666666666669</v>
      </c>
      <c r="AB182" s="40"/>
      <c r="AC182" s="40"/>
      <c r="AD182" s="40"/>
      <c r="AE182" s="40"/>
      <c r="AF182" s="44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</row>
    <row r="183" spans="1:95" ht="15" customHeight="1">
      <c r="A183" s="121"/>
      <c r="B183" s="218"/>
      <c r="C183" s="75" t="s">
        <v>150</v>
      </c>
      <c r="D183" s="51">
        <v>0.11146666666666666</v>
      </c>
      <c r="E183" s="51">
        <v>3.7133333333333331E-2</v>
      </c>
      <c r="F183" s="51">
        <v>0.21076666666666666</v>
      </c>
      <c r="G183" s="1840">
        <v>0.58274999999999999</v>
      </c>
      <c r="H183" s="1757">
        <v>0.39700000000000002</v>
      </c>
      <c r="I183" s="10">
        <v>5.6000000000000001E-2</v>
      </c>
      <c r="J183" s="10">
        <v>0.21299999999999999</v>
      </c>
      <c r="K183" s="1758">
        <v>0.02</v>
      </c>
      <c r="L183" s="393">
        <v>2.7E-2</v>
      </c>
      <c r="M183" s="394">
        <v>2.3E-2</v>
      </c>
      <c r="N183" s="2097">
        <v>3.3000000000000002E-2</v>
      </c>
      <c r="O183" s="411"/>
      <c r="P183" s="370">
        <v>0.247</v>
      </c>
      <c r="Q183" s="304">
        <v>0.16300000000000001</v>
      </c>
      <c r="R183" s="304"/>
      <c r="S183" s="319"/>
      <c r="U183" s="61"/>
      <c r="V183" s="61"/>
      <c r="W183" s="61"/>
      <c r="X183" s="61">
        <v>0.35</v>
      </c>
      <c r="Y183" s="61">
        <v>3.1E-2</v>
      </c>
      <c r="Z183" s="61"/>
      <c r="AA183" s="61">
        <v>0.19733333333333336</v>
      </c>
      <c r="AB183" s="40"/>
      <c r="AC183" s="40"/>
      <c r="AD183" s="175"/>
      <c r="AE183" s="40"/>
      <c r="AF183" s="44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/>
      <c r="CH183" s="61"/>
      <c r="CI183" s="61"/>
      <c r="CJ183" s="61"/>
      <c r="CK183" s="61"/>
      <c r="CL183" s="61"/>
      <c r="CM183" s="61"/>
      <c r="CN183" s="61"/>
      <c r="CO183" s="61"/>
      <c r="CP183" s="61"/>
      <c r="CQ183" s="61"/>
    </row>
    <row r="184" spans="1:95">
      <c r="A184" s="121"/>
      <c r="B184" s="218"/>
      <c r="C184" s="75" t="s">
        <v>149</v>
      </c>
      <c r="D184" s="51">
        <v>3.1733333333333336E-2</v>
      </c>
      <c r="E184" s="51">
        <v>4.3266666666666669E-2</v>
      </c>
      <c r="F184" s="51">
        <v>0.26900000000000002</v>
      </c>
      <c r="G184" s="1840">
        <v>0.43835000000000002</v>
      </c>
      <c r="H184" s="1757">
        <v>0.35299999999999998</v>
      </c>
      <c r="I184" s="10">
        <v>2.5999999999999999E-2</v>
      </c>
      <c r="J184" s="10">
        <v>0.251</v>
      </c>
      <c r="K184" s="1758">
        <v>4.1300000000000003E-2</v>
      </c>
      <c r="L184" s="393">
        <v>3.1E-2</v>
      </c>
      <c r="M184" s="394">
        <v>6.6000000000000003E-2</v>
      </c>
      <c r="N184" s="2097">
        <v>0.28000000000000003</v>
      </c>
      <c r="O184" s="411"/>
      <c r="P184" s="370">
        <v>0.29099999999999998</v>
      </c>
      <c r="Q184" s="304">
        <v>0.105</v>
      </c>
      <c r="R184" s="304"/>
      <c r="S184" s="319"/>
      <c r="U184" s="61"/>
      <c r="V184" s="61"/>
      <c r="W184" s="61"/>
      <c r="X184" s="61">
        <v>0.41</v>
      </c>
      <c r="Y184" s="61">
        <v>7.1999999999999995E-2</v>
      </c>
      <c r="Z184" s="61"/>
      <c r="AA184" s="61">
        <v>0.18000000000000002</v>
      </c>
      <c r="AB184" s="40"/>
      <c r="AC184" s="40"/>
      <c r="AD184" s="40"/>
      <c r="AE184" s="40"/>
      <c r="AF184" s="44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/>
      <c r="CH184" s="61"/>
      <c r="CI184" s="61"/>
      <c r="CJ184" s="61"/>
      <c r="CK184" s="61"/>
      <c r="CL184" s="61"/>
      <c r="CM184" s="61"/>
      <c r="CN184" s="61"/>
      <c r="CO184" s="61"/>
      <c r="CP184" s="61"/>
      <c r="CQ184" s="61"/>
    </row>
    <row r="185" spans="1:95">
      <c r="A185" s="121"/>
      <c r="B185" s="218"/>
      <c r="C185" s="75" t="s">
        <v>151</v>
      </c>
      <c r="D185" s="51">
        <v>8.1199999999999994E-2</v>
      </c>
      <c r="E185" s="51">
        <v>7.5933333333333339E-2</v>
      </c>
      <c r="F185" s="51">
        <v>0.14700000000000002</v>
      </c>
      <c r="G185" s="1840">
        <v>0.13119999999999998</v>
      </c>
      <c r="H185" s="1757">
        <v>0.497</v>
      </c>
      <c r="I185" s="10">
        <v>2.1000000000000001E-2</v>
      </c>
      <c r="J185" s="10">
        <v>0.45</v>
      </c>
      <c r="K185" s="1758">
        <v>2.4E-2</v>
      </c>
      <c r="L185" s="393">
        <v>4.4999999999999998E-2</v>
      </c>
      <c r="M185" s="394">
        <v>3.6999999999999998E-2</v>
      </c>
      <c r="N185" s="2097">
        <v>3.1E-2</v>
      </c>
      <c r="O185" s="411"/>
      <c r="P185" s="370">
        <v>0.38300000000000001</v>
      </c>
      <c r="Q185" s="304">
        <v>0.16300000000000001</v>
      </c>
      <c r="R185" s="304"/>
      <c r="S185" s="319"/>
      <c r="U185" s="61"/>
      <c r="V185" s="61"/>
      <c r="W185" s="61"/>
      <c r="X185" s="61">
        <v>0.28999999999999998</v>
      </c>
      <c r="Y185" s="61">
        <v>0.255</v>
      </c>
      <c r="Z185" s="61"/>
      <c r="AA185" s="61">
        <v>0.19333333333333333</v>
      </c>
      <c r="AB185" s="40"/>
      <c r="AC185" s="40"/>
      <c r="AD185" s="40"/>
      <c r="AE185" s="40"/>
      <c r="AF185" s="44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</row>
    <row r="186" spans="1:95">
      <c r="A186" s="121"/>
      <c r="B186" s="218"/>
      <c r="C186" s="106" t="s">
        <v>273</v>
      </c>
      <c r="D186" s="10"/>
      <c r="E186" s="10"/>
      <c r="F186" s="10"/>
      <c r="G186" s="1758"/>
      <c r="H186" s="1757">
        <v>1.7999999999999999E-2</v>
      </c>
      <c r="I186" s="10">
        <v>5.8999999999999997E-2</v>
      </c>
      <c r="J186" s="10">
        <v>5.1999999999999998E-2</v>
      </c>
      <c r="K186" s="1758">
        <v>1.6299999999999999E-2</v>
      </c>
      <c r="L186" s="393">
        <v>4.8000000000000001E-2</v>
      </c>
      <c r="M186" s="394">
        <v>1.7000000000000001E-2</v>
      </c>
      <c r="N186" s="2097">
        <v>2.7E-2</v>
      </c>
      <c r="O186" s="411"/>
      <c r="P186" s="2403">
        <v>0.28999999999999998</v>
      </c>
      <c r="Q186" s="304">
        <v>3.5999999999999997E-2</v>
      </c>
      <c r="R186" s="304"/>
      <c r="S186" s="319"/>
      <c r="U186" s="61"/>
      <c r="V186" s="61"/>
      <c r="W186" s="61"/>
      <c r="X186" s="61">
        <v>0.14000000000000001</v>
      </c>
      <c r="Y186" s="61">
        <v>0.29899999999999999</v>
      </c>
      <c r="Z186" s="61"/>
      <c r="AA186" s="61">
        <v>0.19933333333333333</v>
      </c>
      <c r="AB186" s="40"/>
      <c r="AC186" s="176"/>
      <c r="AD186" s="40"/>
      <c r="AE186" s="40"/>
      <c r="AF186" s="44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</row>
    <row r="187" spans="1:95">
      <c r="A187" s="121"/>
      <c r="B187" s="218"/>
      <c r="C187" s="106" t="s">
        <v>274</v>
      </c>
      <c r="D187" s="10"/>
      <c r="E187" s="10"/>
      <c r="F187" s="10"/>
      <c r="G187" s="1758"/>
      <c r="H187" s="1757">
        <v>0.3</v>
      </c>
      <c r="I187" s="10">
        <v>8.9999999999999993E-3</v>
      </c>
      <c r="J187" s="10">
        <v>0.124</v>
      </c>
      <c r="K187" s="1758">
        <v>1.9300000000000001E-2</v>
      </c>
      <c r="L187" s="393">
        <v>2.1999999999999999E-2</v>
      </c>
      <c r="M187" s="394">
        <v>2.1999999999999999E-2</v>
      </c>
      <c r="N187" s="2097">
        <v>0.02</v>
      </c>
      <c r="O187" s="517"/>
      <c r="P187" s="370">
        <v>0.20300000000000001</v>
      </c>
      <c r="Q187" s="304">
        <v>4.8000000000000001E-2</v>
      </c>
      <c r="R187" s="304"/>
      <c r="S187" s="319"/>
      <c r="U187" s="61"/>
      <c r="V187" s="61"/>
      <c r="W187" s="61"/>
      <c r="X187" s="61">
        <v>0.32</v>
      </c>
      <c r="Y187" s="61">
        <v>0.17</v>
      </c>
      <c r="Z187" s="61"/>
      <c r="AA187" s="61">
        <v>0.10233333333333333</v>
      </c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</row>
    <row r="188" spans="1:95">
      <c r="A188" s="121"/>
      <c r="B188" s="218"/>
      <c r="C188" s="75" t="s">
        <v>275</v>
      </c>
      <c r="D188" s="10"/>
      <c r="E188" s="10"/>
      <c r="F188" s="10"/>
      <c r="G188" s="1758"/>
      <c r="H188" s="1757">
        <v>0.46600000000000003</v>
      </c>
      <c r="I188" s="10">
        <v>3.6999999999999998E-2</v>
      </c>
      <c r="J188" s="10">
        <v>8.9999999999999993E-3</v>
      </c>
      <c r="K188" s="1758">
        <v>3.0300000000000001E-2</v>
      </c>
      <c r="L188" s="393">
        <v>0.05</v>
      </c>
      <c r="M188" s="394">
        <v>1.6E-2</v>
      </c>
      <c r="N188" s="2097">
        <v>1.0999999999999999E-2</v>
      </c>
      <c r="O188" s="500"/>
      <c r="P188" s="2408">
        <v>0.28999999999999998</v>
      </c>
      <c r="Q188" s="849">
        <v>0.16800000000000001</v>
      </c>
      <c r="R188" s="849"/>
      <c r="S188" s="850"/>
      <c r="U188" s="38"/>
      <c r="V188" s="38"/>
      <c r="W188" s="38"/>
      <c r="X188" s="38">
        <v>0.45</v>
      </c>
      <c r="Y188" s="61">
        <v>0.30599999999999999</v>
      </c>
      <c r="Z188" s="38"/>
      <c r="AA188" s="38">
        <v>8.2333333333333328E-2</v>
      </c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</row>
    <row r="189" spans="1:95" ht="15.75" thickBot="1">
      <c r="A189" s="121"/>
      <c r="B189" s="218"/>
      <c r="C189" s="76" t="s">
        <v>276</v>
      </c>
      <c r="D189" s="1822"/>
      <c r="E189" s="1822"/>
      <c r="F189" s="1822"/>
      <c r="G189" s="1823"/>
      <c r="H189" s="1841">
        <v>0.35399999999999998</v>
      </c>
      <c r="I189" s="1822">
        <v>2.1999999999999999E-2</v>
      </c>
      <c r="J189" s="1822">
        <v>9.5000000000000001E-2</v>
      </c>
      <c r="K189" s="1823">
        <v>2.1999999999999999E-2</v>
      </c>
      <c r="L189" s="393">
        <v>0.114</v>
      </c>
      <c r="M189" s="394">
        <v>1.9E-2</v>
      </c>
      <c r="N189" s="1843">
        <v>1.4E-2</v>
      </c>
      <c r="O189" s="500"/>
      <c r="P189" s="2409">
        <v>0.16400000000000001</v>
      </c>
      <c r="Q189" s="843">
        <v>0.16900000000000001</v>
      </c>
      <c r="R189" s="843"/>
      <c r="S189" s="844"/>
      <c r="U189" s="40"/>
      <c r="V189" s="40"/>
      <c r="W189" s="40"/>
      <c r="X189" s="40">
        <v>0.42</v>
      </c>
      <c r="Y189" s="40">
        <v>0.10100000000000001</v>
      </c>
      <c r="Z189" s="40"/>
      <c r="AA189" s="40">
        <v>6.9666666666666668E-2</v>
      </c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</row>
    <row r="190" spans="1:95">
      <c r="A190" s="114"/>
      <c r="B190" s="114"/>
      <c r="C190" s="775" t="s">
        <v>285</v>
      </c>
      <c r="D190" s="1025">
        <f>COUNTIF(D181:D189,"&lt;=10")</f>
        <v>5</v>
      </c>
      <c r="E190" s="1025">
        <f t="shared" ref="E190:Z190" si="44">COUNTIF(E181:E189,"&lt;=10")</f>
        <v>5</v>
      </c>
      <c r="F190" s="1025">
        <f t="shared" si="44"/>
        <v>5</v>
      </c>
      <c r="G190" s="1025">
        <f t="shared" si="44"/>
        <v>5</v>
      </c>
      <c r="H190" s="1025">
        <f t="shared" si="44"/>
        <v>9</v>
      </c>
      <c r="I190" s="1025">
        <f t="shared" si="44"/>
        <v>9</v>
      </c>
      <c r="J190" s="1025">
        <f t="shared" si="44"/>
        <v>9</v>
      </c>
      <c r="K190" s="1025">
        <f t="shared" si="44"/>
        <v>9</v>
      </c>
      <c r="L190" s="1025">
        <f t="shared" si="44"/>
        <v>9</v>
      </c>
      <c r="M190" s="1025">
        <f t="shared" si="44"/>
        <v>9</v>
      </c>
      <c r="N190" s="2083">
        <f t="shared" si="44"/>
        <v>9</v>
      </c>
      <c r="O190" s="1025">
        <f t="shared" si="44"/>
        <v>0</v>
      </c>
      <c r="P190" s="1025">
        <f t="shared" si="44"/>
        <v>9</v>
      </c>
      <c r="Q190" s="1025">
        <f t="shared" si="44"/>
        <v>9</v>
      </c>
      <c r="R190" s="1025">
        <f t="shared" si="44"/>
        <v>0</v>
      </c>
      <c r="S190" s="1025">
        <f t="shared" si="44"/>
        <v>0</v>
      </c>
      <c r="T190" s="1025">
        <f t="shared" si="44"/>
        <v>0</v>
      </c>
      <c r="U190" s="1025">
        <f t="shared" si="44"/>
        <v>0</v>
      </c>
      <c r="V190" s="1025">
        <f t="shared" si="44"/>
        <v>0</v>
      </c>
      <c r="W190" s="1025">
        <f t="shared" si="44"/>
        <v>0</v>
      </c>
      <c r="X190" s="1025">
        <f t="shared" si="44"/>
        <v>9</v>
      </c>
      <c r="Y190" s="1025">
        <f t="shared" si="44"/>
        <v>9</v>
      </c>
      <c r="Z190" s="1025">
        <f t="shared" si="44"/>
        <v>0</v>
      </c>
      <c r="AA190" s="1025">
        <f>COUNTIF(AA181:AA189,"&lt;=7")</f>
        <v>9</v>
      </c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</row>
    <row r="191" spans="1:95">
      <c r="A191" s="114"/>
      <c r="B191" s="114"/>
      <c r="C191" s="775" t="s">
        <v>287</v>
      </c>
      <c r="D191" s="1027">
        <f>COUNT(D181:D189)</f>
        <v>5</v>
      </c>
      <c r="E191" s="1027">
        <f t="shared" ref="E191:AA191" si="45">COUNT(E181:E189)</f>
        <v>5</v>
      </c>
      <c r="F191" s="1027">
        <f t="shared" si="45"/>
        <v>5</v>
      </c>
      <c r="G191" s="1027">
        <f t="shared" si="45"/>
        <v>5</v>
      </c>
      <c r="H191" s="1027">
        <f t="shared" si="45"/>
        <v>9</v>
      </c>
      <c r="I191" s="1027">
        <f t="shared" si="45"/>
        <v>9</v>
      </c>
      <c r="J191" s="1027">
        <f t="shared" si="45"/>
        <v>9</v>
      </c>
      <c r="K191" s="1027">
        <f t="shared" si="45"/>
        <v>9</v>
      </c>
      <c r="L191" s="1027">
        <f t="shared" si="45"/>
        <v>9</v>
      </c>
      <c r="M191" s="1027">
        <f t="shared" si="45"/>
        <v>9</v>
      </c>
      <c r="N191" s="2084">
        <f t="shared" si="45"/>
        <v>9</v>
      </c>
      <c r="O191" s="1027">
        <f t="shared" si="45"/>
        <v>0</v>
      </c>
      <c r="P191" s="1027">
        <f t="shared" si="45"/>
        <v>9</v>
      </c>
      <c r="Q191" s="1027">
        <f t="shared" si="45"/>
        <v>9</v>
      </c>
      <c r="R191" s="1027">
        <f t="shared" si="45"/>
        <v>0</v>
      </c>
      <c r="S191" s="1027">
        <f t="shared" si="45"/>
        <v>0</v>
      </c>
      <c r="T191" s="1027">
        <f t="shared" si="45"/>
        <v>0</v>
      </c>
      <c r="U191" s="1027">
        <f t="shared" si="45"/>
        <v>0</v>
      </c>
      <c r="V191" s="1027">
        <f t="shared" si="45"/>
        <v>0</v>
      </c>
      <c r="W191" s="1027">
        <f t="shared" si="45"/>
        <v>0</v>
      </c>
      <c r="X191" s="1027">
        <f t="shared" si="45"/>
        <v>9</v>
      </c>
      <c r="Y191" s="1027">
        <f t="shared" si="45"/>
        <v>9</v>
      </c>
      <c r="Z191" s="1027">
        <f t="shared" si="45"/>
        <v>0</v>
      </c>
      <c r="AA191" s="1027">
        <f t="shared" si="45"/>
        <v>9</v>
      </c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/>
      <c r="CI191" s="61"/>
      <c r="CJ191" s="61"/>
      <c r="CK191" s="61"/>
      <c r="CL191" s="61"/>
      <c r="CM191" s="61"/>
      <c r="CN191" s="61"/>
      <c r="CO191" s="61"/>
      <c r="CP191" s="61"/>
      <c r="CQ191" s="61"/>
    </row>
    <row r="192" spans="1:95">
      <c r="A192" s="114"/>
      <c r="B192" s="114"/>
      <c r="C192" s="775" t="s">
        <v>286</v>
      </c>
      <c r="D192" s="1026">
        <f>D190/D191</f>
        <v>1</v>
      </c>
      <c r="E192" s="1026">
        <f t="shared" ref="E192:AA192" si="46">E190/E191</f>
        <v>1</v>
      </c>
      <c r="F192" s="1026">
        <f t="shared" si="46"/>
        <v>1</v>
      </c>
      <c r="G192" s="1026">
        <f t="shared" si="46"/>
        <v>1</v>
      </c>
      <c r="H192" s="1026">
        <f t="shared" si="46"/>
        <v>1</v>
      </c>
      <c r="I192" s="1026">
        <f t="shared" si="46"/>
        <v>1</v>
      </c>
      <c r="J192" s="1026">
        <f t="shared" si="46"/>
        <v>1</v>
      </c>
      <c r="K192" s="1026">
        <f t="shared" si="46"/>
        <v>1</v>
      </c>
      <c r="L192" s="1026">
        <f t="shared" si="46"/>
        <v>1</v>
      </c>
      <c r="M192" s="1026">
        <f t="shared" si="46"/>
        <v>1</v>
      </c>
      <c r="N192" s="2085">
        <f t="shared" si="46"/>
        <v>1</v>
      </c>
      <c r="O192" s="1026" t="e">
        <f t="shared" si="46"/>
        <v>#DIV/0!</v>
      </c>
      <c r="P192" s="1026">
        <f t="shared" si="46"/>
        <v>1</v>
      </c>
      <c r="Q192" s="1026">
        <f t="shared" si="46"/>
        <v>1</v>
      </c>
      <c r="R192" s="1026" t="e">
        <f t="shared" si="46"/>
        <v>#DIV/0!</v>
      </c>
      <c r="S192" s="1026" t="e">
        <f t="shared" si="46"/>
        <v>#DIV/0!</v>
      </c>
      <c r="T192" s="1026" t="e">
        <f t="shared" si="46"/>
        <v>#DIV/0!</v>
      </c>
      <c r="U192" s="1026" t="e">
        <f t="shared" si="46"/>
        <v>#DIV/0!</v>
      </c>
      <c r="V192" s="1026" t="e">
        <f t="shared" si="46"/>
        <v>#DIV/0!</v>
      </c>
      <c r="W192" s="1026" t="e">
        <f t="shared" si="46"/>
        <v>#DIV/0!</v>
      </c>
      <c r="X192" s="1026">
        <f t="shared" si="46"/>
        <v>1</v>
      </c>
      <c r="Y192" s="1026">
        <f t="shared" si="46"/>
        <v>1</v>
      </c>
      <c r="Z192" s="1026" t="e">
        <f t="shared" si="46"/>
        <v>#DIV/0!</v>
      </c>
      <c r="AA192" s="1026">
        <f t="shared" si="46"/>
        <v>1</v>
      </c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</row>
    <row r="193" spans="1:105">
      <c r="A193" s="121"/>
      <c r="B193" s="218"/>
      <c r="C193" s="109"/>
      <c r="D193" s="206"/>
      <c r="E193" s="206"/>
      <c r="F193" s="206"/>
      <c r="G193" s="206"/>
      <c r="H193" s="206"/>
      <c r="I193" s="206"/>
      <c r="J193" s="206"/>
      <c r="K193" s="230"/>
      <c r="L193" s="2360">
        <v>4.5999999999999996</v>
      </c>
      <c r="M193" s="120"/>
      <c r="N193" s="2070"/>
      <c r="O193" s="122"/>
      <c r="P193" s="122"/>
      <c r="Q193" s="122"/>
      <c r="R193" s="122"/>
      <c r="S193" s="122"/>
      <c r="T193" s="122"/>
      <c r="U193" s="122"/>
      <c r="V193" s="122"/>
      <c r="W193" s="122"/>
      <c r="X193" s="792"/>
      <c r="Y193" s="61"/>
      <c r="Z193" s="61"/>
      <c r="AA193" s="173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</row>
    <row r="194" spans="1:105">
      <c r="A194" s="121"/>
      <c r="B194" s="218"/>
      <c r="C194" s="109"/>
      <c r="D194" s="206"/>
      <c r="E194" s="206"/>
      <c r="F194" s="3546" t="s">
        <v>227</v>
      </c>
      <c r="G194" s="3546"/>
      <c r="H194" s="3546"/>
      <c r="I194" s="3546"/>
      <c r="J194" s="107"/>
      <c r="K194" s="216">
        <f>AVERAGE(L193:L195)</f>
        <v>6.5999999999999988</v>
      </c>
      <c r="L194" s="2360">
        <v>7.3</v>
      </c>
      <c r="M194" s="120"/>
      <c r="N194" s="3546" t="s">
        <v>227</v>
      </c>
      <c r="O194" s="3546"/>
      <c r="P194" s="3546"/>
      <c r="Q194" s="3546"/>
      <c r="R194" s="122"/>
      <c r="S194" s="122"/>
      <c r="T194" s="122"/>
      <c r="U194" s="122"/>
      <c r="V194" s="122"/>
      <c r="W194" s="122"/>
      <c r="X194" s="792"/>
      <c r="Y194" s="61"/>
      <c r="Z194" s="61"/>
      <c r="AA194" s="173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</row>
    <row r="195" spans="1:105" s="4" customFormat="1" ht="15.75" thickBot="1">
      <c r="A195" s="121"/>
      <c r="B195" s="218"/>
      <c r="C195" s="109"/>
      <c r="D195" s="206"/>
      <c r="E195" s="206"/>
      <c r="F195" s="3546"/>
      <c r="G195" s="3546"/>
      <c r="H195" s="3546"/>
      <c r="I195" s="3546"/>
      <c r="J195" s="107"/>
      <c r="K195" s="230"/>
      <c r="L195" s="2360">
        <v>7.9</v>
      </c>
      <c r="M195" s="120"/>
      <c r="N195" s="3546"/>
      <c r="O195" s="3546"/>
      <c r="P195" s="3546"/>
      <c r="Q195" s="3546"/>
      <c r="R195" s="122"/>
      <c r="S195" s="122"/>
      <c r="T195" s="122"/>
      <c r="U195" s="122"/>
      <c r="V195" s="122"/>
      <c r="W195" s="122"/>
      <c r="X195" s="792"/>
      <c r="Y195" s="61"/>
      <c r="Z195" s="61"/>
      <c r="AA195" s="173"/>
      <c r="BB195" s="83"/>
      <c r="BC195" s="83"/>
      <c r="BD195" s="83"/>
      <c r="BE195" s="83"/>
      <c r="BF195" s="83"/>
      <c r="BG195" s="83"/>
      <c r="BH195" s="83"/>
      <c r="BI195" s="83"/>
      <c r="BJ195" s="83"/>
      <c r="BK195" s="83"/>
      <c r="BL195" s="83"/>
      <c r="BM195" s="83"/>
      <c r="BN195" s="83"/>
      <c r="BO195" s="83"/>
      <c r="BP195" s="83"/>
      <c r="BQ195" s="83"/>
      <c r="BR195" s="83"/>
      <c r="BS195" s="83"/>
      <c r="BT195" s="83"/>
      <c r="BU195" s="83"/>
      <c r="BV195" s="83"/>
      <c r="CE195" s="83"/>
      <c r="CF195" s="83"/>
      <c r="CG195" s="83"/>
      <c r="CH195" s="83"/>
      <c r="CI195" s="83"/>
      <c r="CJ195" s="83"/>
      <c r="CK195" s="83"/>
      <c r="CL195" s="83"/>
      <c r="CM195" s="83"/>
      <c r="CN195" s="83"/>
      <c r="CO195" s="83"/>
      <c r="CP195" s="83"/>
      <c r="CQ195" s="83"/>
      <c r="CR195" s="83"/>
      <c r="CS195" s="83"/>
      <c r="CT195" s="83"/>
      <c r="CU195" s="83"/>
      <c r="CV195" s="83"/>
      <c r="CW195" s="83"/>
      <c r="CX195" s="83"/>
      <c r="CY195" s="83"/>
      <c r="CZ195" s="83"/>
      <c r="DA195" s="83"/>
    </row>
    <row r="196" spans="1:105" s="4" customFormat="1" ht="15.75" thickBot="1">
      <c r="A196" s="328"/>
      <c r="B196" s="113"/>
      <c r="C196" s="266" t="s">
        <v>168</v>
      </c>
      <c r="D196" s="268">
        <v>10</v>
      </c>
      <c r="E196" s="268">
        <v>10</v>
      </c>
      <c r="F196" s="268">
        <v>10</v>
      </c>
      <c r="G196" s="345">
        <v>10</v>
      </c>
      <c r="H196" s="346">
        <v>10</v>
      </c>
      <c r="I196" s="268">
        <v>10</v>
      </c>
      <c r="J196" s="268">
        <v>10</v>
      </c>
      <c r="K196" s="269">
        <v>10</v>
      </c>
      <c r="L196" s="346">
        <v>10</v>
      </c>
      <c r="M196" s="268">
        <v>10</v>
      </c>
      <c r="N196" s="2091">
        <v>10</v>
      </c>
      <c r="O196" s="274">
        <v>10</v>
      </c>
      <c r="P196" s="367">
        <v>10</v>
      </c>
      <c r="Q196" s="268">
        <v>10</v>
      </c>
      <c r="R196" s="268">
        <v>10</v>
      </c>
      <c r="S196" s="274">
        <v>10</v>
      </c>
      <c r="T196" s="274">
        <v>10</v>
      </c>
      <c r="U196" s="274">
        <v>10</v>
      </c>
      <c r="V196" s="274">
        <v>10</v>
      </c>
      <c r="W196" s="274">
        <v>10</v>
      </c>
      <c r="X196" s="792"/>
      <c r="Y196" s="61"/>
      <c r="Z196" s="61"/>
      <c r="AA196" s="70"/>
      <c r="BB196" s="83"/>
      <c r="BC196" s="83"/>
      <c r="BD196" s="83"/>
      <c r="BE196" s="83"/>
      <c r="BF196" s="83"/>
      <c r="BG196" s="83"/>
      <c r="BH196" s="83"/>
      <c r="BI196" s="83"/>
      <c r="BJ196" s="83"/>
      <c r="BK196" s="83"/>
      <c r="BL196" s="83"/>
      <c r="BM196" s="83"/>
      <c r="BN196" s="83"/>
      <c r="BO196" s="83"/>
      <c r="BP196" s="83"/>
      <c r="BQ196" s="83"/>
      <c r="BR196" s="83"/>
      <c r="BS196" s="83"/>
      <c r="BT196" s="83"/>
      <c r="BU196" s="83"/>
      <c r="BV196" s="83"/>
      <c r="CE196" s="83"/>
      <c r="CF196" s="83"/>
      <c r="CG196" s="83"/>
      <c r="CH196" s="83"/>
      <c r="CI196" s="83"/>
      <c r="CJ196" s="83"/>
      <c r="CK196" s="83"/>
      <c r="CL196" s="83"/>
      <c r="CM196" s="83"/>
      <c r="CN196" s="83"/>
      <c r="CO196" s="83"/>
      <c r="CP196" s="83"/>
      <c r="CQ196" s="83"/>
      <c r="CR196" s="83"/>
      <c r="CS196" s="83"/>
      <c r="CT196" s="83"/>
      <c r="CU196" s="83"/>
      <c r="CV196" s="83"/>
      <c r="CW196" s="83"/>
      <c r="CX196" s="83"/>
      <c r="CY196" s="83"/>
      <c r="CZ196" s="83"/>
      <c r="DA196" s="83"/>
    </row>
    <row r="197" spans="1:105" s="4" customFormat="1">
      <c r="A197" s="328"/>
      <c r="B197" s="113"/>
      <c r="C197" s="331" t="s">
        <v>116</v>
      </c>
      <c r="D197" s="493">
        <v>2.5</v>
      </c>
      <c r="E197" s="494">
        <v>3.0750000000000002</v>
      </c>
      <c r="F197" s="494">
        <v>3.3</v>
      </c>
      <c r="G197" s="495">
        <v>4.3999999999999995</v>
      </c>
      <c r="H197" s="496">
        <v>4.2</v>
      </c>
      <c r="I197" s="494">
        <v>4.3999999999999995</v>
      </c>
      <c r="J197" s="677">
        <v>3.9666666666666668</v>
      </c>
      <c r="K197" s="731">
        <v>3.1333333333333333</v>
      </c>
      <c r="L197" s="742">
        <v>3.2999999999999994</v>
      </c>
      <c r="M197" s="481">
        <v>3.75</v>
      </c>
      <c r="N197" s="2092"/>
      <c r="O197" s="2124"/>
      <c r="P197" s="2361">
        <v>4.97</v>
      </c>
      <c r="Q197" s="851"/>
      <c r="R197" s="2869">
        <v>0.39</v>
      </c>
      <c r="S197" s="2871">
        <v>0.2</v>
      </c>
      <c r="T197" s="2969">
        <v>3</v>
      </c>
      <c r="U197" s="2954">
        <v>4.57</v>
      </c>
      <c r="V197" s="852">
        <v>5</v>
      </c>
      <c r="W197" s="3090">
        <v>4.47</v>
      </c>
      <c r="X197" s="792"/>
      <c r="Y197" s="61"/>
      <c r="Z197" s="61"/>
      <c r="AA197" s="70"/>
      <c r="BB197" s="83"/>
      <c r="BC197" s="83"/>
      <c r="BD197" s="83"/>
      <c r="BE197" s="83"/>
      <c r="BF197" s="83"/>
      <c r="BG197" s="83"/>
      <c r="BH197" s="83"/>
      <c r="BI197" s="83"/>
      <c r="BJ197" s="83"/>
      <c r="BK197" s="83"/>
      <c r="BL197" s="83"/>
      <c r="BM197" s="83"/>
      <c r="BN197" s="83"/>
      <c r="BO197" s="83"/>
      <c r="BP197" s="83"/>
      <c r="BQ197" s="83"/>
      <c r="BR197" s="83"/>
      <c r="BS197" s="83"/>
      <c r="BT197" s="83"/>
      <c r="BU197" s="83"/>
      <c r="BV197" s="83"/>
      <c r="CE197" s="83"/>
      <c r="CF197" s="83"/>
      <c r="CG197" s="83"/>
      <c r="CH197" s="83"/>
      <c r="CI197" s="83"/>
      <c r="CJ197" s="83"/>
      <c r="CK197" s="83"/>
      <c r="CL197" s="83"/>
      <c r="CM197" s="83"/>
      <c r="CN197" s="83"/>
      <c r="CO197" s="83"/>
      <c r="CP197" s="83"/>
      <c r="CQ197" s="83"/>
      <c r="CR197" s="83"/>
      <c r="CS197" s="83"/>
      <c r="CT197" s="83"/>
      <c r="CU197" s="83"/>
      <c r="CV197" s="83"/>
      <c r="CW197" s="83"/>
      <c r="CX197" s="83"/>
      <c r="CY197" s="83"/>
      <c r="CZ197" s="83"/>
      <c r="DA197" s="83"/>
    </row>
    <row r="198" spans="1:105">
      <c r="A198" s="123"/>
      <c r="B198" s="122"/>
      <c r="C198" s="101" t="s">
        <v>124</v>
      </c>
      <c r="D198" s="498">
        <v>10.15</v>
      </c>
      <c r="E198" s="484">
        <v>13.675000000000001</v>
      </c>
      <c r="F198" s="484">
        <v>10.683333333333332</v>
      </c>
      <c r="G198" s="489">
        <v>11.086666666666668</v>
      </c>
      <c r="H198" s="483">
        <v>12.866666666666665</v>
      </c>
      <c r="I198" s="484">
        <v>12.266666666666667</v>
      </c>
      <c r="J198" s="675">
        <v>9.8666666666666671</v>
      </c>
      <c r="K198" s="733">
        <v>9.6666666666666661</v>
      </c>
      <c r="L198" s="742">
        <v>10.733333333333334</v>
      </c>
      <c r="M198" s="410">
        <v>10.17</v>
      </c>
      <c r="N198" s="2093"/>
      <c r="O198" s="847"/>
      <c r="P198" s="2294">
        <v>10.77</v>
      </c>
      <c r="Q198" s="841"/>
      <c r="R198" s="2870">
        <v>0.39</v>
      </c>
      <c r="S198" s="1756">
        <v>1.01</v>
      </c>
      <c r="T198" s="2955">
        <v>9.4499999999999993</v>
      </c>
      <c r="U198" s="2956">
        <v>10.5</v>
      </c>
      <c r="V198" s="842">
        <v>10.4</v>
      </c>
      <c r="W198" s="3090">
        <v>10.47</v>
      </c>
      <c r="X198" s="792"/>
      <c r="Y198" s="61"/>
      <c r="Z198" s="61"/>
      <c r="AA198" s="70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</row>
    <row r="199" spans="1:105">
      <c r="A199" s="123"/>
      <c r="B199" s="122"/>
      <c r="C199" s="102" t="s">
        <v>118</v>
      </c>
      <c r="D199" s="498">
        <v>4.0999999999999996</v>
      </c>
      <c r="E199" s="484">
        <v>3.25</v>
      </c>
      <c r="F199" s="484">
        <v>3.8333333333333335</v>
      </c>
      <c r="G199" s="489">
        <v>4.55</v>
      </c>
      <c r="H199" s="483">
        <v>4.3</v>
      </c>
      <c r="I199" s="484">
        <v>4.666666666666667</v>
      </c>
      <c r="J199" s="675">
        <v>3.7666666666666671</v>
      </c>
      <c r="K199" s="733">
        <v>3.3333333333333335</v>
      </c>
      <c r="L199" s="742">
        <v>1.9666666666666668</v>
      </c>
      <c r="M199" s="410">
        <v>2.1</v>
      </c>
      <c r="N199" s="2069"/>
      <c r="O199" s="847"/>
      <c r="P199" s="2294">
        <v>1.82</v>
      </c>
      <c r="Q199" s="841"/>
      <c r="R199" s="2870">
        <v>0.41</v>
      </c>
      <c r="S199" s="1756">
        <v>0.49</v>
      </c>
      <c r="T199" s="2955">
        <v>1.1599999999999999</v>
      </c>
      <c r="U199" s="2955">
        <v>1.07</v>
      </c>
      <c r="V199" s="842">
        <v>0.98</v>
      </c>
      <c r="W199" s="3090">
        <v>0.81</v>
      </c>
      <c r="X199" s="792"/>
      <c r="Y199" s="61"/>
      <c r="Z199" s="61"/>
      <c r="AA199" s="95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</row>
    <row r="200" spans="1:105" s="4" customFormat="1">
      <c r="A200" s="123"/>
      <c r="B200" s="122"/>
      <c r="C200" s="102" t="s">
        <v>113</v>
      </c>
      <c r="D200" s="498">
        <v>2.2999999999999998</v>
      </c>
      <c r="E200" s="484">
        <v>2.9750000000000001</v>
      </c>
      <c r="F200" s="484">
        <v>4.1166666666666663</v>
      </c>
      <c r="G200" s="489">
        <v>4.0333333333333341</v>
      </c>
      <c r="H200" s="483">
        <v>3.5333333333333332</v>
      </c>
      <c r="I200" s="484">
        <v>4.166666666666667</v>
      </c>
      <c r="J200" s="675">
        <v>2.5033333333333334</v>
      </c>
      <c r="K200" s="733">
        <v>3.7333333333333329</v>
      </c>
      <c r="L200" s="742">
        <v>2.3666666666666667</v>
      </c>
      <c r="M200" s="410">
        <v>2.83</v>
      </c>
      <c r="N200" s="2093"/>
      <c r="O200" s="847"/>
      <c r="P200" s="2294">
        <v>3.53</v>
      </c>
      <c r="Q200" s="841"/>
      <c r="R200" s="2870">
        <v>0.38</v>
      </c>
      <c r="S200" s="1756">
        <v>0.87</v>
      </c>
      <c r="T200" s="2955">
        <v>2.35</v>
      </c>
      <c r="U200" s="2956">
        <v>3.6</v>
      </c>
      <c r="V200" s="842">
        <v>3.5</v>
      </c>
      <c r="W200" s="3093">
        <v>3.27</v>
      </c>
      <c r="X200" s="792"/>
      <c r="Y200" s="61"/>
      <c r="Z200" s="61"/>
      <c r="AA200" s="70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  <c r="AS200" s="83"/>
      <c r="AT200" s="83"/>
      <c r="AU200" s="83"/>
      <c r="AV200" s="83"/>
      <c r="AW200" s="83"/>
      <c r="AX200" s="83"/>
      <c r="AY200" s="83"/>
      <c r="AZ200" s="83"/>
      <c r="BE200" s="83"/>
      <c r="BF200" s="83"/>
      <c r="BG200" s="83"/>
      <c r="BH200" s="83"/>
      <c r="BI200" s="83"/>
      <c r="BJ200" s="83"/>
      <c r="BK200" s="83"/>
      <c r="BL200" s="83"/>
      <c r="BM200" s="83"/>
    </row>
    <row r="201" spans="1:105" s="4" customFormat="1">
      <c r="A201" s="123"/>
      <c r="B201" s="122"/>
      <c r="C201" s="101" t="s">
        <v>123</v>
      </c>
      <c r="D201" s="498">
        <v>1.65</v>
      </c>
      <c r="E201" s="484">
        <v>6.6</v>
      </c>
      <c r="F201" s="484">
        <v>5.55</v>
      </c>
      <c r="G201" s="489">
        <v>7.2333333333333343</v>
      </c>
      <c r="H201" s="483">
        <v>8.5333333333333332</v>
      </c>
      <c r="I201" s="484">
        <v>9.6</v>
      </c>
      <c r="J201" s="675">
        <v>8.0333333333333332</v>
      </c>
      <c r="K201" s="733">
        <v>8.4333333333333353</v>
      </c>
      <c r="L201" s="742">
        <v>11.033333333333333</v>
      </c>
      <c r="M201" s="410">
        <v>10.85</v>
      </c>
      <c r="N201" s="2093"/>
      <c r="O201" s="847"/>
      <c r="P201" s="2294">
        <v>11.03</v>
      </c>
      <c r="Q201" s="841"/>
      <c r="R201" s="2870">
        <v>0.39</v>
      </c>
      <c r="S201" s="1756">
        <v>0.7</v>
      </c>
      <c r="T201" s="2955">
        <v>9</v>
      </c>
      <c r="U201" s="2956">
        <v>9.8000000000000007</v>
      </c>
      <c r="V201" s="842">
        <v>10</v>
      </c>
      <c r="W201" s="3090">
        <v>10.67</v>
      </c>
      <c r="X201" s="792"/>
      <c r="Y201" s="61"/>
      <c r="Z201" s="61"/>
      <c r="AA201" s="70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  <c r="AR201" s="83"/>
      <c r="AS201" s="83"/>
      <c r="AT201" s="83"/>
      <c r="AU201" s="83"/>
      <c r="AV201" s="83"/>
      <c r="AW201" s="83"/>
      <c r="AX201" s="83"/>
      <c r="AY201" s="83"/>
      <c r="AZ201" s="83"/>
      <c r="BE201" s="83"/>
      <c r="BF201" s="83"/>
      <c r="BG201" s="83"/>
      <c r="BH201" s="83"/>
      <c r="BI201" s="83"/>
      <c r="BJ201" s="83"/>
      <c r="BK201" s="83"/>
      <c r="BL201" s="83"/>
      <c r="BM201" s="83"/>
    </row>
    <row r="202" spans="1:105" s="4" customFormat="1">
      <c r="A202" s="123"/>
      <c r="B202" s="122"/>
      <c r="C202" s="101" t="s">
        <v>120</v>
      </c>
      <c r="D202" s="498">
        <v>3.6</v>
      </c>
      <c r="E202" s="484">
        <v>4.4000000000000004</v>
      </c>
      <c r="F202" s="484">
        <v>4.8</v>
      </c>
      <c r="G202" s="489">
        <v>6.416666666666667</v>
      </c>
      <c r="H202" s="483">
        <v>7.6333333333333329</v>
      </c>
      <c r="I202" s="484">
        <v>7.8666666666666663</v>
      </c>
      <c r="J202" s="675">
        <v>7.166666666666667</v>
      </c>
      <c r="K202" s="733">
        <v>7.333333333333333</v>
      </c>
      <c r="L202" s="742">
        <v>9</v>
      </c>
      <c r="M202" s="410">
        <v>9.5500000000000007</v>
      </c>
      <c r="N202" s="2093"/>
      <c r="O202" s="847"/>
      <c r="P202" s="2294">
        <v>10.199999999999999</v>
      </c>
      <c r="Q202" s="853"/>
      <c r="R202" s="2870">
        <v>0.38</v>
      </c>
      <c r="S202" s="1756">
        <v>0.74</v>
      </c>
      <c r="T202" s="2956">
        <v>9.0500000000000007</v>
      </c>
      <c r="U202" s="2956">
        <v>9.9</v>
      </c>
      <c r="V202" s="854">
        <v>10.029999999999999</v>
      </c>
      <c r="W202" s="3090">
        <v>11.1</v>
      </c>
      <c r="X202" s="792"/>
      <c r="Y202" s="61"/>
      <c r="Z202" s="61"/>
      <c r="AA202" s="70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  <c r="AR202" s="83"/>
      <c r="AS202" s="83"/>
      <c r="AT202" s="83"/>
      <c r="AU202" s="83"/>
      <c r="AV202" s="83"/>
      <c r="AW202" s="83"/>
      <c r="AX202" s="83"/>
      <c r="AY202" s="83"/>
      <c r="AZ202" s="83"/>
      <c r="BE202" s="83"/>
      <c r="BF202" s="83"/>
      <c r="BG202" s="83"/>
      <c r="BH202" s="83"/>
      <c r="BI202" s="83"/>
      <c r="BJ202" s="83"/>
      <c r="BK202" s="83"/>
      <c r="BL202" s="83"/>
      <c r="BM202" s="83"/>
    </row>
    <row r="203" spans="1:105" s="1096" customFormat="1">
      <c r="A203" s="123"/>
      <c r="B203" s="122"/>
      <c r="C203" s="101" t="s">
        <v>122</v>
      </c>
      <c r="D203" s="498">
        <v>10.199999999999999</v>
      </c>
      <c r="E203" s="484">
        <v>10.775</v>
      </c>
      <c r="F203" s="484">
        <v>8.0666666666666664</v>
      </c>
      <c r="G203" s="489">
        <v>8.1</v>
      </c>
      <c r="H203" s="483">
        <v>8.5333333333333332</v>
      </c>
      <c r="I203" s="484">
        <v>9.8666666666666671</v>
      </c>
      <c r="J203" s="675">
        <v>9.7000000000000011</v>
      </c>
      <c r="K203" s="733">
        <v>9.3666666666666671</v>
      </c>
      <c r="L203" s="742">
        <v>9.6999999999999993</v>
      </c>
      <c r="M203" s="410">
        <v>10.23</v>
      </c>
      <c r="N203" s="2093"/>
      <c r="O203" s="846"/>
      <c r="P203" s="2030">
        <v>10.87</v>
      </c>
      <c r="Q203" s="304"/>
      <c r="R203" s="304">
        <v>0.39</v>
      </c>
      <c r="S203" s="2854">
        <v>1.0900000000000001</v>
      </c>
      <c r="T203" s="2188">
        <v>9.3000000000000007</v>
      </c>
      <c r="U203" s="2188">
        <v>9.57</v>
      </c>
      <c r="V203" s="319">
        <v>9.8699999999999992</v>
      </c>
      <c r="W203" s="3090">
        <v>10.33</v>
      </c>
      <c r="X203" s="767"/>
      <c r="Y203" s="61"/>
      <c r="Z203" s="61"/>
      <c r="AA203" s="61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BE203" s="61"/>
      <c r="BF203" s="61"/>
      <c r="BG203" s="61"/>
      <c r="BH203" s="61"/>
      <c r="BI203" s="61"/>
      <c r="BJ203" s="61"/>
      <c r="BK203" s="61"/>
      <c r="BL203" s="61"/>
      <c r="BM203" s="61"/>
    </row>
    <row r="204" spans="1:105" s="1106" customFormat="1">
      <c r="A204" s="123"/>
      <c r="B204" s="122"/>
      <c r="C204" s="101" t="s">
        <v>114</v>
      </c>
      <c r="D204" s="498">
        <v>2.5</v>
      </c>
      <c r="E204" s="484">
        <v>2.4</v>
      </c>
      <c r="F204" s="484">
        <v>2.2666666666666666</v>
      </c>
      <c r="G204" s="489">
        <v>2.686666666666667</v>
      </c>
      <c r="H204" s="483">
        <v>4.166666666666667</v>
      </c>
      <c r="I204" s="484">
        <v>3.7999999999999994</v>
      </c>
      <c r="J204" s="675">
        <v>2.6</v>
      </c>
      <c r="K204" s="733">
        <v>2.2666666666666671</v>
      </c>
      <c r="L204" s="742">
        <v>1.5</v>
      </c>
      <c r="M204" s="410">
        <v>4.07</v>
      </c>
      <c r="N204" s="2093"/>
      <c r="O204" s="846"/>
      <c r="P204" s="2030">
        <v>2.73</v>
      </c>
      <c r="Q204" s="304"/>
      <c r="R204" s="304">
        <v>0.34</v>
      </c>
      <c r="S204" s="2854">
        <v>0.44</v>
      </c>
      <c r="T204" s="2957">
        <v>2.15</v>
      </c>
      <c r="U204" s="319">
        <v>2.87</v>
      </c>
      <c r="V204" s="319">
        <v>2.1</v>
      </c>
      <c r="W204" s="3090">
        <v>2.83</v>
      </c>
      <c r="X204" s="767"/>
      <c r="Y204" s="61"/>
      <c r="Z204" s="61"/>
      <c r="AA204" s="61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BE204" s="61"/>
      <c r="BF204" s="61"/>
      <c r="BG204" s="61"/>
      <c r="BH204" s="61"/>
      <c r="BI204" s="61"/>
      <c r="BJ204" s="61"/>
      <c r="BK204" s="61"/>
      <c r="BL204" s="61"/>
      <c r="BM204" s="61"/>
    </row>
    <row r="205" spans="1:105" s="1096" customFormat="1">
      <c r="A205" s="123"/>
      <c r="B205" s="122"/>
      <c r="C205" s="103" t="s">
        <v>115</v>
      </c>
      <c r="D205" s="498">
        <v>3.85</v>
      </c>
      <c r="E205" s="484">
        <v>3.5750000000000002</v>
      </c>
      <c r="F205" s="484">
        <v>2.7166666666666663</v>
      </c>
      <c r="G205" s="489">
        <v>3.4833333333333329</v>
      </c>
      <c r="H205" s="483">
        <v>3.6666666666666665</v>
      </c>
      <c r="I205" s="484">
        <v>4.0333333333333332</v>
      </c>
      <c r="J205" s="675">
        <v>3.3333333333333335</v>
      </c>
      <c r="K205" s="733">
        <v>3.4</v>
      </c>
      <c r="L205" s="742">
        <v>2.5</v>
      </c>
      <c r="M205" s="410">
        <v>2.88</v>
      </c>
      <c r="N205" s="2093"/>
      <c r="O205" s="846"/>
      <c r="P205" s="2030">
        <v>3.03</v>
      </c>
      <c r="Q205" s="304"/>
      <c r="R205" s="304">
        <v>0.44</v>
      </c>
      <c r="S205" s="2854">
        <v>0.56999999999999995</v>
      </c>
      <c r="T205" s="2957">
        <v>2.6</v>
      </c>
      <c r="U205" s="319">
        <v>2.5299999999999998</v>
      </c>
      <c r="V205" s="319">
        <v>2.83</v>
      </c>
      <c r="W205" s="3090">
        <v>2.33</v>
      </c>
      <c r="X205" s="767"/>
      <c r="Y205" s="61"/>
      <c r="Z205" s="61"/>
      <c r="AA205" s="61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BE205" s="61"/>
      <c r="BF205" s="61"/>
      <c r="BG205" s="61"/>
      <c r="BH205" s="61"/>
      <c r="BI205" s="61"/>
      <c r="BJ205" s="61"/>
      <c r="BK205" s="61"/>
      <c r="BL205" s="61"/>
      <c r="BM205" s="61"/>
    </row>
    <row r="206" spans="1:105" s="1096" customFormat="1">
      <c r="A206" s="123"/>
      <c r="B206" s="122"/>
      <c r="C206" s="101" t="s">
        <v>112</v>
      </c>
      <c r="D206" s="498">
        <v>1.3</v>
      </c>
      <c r="E206" s="484">
        <v>1.4</v>
      </c>
      <c r="F206" s="484">
        <v>1.4166666666666667</v>
      </c>
      <c r="G206" s="489">
        <v>1.7999999999999998</v>
      </c>
      <c r="H206" s="483">
        <v>2.7000000000000006</v>
      </c>
      <c r="I206" s="484">
        <v>1.18</v>
      </c>
      <c r="J206" s="675">
        <v>1.0033333333333332</v>
      </c>
      <c r="K206" s="733">
        <v>1.3666666666666665</v>
      </c>
      <c r="L206" s="742">
        <v>1.0999999999999999</v>
      </c>
      <c r="M206" s="410">
        <v>1.83</v>
      </c>
      <c r="N206" s="2093"/>
      <c r="O206" s="846"/>
      <c r="P206" s="2030">
        <v>1.47</v>
      </c>
      <c r="Q206" s="304"/>
      <c r="R206" s="304">
        <v>0.39</v>
      </c>
      <c r="S206" s="2854">
        <v>1.75</v>
      </c>
      <c r="T206" s="2188">
        <v>0.78</v>
      </c>
      <c r="U206" s="319">
        <v>0.95</v>
      </c>
      <c r="V206" s="319">
        <v>0.66</v>
      </c>
      <c r="W206" s="3090">
        <v>0.56000000000000005</v>
      </c>
      <c r="X206" s="767"/>
      <c r="Y206" s="61"/>
      <c r="Z206" s="61"/>
      <c r="AA206" s="61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</row>
    <row r="207" spans="1:105" s="1106" customFormat="1">
      <c r="A207" s="123"/>
      <c r="B207" s="122"/>
      <c r="C207" s="102" t="s">
        <v>187</v>
      </c>
      <c r="D207" s="498">
        <v>2.1</v>
      </c>
      <c r="E207" s="484">
        <v>2.5</v>
      </c>
      <c r="F207" s="484">
        <v>1.9333333333333336</v>
      </c>
      <c r="G207" s="489">
        <v>2.1133333333333333</v>
      </c>
      <c r="H207" s="483">
        <v>3.1666666666666665</v>
      </c>
      <c r="I207" s="484">
        <v>3.0333333333333332</v>
      </c>
      <c r="J207" s="675">
        <v>1.9000000000000001</v>
      </c>
      <c r="K207" s="733">
        <v>2.3000000000000003</v>
      </c>
      <c r="L207" s="742">
        <v>2.6</v>
      </c>
      <c r="M207" s="410">
        <v>3.9</v>
      </c>
      <c r="N207" s="2093"/>
      <c r="O207" s="846"/>
      <c r="P207" s="2030">
        <v>3.67</v>
      </c>
      <c r="Q207" s="304"/>
      <c r="R207" s="304">
        <v>0.44</v>
      </c>
      <c r="S207" s="2854">
        <v>1.07</v>
      </c>
      <c r="T207" s="2957">
        <v>2.1</v>
      </c>
      <c r="U207" s="319">
        <v>2.87</v>
      </c>
      <c r="V207" s="319">
        <v>2.1</v>
      </c>
      <c r="W207" s="3090">
        <v>1.87</v>
      </c>
      <c r="X207" s="767"/>
      <c r="Y207" s="61"/>
      <c r="Z207" s="61"/>
      <c r="AA207" s="61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</row>
    <row r="208" spans="1:105" s="1096" customFormat="1">
      <c r="A208" s="123"/>
      <c r="B208" s="122"/>
      <c r="C208" s="101" t="s">
        <v>117</v>
      </c>
      <c r="D208" s="498">
        <v>4.25</v>
      </c>
      <c r="E208" s="484">
        <v>3.9750000000000001</v>
      </c>
      <c r="F208" s="484">
        <v>3.6</v>
      </c>
      <c r="G208" s="489">
        <v>4.1000000000000005</v>
      </c>
      <c r="H208" s="483">
        <v>4.2</v>
      </c>
      <c r="I208" s="484">
        <v>4.9333333333333336</v>
      </c>
      <c r="J208" s="675">
        <v>3.6999999999999997</v>
      </c>
      <c r="K208" s="733">
        <v>3.2333333333333329</v>
      </c>
      <c r="L208" s="742">
        <v>3.9000000000000004</v>
      </c>
      <c r="M208" s="410">
        <v>4.97</v>
      </c>
      <c r="N208" s="2093"/>
      <c r="O208" s="846"/>
      <c r="P208" s="2030">
        <v>3.03</v>
      </c>
      <c r="Q208" s="304"/>
      <c r="R208" s="304">
        <v>0.46</v>
      </c>
      <c r="S208" s="2854">
        <v>0.11</v>
      </c>
      <c r="T208" s="319">
        <v>2.85</v>
      </c>
      <c r="U208" s="319">
        <v>3.37</v>
      </c>
      <c r="V208" s="319">
        <v>2.1</v>
      </c>
      <c r="W208" s="3090">
        <v>2.13</v>
      </c>
      <c r="X208" s="767"/>
      <c r="Y208" s="61"/>
      <c r="Z208" s="61"/>
      <c r="AA208" s="61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</row>
    <row r="209" spans="1:27" s="1096" customFormat="1">
      <c r="A209" s="123"/>
      <c r="B209" s="122"/>
      <c r="C209" s="101" t="s">
        <v>121</v>
      </c>
      <c r="D209" s="498">
        <v>6.5</v>
      </c>
      <c r="E209" s="484">
        <v>6.125</v>
      </c>
      <c r="F209" s="484">
        <v>6.35</v>
      </c>
      <c r="G209" s="489">
        <v>8.0166666666666675</v>
      </c>
      <c r="H209" s="483">
        <v>6.8999999999999995</v>
      </c>
      <c r="I209" s="484">
        <v>9.7333333333333343</v>
      </c>
      <c r="J209" s="675">
        <v>8.4333333333333336</v>
      </c>
      <c r="K209" s="733">
        <v>8.5666666666666647</v>
      </c>
      <c r="L209" s="742">
        <v>8.5333333333333332</v>
      </c>
      <c r="M209" s="410">
        <v>9.3000000000000007</v>
      </c>
      <c r="N209" s="2093"/>
      <c r="O209" s="846"/>
      <c r="P209" s="2030">
        <v>9.9</v>
      </c>
      <c r="Q209" s="304"/>
      <c r="R209" s="304">
        <v>0.47</v>
      </c>
      <c r="S209" s="2854">
        <v>0.8</v>
      </c>
      <c r="T209" s="361">
        <v>6.7</v>
      </c>
      <c r="U209" s="361">
        <v>8.8000000000000007</v>
      </c>
      <c r="V209" s="319">
        <v>10.43</v>
      </c>
      <c r="W209" s="3090">
        <v>11.37</v>
      </c>
      <c r="X209" s="767"/>
      <c r="Y209" s="61"/>
      <c r="Z209" s="61"/>
      <c r="AA209" s="61"/>
    </row>
    <row r="210" spans="1:27" s="1106" customFormat="1" ht="15.75" thickBot="1">
      <c r="A210" s="123"/>
      <c r="B210" s="122"/>
      <c r="C210" s="104" t="s">
        <v>119</v>
      </c>
      <c r="D210" s="502">
        <v>2.75</v>
      </c>
      <c r="E210" s="490">
        <v>3.625</v>
      </c>
      <c r="F210" s="490">
        <v>3.95</v>
      </c>
      <c r="G210" s="491">
        <v>4.0333333333333332</v>
      </c>
      <c r="H210" s="492">
        <v>6.1333333333333329</v>
      </c>
      <c r="I210" s="490">
        <v>7.2666666666666666</v>
      </c>
      <c r="J210" s="678">
        <v>4.7</v>
      </c>
      <c r="K210" s="736">
        <v>4.166666666666667</v>
      </c>
      <c r="L210" s="742">
        <v>5.7666666666666657</v>
      </c>
      <c r="M210" s="410">
        <v>8.4700000000000006</v>
      </c>
      <c r="N210" s="2093"/>
      <c r="O210" s="846"/>
      <c r="P210" s="2362">
        <v>6.6</v>
      </c>
      <c r="Q210" s="540"/>
      <c r="R210" s="540">
        <v>0.44</v>
      </c>
      <c r="S210" s="2856">
        <v>0.78</v>
      </c>
      <c r="T210" s="541">
        <v>4.6500000000000004</v>
      </c>
      <c r="U210" s="397">
        <v>5.4</v>
      </c>
      <c r="V210" s="541">
        <v>3.8</v>
      </c>
      <c r="W210" s="3090">
        <v>3.47</v>
      </c>
      <c r="X210" s="767"/>
      <c r="Y210" s="61"/>
      <c r="Z210" s="61"/>
      <c r="AA210" s="61"/>
    </row>
    <row r="211" spans="1:27" s="1096" customFormat="1">
      <c r="A211" s="114"/>
      <c r="B211" s="114"/>
      <c r="C211" s="775" t="s">
        <v>285</v>
      </c>
      <c r="D211" s="1025">
        <f>COUNTIF(D197:D210,"&lt;=10")</f>
        <v>12</v>
      </c>
      <c r="E211" s="1025">
        <f t="shared" ref="E211:S211" si="47">COUNTIF(E197:E210,"&lt;=10")</f>
        <v>12</v>
      </c>
      <c r="F211" s="1025">
        <f t="shared" si="47"/>
        <v>13</v>
      </c>
      <c r="G211" s="1025">
        <f t="shared" si="47"/>
        <v>13</v>
      </c>
      <c r="H211" s="1025">
        <f t="shared" si="47"/>
        <v>13</v>
      </c>
      <c r="I211" s="1025">
        <f t="shared" si="47"/>
        <v>13</v>
      </c>
      <c r="J211" s="1025">
        <f t="shared" si="47"/>
        <v>14</v>
      </c>
      <c r="K211" s="1025">
        <f t="shared" si="47"/>
        <v>14</v>
      </c>
      <c r="L211" s="1025">
        <f t="shared" si="47"/>
        <v>12</v>
      </c>
      <c r="M211" s="1025">
        <f t="shared" si="47"/>
        <v>11</v>
      </c>
      <c r="N211" s="2083">
        <f t="shared" si="47"/>
        <v>0</v>
      </c>
      <c r="O211" s="1025">
        <f t="shared" si="47"/>
        <v>0</v>
      </c>
      <c r="P211" s="1025">
        <f t="shared" si="47"/>
        <v>10</v>
      </c>
      <c r="Q211" s="1025">
        <f t="shared" si="47"/>
        <v>0</v>
      </c>
      <c r="R211" s="1025">
        <f t="shared" si="47"/>
        <v>14</v>
      </c>
      <c r="S211" s="1025">
        <f t="shared" si="47"/>
        <v>14</v>
      </c>
      <c r="T211" s="1025">
        <f t="shared" ref="T211:W211" si="48">COUNTIF(T197:T210,"&lt;=10")</f>
        <v>14</v>
      </c>
      <c r="U211" s="1025">
        <f t="shared" si="48"/>
        <v>13</v>
      </c>
      <c r="V211" s="1025">
        <f t="shared" si="48"/>
        <v>11</v>
      </c>
      <c r="W211" s="1025">
        <f t="shared" si="48"/>
        <v>9</v>
      </c>
      <c r="X211" s="770"/>
      <c r="Y211" s="4"/>
      <c r="Z211" s="4"/>
      <c r="AA211" s="4"/>
    </row>
    <row r="212" spans="1:27" s="1096" customFormat="1">
      <c r="A212" s="114"/>
      <c r="B212" s="114"/>
      <c r="C212" s="775" t="s">
        <v>287</v>
      </c>
      <c r="D212" s="1027">
        <f>COUNT(D197:D210)</f>
        <v>14</v>
      </c>
      <c r="E212" s="1027">
        <f t="shared" ref="E212:S212" si="49">COUNT(E197:E210)</f>
        <v>14</v>
      </c>
      <c r="F212" s="1027">
        <f t="shared" si="49"/>
        <v>14</v>
      </c>
      <c r="G212" s="1027">
        <f t="shared" si="49"/>
        <v>14</v>
      </c>
      <c r="H212" s="1027">
        <f t="shared" si="49"/>
        <v>14</v>
      </c>
      <c r="I212" s="1027">
        <f t="shared" si="49"/>
        <v>14</v>
      </c>
      <c r="J212" s="1027">
        <f t="shared" si="49"/>
        <v>14</v>
      </c>
      <c r="K212" s="1027">
        <f t="shared" si="49"/>
        <v>14</v>
      </c>
      <c r="L212" s="1027">
        <f t="shared" si="49"/>
        <v>14</v>
      </c>
      <c r="M212" s="1027">
        <f t="shared" si="49"/>
        <v>14</v>
      </c>
      <c r="N212" s="2084">
        <f t="shared" si="49"/>
        <v>0</v>
      </c>
      <c r="O212" s="1027">
        <f t="shared" si="49"/>
        <v>0</v>
      </c>
      <c r="P212" s="1027">
        <f t="shared" si="49"/>
        <v>14</v>
      </c>
      <c r="Q212" s="1027">
        <f t="shared" si="49"/>
        <v>0</v>
      </c>
      <c r="R212" s="1027">
        <f t="shared" si="49"/>
        <v>14</v>
      </c>
      <c r="S212" s="1027">
        <f t="shared" si="49"/>
        <v>14</v>
      </c>
      <c r="T212" s="1027">
        <f t="shared" ref="T212:W212" si="50">COUNT(T197:T210)</f>
        <v>14</v>
      </c>
      <c r="U212" s="1027">
        <f t="shared" si="50"/>
        <v>14</v>
      </c>
      <c r="V212" s="1027">
        <f t="shared" si="50"/>
        <v>14</v>
      </c>
      <c r="W212" s="1027">
        <f t="shared" si="50"/>
        <v>14</v>
      </c>
      <c r="X212" s="770"/>
      <c r="Y212" s="4"/>
      <c r="Z212" s="4"/>
      <c r="AA212" s="4"/>
    </row>
    <row r="213" spans="1:27" s="1106" customFormat="1">
      <c r="A213" s="114"/>
      <c r="B213" s="114"/>
      <c r="C213" s="775" t="s">
        <v>286</v>
      </c>
      <c r="D213" s="1026">
        <f>D211/D212</f>
        <v>0.8571428571428571</v>
      </c>
      <c r="E213" s="1026">
        <f t="shared" ref="E213:S213" si="51">E211/E212</f>
        <v>0.8571428571428571</v>
      </c>
      <c r="F213" s="1026">
        <f t="shared" si="51"/>
        <v>0.9285714285714286</v>
      </c>
      <c r="G213" s="1026">
        <f t="shared" si="51"/>
        <v>0.9285714285714286</v>
      </c>
      <c r="H213" s="1026">
        <f t="shared" si="51"/>
        <v>0.9285714285714286</v>
      </c>
      <c r="I213" s="1026">
        <f t="shared" si="51"/>
        <v>0.9285714285714286</v>
      </c>
      <c r="J213" s="1026">
        <f t="shared" si="51"/>
        <v>1</v>
      </c>
      <c r="K213" s="1026">
        <f t="shared" si="51"/>
        <v>1</v>
      </c>
      <c r="L213" s="1026">
        <f t="shared" si="51"/>
        <v>0.8571428571428571</v>
      </c>
      <c r="M213" s="1026">
        <f t="shared" si="51"/>
        <v>0.7857142857142857</v>
      </c>
      <c r="N213" s="2085" t="e">
        <f t="shared" si="51"/>
        <v>#DIV/0!</v>
      </c>
      <c r="O213" s="1026" t="e">
        <f t="shared" si="51"/>
        <v>#DIV/0!</v>
      </c>
      <c r="P213" s="1026">
        <f t="shared" si="51"/>
        <v>0.7142857142857143</v>
      </c>
      <c r="Q213" s="1026" t="e">
        <f t="shared" si="51"/>
        <v>#DIV/0!</v>
      </c>
      <c r="R213" s="1026">
        <f t="shared" si="51"/>
        <v>1</v>
      </c>
      <c r="S213" s="1026">
        <f t="shared" si="51"/>
        <v>1</v>
      </c>
      <c r="T213" s="1026">
        <f t="shared" ref="T213:W213" si="52">T211/T212</f>
        <v>1</v>
      </c>
      <c r="U213" s="1026">
        <f t="shared" si="52"/>
        <v>0.9285714285714286</v>
      </c>
      <c r="V213" s="1026">
        <f t="shared" si="52"/>
        <v>0.7857142857142857</v>
      </c>
      <c r="W213" s="1026">
        <f t="shared" si="52"/>
        <v>0.6428571428571429</v>
      </c>
      <c r="X213" s="770"/>
      <c r="Y213" s="4"/>
      <c r="Z213" s="4"/>
      <c r="AA213" s="4"/>
    </row>
    <row r="214" spans="1:27" s="1096" customFormat="1">
      <c r="A214" s="771"/>
      <c r="B214" s="1022"/>
      <c r="C214" s="771"/>
      <c r="D214" s="771"/>
      <c r="E214" s="771"/>
      <c r="F214" s="771"/>
      <c r="G214" s="771"/>
      <c r="H214" s="771"/>
      <c r="I214" s="771"/>
      <c r="J214" s="771"/>
      <c r="K214" s="771"/>
      <c r="L214" s="771"/>
      <c r="M214" s="771"/>
      <c r="N214" s="2099"/>
      <c r="O214" s="771"/>
      <c r="P214" s="771"/>
      <c r="Q214" s="771"/>
      <c r="R214" s="771"/>
      <c r="S214" s="771"/>
      <c r="T214" s="771"/>
      <c r="U214" s="771"/>
      <c r="V214" s="771"/>
      <c r="W214" s="771"/>
      <c r="X214" s="334"/>
      <c r="Y214" s="61"/>
      <c r="Z214" s="61"/>
      <c r="AA214" s="61"/>
    </row>
    <row r="215" spans="1:27" s="1096" customFormat="1">
      <c r="A215"/>
      <c r="B215" s="11"/>
      <c r="C215"/>
      <c r="D215"/>
      <c r="E215"/>
      <c r="F215"/>
      <c r="G215"/>
      <c r="H215"/>
      <c r="I215"/>
      <c r="J215"/>
      <c r="K215"/>
      <c r="L215"/>
      <c r="M215" s="61"/>
      <c r="N215" s="170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</row>
    <row r="216" spans="1:27" s="1106" customFormat="1">
      <c r="A216" s="3535" t="s">
        <v>291</v>
      </c>
      <c r="B216" s="3535" t="s">
        <v>301</v>
      </c>
      <c r="C216" s="3535" t="s">
        <v>284</v>
      </c>
      <c r="D216" s="3532" t="s">
        <v>285</v>
      </c>
      <c r="E216" s="3533"/>
      <c r="F216" s="3533"/>
      <c r="G216" s="3533"/>
      <c r="H216" s="3533"/>
      <c r="I216" s="3533"/>
      <c r="J216" s="3533"/>
      <c r="K216" s="3533"/>
      <c r="L216" s="3533"/>
      <c r="M216" s="3533"/>
      <c r="N216" s="3533"/>
      <c r="O216" s="3533"/>
      <c r="P216" s="3533"/>
      <c r="Q216" s="3533"/>
      <c r="R216" s="3533"/>
      <c r="S216" s="3533"/>
      <c r="T216" s="3533"/>
      <c r="U216" s="3533"/>
      <c r="V216" s="3533"/>
      <c r="W216" s="3533"/>
      <c r="X216" s="3534"/>
      <c r="Y216" s="4"/>
      <c r="Z216" s="4"/>
      <c r="AA216" s="4"/>
    </row>
    <row r="217" spans="1:27" s="1096" customFormat="1">
      <c r="A217" s="3536"/>
      <c r="B217" s="3536"/>
      <c r="C217" s="3536"/>
      <c r="D217" s="3532">
        <v>2011</v>
      </c>
      <c r="E217" s="3533"/>
      <c r="F217" s="3533"/>
      <c r="G217" s="3534"/>
      <c r="H217" s="3532">
        <v>2012</v>
      </c>
      <c r="I217" s="3533"/>
      <c r="J217" s="3533"/>
      <c r="K217" s="3534"/>
      <c r="L217" s="3532">
        <v>2013</v>
      </c>
      <c r="M217" s="3533"/>
      <c r="N217" s="3533"/>
      <c r="O217" s="3534"/>
      <c r="P217" s="3532">
        <v>2014</v>
      </c>
      <c r="Q217" s="3533"/>
      <c r="R217" s="3533"/>
      <c r="S217" s="3534"/>
      <c r="T217" s="3532">
        <v>2015</v>
      </c>
      <c r="U217" s="3533"/>
      <c r="V217" s="3533"/>
      <c r="W217" s="3534"/>
      <c r="X217" s="1103"/>
      <c r="Y217" s="4"/>
      <c r="Z217" s="4"/>
      <c r="AA217" s="4"/>
    </row>
    <row r="218" spans="1:27" s="1096" customFormat="1">
      <c r="A218" s="3537"/>
      <c r="B218" s="3537"/>
      <c r="C218" s="3537"/>
      <c r="D218" s="1100" t="s">
        <v>2</v>
      </c>
      <c r="E218" s="1100" t="s">
        <v>3</v>
      </c>
      <c r="F218" s="1100" t="s">
        <v>4</v>
      </c>
      <c r="G218" s="1100" t="s">
        <v>5</v>
      </c>
      <c r="H218" s="1100" t="s">
        <v>2</v>
      </c>
      <c r="I218" s="1100" t="s">
        <v>3</v>
      </c>
      <c r="J218" s="1100" t="s">
        <v>4</v>
      </c>
      <c r="K218" s="1100" t="s">
        <v>5</v>
      </c>
      <c r="L218" s="1100" t="s">
        <v>2</v>
      </c>
      <c r="M218" s="1100" t="s">
        <v>3</v>
      </c>
      <c r="N218" s="1100" t="s">
        <v>4</v>
      </c>
      <c r="O218" s="1100" t="s">
        <v>5</v>
      </c>
      <c r="P218" s="1100" t="s">
        <v>2</v>
      </c>
      <c r="Q218" s="1100" t="s">
        <v>3</v>
      </c>
      <c r="R218" s="1100" t="s">
        <v>4</v>
      </c>
      <c r="S218" s="1100" t="s">
        <v>5</v>
      </c>
      <c r="T218" s="1100" t="s">
        <v>2</v>
      </c>
      <c r="U218" s="1100" t="s">
        <v>3</v>
      </c>
      <c r="V218" s="1100" t="s">
        <v>4</v>
      </c>
      <c r="W218" s="1100" t="s">
        <v>5</v>
      </c>
      <c r="X218" s="1103"/>
      <c r="Y218" s="4"/>
      <c r="Z218" s="4"/>
      <c r="AA218" s="4"/>
    </row>
    <row r="219" spans="1:27" s="1106" customFormat="1">
      <c r="A219" s="3569" t="s">
        <v>125</v>
      </c>
      <c r="B219" s="3581" t="s">
        <v>16</v>
      </c>
      <c r="C219" s="3535">
        <f>COUNTA(A11:A14)</f>
        <v>4</v>
      </c>
      <c r="D219" s="1556">
        <f>COUNTIF(D11:D14,"&lt;=10")</f>
        <v>0</v>
      </c>
      <c r="E219" s="1556">
        <f t="shared" ref="E219:S219" si="53">COUNTIF(E11:E14,"&lt;=10")</f>
        <v>0</v>
      </c>
      <c r="F219" s="1556">
        <f t="shared" si="53"/>
        <v>0</v>
      </c>
      <c r="G219" s="1556">
        <f t="shared" si="53"/>
        <v>0</v>
      </c>
      <c r="H219" s="1556">
        <f t="shared" si="53"/>
        <v>0</v>
      </c>
      <c r="I219" s="1556">
        <f t="shared" si="53"/>
        <v>4</v>
      </c>
      <c r="J219" s="1556">
        <f t="shared" si="53"/>
        <v>4</v>
      </c>
      <c r="K219" s="1556">
        <f t="shared" si="53"/>
        <v>4</v>
      </c>
      <c r="L219" s="1556">
        <f t="shared" si="53"/>
        <v>4</v>
      </c>
      <c r="M219" s="1556">
        <f t="shared" si="53"/>
        <v>0</v>
      </c>
      <c r="N219" s="1868">
        <f t="shared" si="53"/>
        <v>4</v>
      </c>
      <c r="O219" s="1556">
        <f t="shared" si="53"/>
        <v>0</v>
      </c>
      <c r="P219" s="1556">
        <f t="shared" si="53"/>
        <v>4</v>
      </c>
      <c r="Q219" s="1556">
        <f t="shared" si="53"/>
        <v>4</v>
      </c>
      <c r="R219" s="1556">
        <f t="shared" si="53"/>
        <v>4</v>
      </c>
      <c r="S219" s="1556">
        <f t="shared" si="53"/>
        <v>4</v>
      </c>
      <c r="T219" s="3001">
        <f t="shared" ref="T219:W219" si="54">COUNTIF(T11:T14,"&lt;=10")</f>
        <v>0</v>
      </c>
      <c r="U219" s="3001">
        <f t="shared" si="54"/>
        <v>0</v>
      </c>
      <c r="V219" s="3001">
        <f t="shared" si="54"/>
        <v>0</v>
      </c>
      <c r="W219" s="3001">
        <f t="shared" si="54"/>
        <v>4</v>
      </c>
      <c r="X219" s="1556">
        <f>COUNTIF(AD11:AD14,"&lt;=10")</f>
        <v>0</v>
      </c>
      <c r="Y219" s="1096"/>
      <c r="Z219" s="1096"/>
      <c r="AA219" s="1096"/>
    </row>
    <row r="220" spans="1:27" s="1096" customFormat="1">
      <c r="A220" s="3570"/>
      <c r="B220" s="3582"/>
      <c r="C220" s="3536"/>
      <c r="D220" s="1558">
        <f>COUNT(D11:D14)</f>
        <v>0</v>
      </c>
      <c r="E220" s="1558">
        <f t="shared" ref="E220:S220" si="55">COUNT(E11:E14)</f>
        <v>0</v>
      </c>
      <c r="F220" s="1558">
        <f t="shared" si="55"/>
        <v>0</v>
      </c>
      <c r="G220" s="1558">
        <f t="shared" si="55"/>
        <v>0</v>
      </c>
      <c r="H220" s="1558">
        <f t="shared" si="55"/>
        <v>0</v>
      </c>
      <c r="I220" s="1558">
        <f t="shared" si="55"/>
        <v>4</v>
      </c>
      <c r="J220" s="1558">
        <f t="shared" si="55"/>
        <v>4</v>
      </c>
      <c r="K220" s="1558">
        <f t="shared" si="55"/>
        <v>4</v>
      </c>
      <c r="L220" s="1558">
        <f t="shared" si="55"/>
        <v>4</v>
      </c>
      <c r="M220" s="1558">
        <f t="shared" si="55"/>
        <v>0</v>
      </c>
      <c r="N220" s="1869">
        <f t="shared" si="55"/>
        <v>4</v>
      </c>
      <c r="O220" s="1558">
        <f t="shared" si="55"/>
        <v>0</v>
      </c>
      <c r="P220" s="1558">
        <f t="shared" si="55"/>
        <v>4</v>
      </c>
      <c r="Q220" s="1558">
        <f t="shared" si="55"/>
        <v>4</v>
      </c>
      <c r="R220" s="1558">
        <f t="shared" si="55"/>
        <v>4</v>
      </c>
      <c r="S220" s="1558">
        <f t="shared" si="55"/>
        <v>4</v>
      </c>
      <c r="T220" s="3002">
        <f t="shared" ref="T220:W220" si="56">COUNT(T11:T14)</f>
        <v>0</v>
      </c>
      <c r="U220" s="3002">
        <f t="shared" si="56"/>
        <v>0</v>
      </c>
      <c r="V220" s="3002">
        <f t="shared" si="56"/>
        <v>0</v>
      </c>
      <c r="W220" s="3002">
        <f t="shared" si="56"/>
        <v>4</v>
      </c>
      <c r="X220" s="1558">
        <f>COUNT(AD11:AD14)</f>
        <v>0</v>
      </c>
      <c r="Y220" s="1106"/>
      <c r="Z220" s="1106"/>
      <c r="AA220" s="1106"/>
    </row>
    <row r="221" spans="1:27" s="1096" customFormat="1">
      <c r="A221" s="3570"/>
      <c r="B221" s="3583"/>
      <c r="C221" s="3537"/>
      <c r="D221" s="1557" t="e">
        <f>D219/D220</f>
        <v>#DIV/0!</v>
      </c>
      <c r="E221" s="1557" t="e">
        <f>E219/E220</f>
        <v>#DIV/0!</v>
      </c>
      <c r="F221" s="1557" t="e">
        <f t="shared" ref="F221:X221" si="57">F219/F220</f>
        <v>#DIV/0!</v>
      </c>
      <c r="G221" s="1557" t="e">
        <f t="shared" si="57"/>
        <v>#DIV/0!</v>
      </c>
      <c r="H221" s="1557" t="e">
        <f t="shared" si="57"/>
        <v>#DIV/0!</v>
      </c>
      <c r="I221" s="1557">
        <f t="shared" si="57"/>
        <v>1</v>
      </c>
      <c r="J221" s="1557">
        <f t="shared" si="57"/>
        <v>1</v>
      </c>
      <c r="K221" s="1557">
        <f t="shared" si="57"/>
        <v>1</v>
      </c>
      <c r="L221" s="1557">
        <f t="shared" si="57"/>
        <v>1</v>
      </c>
      <c r="M221" s="1557" t="e">
        <f t="shared" si="57"/>
        <v>#DIV/0!</v>
      </c>
      <c r="N221" s="1557">
        <f t="shared" si="57"/>
        <v>1</v>
      </c>
      <c r="O221" s="1557" t="e">
        <f t="shared" si="57"/>
        <v>#DIV/0!</v>
      </c>
      <c r="P221" s="1557">
        <f t="shared" si="57"/>
        <v>1</v>
      </c>
      <c r="Q221" s="1557">
        <f t="shared" si="57"/>
        <v>1</v>
      </c>
      <c r="R221" s="1557">
        <f t="shared" si="57"/>
        <v>1</v>
      </c>
      <c r="S221" s="1557">
        <f t="shared" si="57"/>
        <v>1</v>
      </c>
      <c r="T221" s="1557" t="e">
        <f t="shared" ref="T221:W221" si="58">T219/T220</f>
        <v>#DIV/0!</v>
      </c>
      <c r="U221" s="1557" t="e">
        <f t="shared" si="58"/>
        <v>#DIV/0!</v>
      </c>
      <c r="V221" s="1557" t="e">
        <f t="shared" si="58"/>
        <v>#DIV/0!</v>
      </c>
      <c r="W221" s="1557">
        <f t="shared" si="58"/>
        <v>1</v>
      </c>
      <c r="X221" s="1557" t="e">
        <f t="shared" si="57"/>
        <v>#DIV/0!</v>
      </c>
    </row>
    <row r="222" spans="1:27" s="1106" customFormat="1">
      <c r="A222" s="3570"/>
      <c r="B222" s="3581" t="s">
        <v>131</v>
      </c>
      <c r="C222" s="3535">
        <f>COUNTA(A15:A17)</f>
        <v>3</v>
      </c>
      <c r="D222" s="1556">
        <f>COUNTIF(D15:D17,"&lt;=10")</f>
        <v>0</v>
      </c>
      <c r="E222" s="1556">
        <f t="shared" ref="E222:S222" si="59">COUNTIF(E15:E17,"&lt;=10")</f>
        <v>0</v>
      </c>
      <c r="F222" s="1556">
        <f t="shared" si="59"/>
        <v>0</v>
      </c>
      <c r="G222" s="1556">
        <f t="shared" si="59"/>
        <v>0</v>
      </c>
      <c r="H222" s="1556">
        <f t="shared" si="59"/>
        <v>0</v>
      </c>
      <c r="I222" s="1556">
        <f t="shared" si="59"/>
        <v>3</v>
      </c>
      <c r="J222" s="1556">
        <f t="shared" si="59"/>
        <v>3</v>
      </c>
      <c r="K222" s="1556">
        <f t="shared" si="59"/>
        <v>3</v>
      </c>
      <c r="L222" s="1556">
        <f t="shared" si="59"/>
        <v>3</v>
      </c>
      <c r="M222" s="1556">
        <f t="shared" si="59"/>
        <v>0</v>
      </c>
      <c r="N222" s="1868">
        <f t="shared" si="59"/>
        <v>3</v>
      </c>
      <c r="O222" s="1556">
        <f t="shared" si="59"/>
        <v>0</v>
      </c>
      <c r="P222" s="1556">
        <f t="shared" si="59"/>
        <v>3</v>
      </c>
      <c r="Q222" s="1556">
        <f t="shared" si="59"/>
        <v>3</v>
      </c>
      <c r="R222" s="1556">
        <f t="shared" si="59"/>
        <v>3</v>
      </c>
      <c r="S222" s="1556">
        <f t="shared" si="59"/>
        <v>3</v>
      </c>
      <c r="T222" s="3001">
        <f t="shared" ref="T222:W222" si="60">COUNTIF(T15:T17,"&lt;=10")</f>
        <v>3</v>
      </c>
      <c r="U222" s="3001">
        <f t="shared" si="60"/>
        <v>3</v>
      </c>
      <c r="V222" s="3001">
        <f t="shared" si="60"/>
        <v>3</v>
      </c>
      <c r="W222" s="3001">
        <f t="shared" si="60"/>
        <v>3</v>
      </c>
      <c r="X222" s="1556">
        <f>COUNTIF(AD15:AD17,"&lt;=10")</f>
        <v>0</v>
      </c>
      <c r="Y222" s="1096"/>
      <c r="Z222" s="1096"/>
      <c r="AA222" s="1096"/>
    </row>
    <row r="223" spans="1:27" s="1096" customFormat="1">
      <c r="A223" s="3570"/>
      <c r="B223" s="3582"/>
      <c r="C223" s="3536"/>
      <c r="D223" s="1558">
        <f>COUNT(D15:D17)</f>
        <v>0</v>
      </c>
      <c r="E223" s="1558">
        <f t="shared" ref="E223:S223" si="61">COUNT(E15:E17)</f>
        <v>0</v>
      </c>
      <c r="F223" s="1558">
        <f t="shared" si="61"/>
        <v>0</v>
      </c>
      <c r="G223" s="1558">
        <f t="shared" si="61"/>
        <v>0</v>
      </c>
      <c r="H223" s="1558">
        <f t="shared" si="61"/>
        <v>0</v>
      </c>
      <c r="I223" s="1558">
        <f t="shared" si="61"/>
        <v>3</v>
      </c>
      <c r="J223" s="1558">
        <f t="shared" si="61"/>
        <v>3</v>
      </c>
      <c r="K223" s="1558">
        <f t="shared" si="61"/>
        <v>3</v>
      </c>
      <c r="L223" s="1558">
        <f t="shared" si="61"/>
        <v>3</v>
      </c>
      <c r="M223" s="1558">
        <f t="shared" si="61"/>
        <v>0</v>
      </c>
      <c r="N223" s="1869">
        <f t="shared" si="61"/>
        <v>3</v>
      </c>
      <c r="O223" s="1558">
        <f t="shared" si="61"/>
        <v>0</v>
      </c>
      <c r="P223" s="1558">
        <f t="shared" si="61"/>
        <v>3</v>
      </c>
      <c r="Q223" s="1558">
        <f t="shared" si="61"/>
        <v>3</v>
      </c>
      <c r="R223" s="1558">
        <f t="shared" si="61"/>
        <v>3</v>
      </c>
      <c r="S223" s="1558">
        <f t="shared" si="61"/>
        <v>3</v>
      </c>
      <c r="T223" s="3002">
        <f t="shared" ref="T223:W223" si="62">COUNT(T15:T17)</f>
        <v>3</v>
      </c>
      <c r="U223" s="3002">
        <f t="shared" si="62"/>
        <v>3</v>
      </c>
      <c r="V223" s="3002">
        <f t="shared" si="62"/>
        <v>3</v>
      </c>
      <c r="W223" s="3002">
        <f t="shared" si="62"/>
        <v>3</v>
      </c>
      <c r="X223" s="1558">
        <f>COUNT(AD15:AD17)</f>
        <v>0</v>
      </c>
      <c r="Y223" s="1106"/>
      <c r="Z223" s="1106"/>
      <c r="AA223" s="1106"/>
    </row>
    <row r="224" spans="1:27" s="1096" customFormat="1">
      <c r="A224" s="3570"/>
      <c r="B224" s="3583"/>
      <c r="C224" s="3537"/>
      <c r="D224" s="1557" t="e">
        <f>D222/D223</f>
        <v>#DIV/0!</v>
      </c>
      <c r="E224" s="1557" t="e">
        <f>E222/E223</f>
        <v>#DIV/0!</v>
      </c>
      <c r="F224" s="1557" t="e">
        <f t="shared" ref="F224:X224" si="63">F222/F223</f>
        <v>#DIV/0!</v>
      </c>
      <c r="G224" s="1557" t="e">
        <f t="shared" si="63"/>
        <v>#DIV/0!</v>
      </c>
      <c r="H224" s="1557" t="e">
        <f t="shared" si="63"/>
        <v>#DIV/0!</v>
      </c>
      <c r="I224" s="1557">
        <f t="shared" si="63"/>
        <v>1</v>
      </c>
      <c r="J224" s="1557">
        <f t="shared" si="63"/>
        <v>1</v>
      </c>
      <c r="K224" s="1557">
        <f t="shared" si="63"/>
        <v>1</v>
      </c>
      <c r="L224" s="1557">
        <f t="shared" si="63"/>
        <v>1</v>
      </c>
      <c r="M224" s="1557" t="e">
        <f t="shared" si="63"/>
        <v>#DIV/0!</v>
      </c>
      <c r="N224" s="1557">
        <f t="shared" si="63"/>
        <v>1</v>
      </c>
      <c r="O224" s="1557" t="e">
        <f t="shared" si="63"/>
        <v>#DIV/0!</v>
      </c>
      <c r="P224" s="1557">
        <f t="shared" si="63"/>
        <v>1</v>
      </c>
      <c r="Q224" s="1557">
        <f t="shared" si="63"/>
        <v>1</v>
      </c>
      <c r="R224" s="1557">
        <f t="shared" si="63"/>
        <v>1</v>
      </c>
      <c r="S224" s="1557">
        <f t="shared" si="63"/>
        <v>1</v>
      </c>
      <c r="T224" s="1557">
        <f t="shared" ref="T224:W224" si="64">T222/T223</f>
        <v>1</v>
      </c>
      <c r="U224" s="1557">
        <f t="shared" si="64"/>
        <v>1</v>
      </c>
      <c r="V224" s="1557">
        <f t="shared" si="64"/>
        <v>1</v>
      </c>
      <c r="W224" s="1557">
        <f t="shared" si="64"/>
        <v>1</v>
      </c>
      <c r="X224" s="1557" t="e">
        <f t="shared" si="63"/>
        <v>#DIV/0!</v>
      </c>
    </row>
    <row r="225" spans="1:27" s="1106" customFormat="1">
      <c r="A225" s="3570"/>
      <c r="B225" s="3581" t="s">
        <v>185</v>
      </c>
      <c r="C225" s="3535">
        <f>COUNTA(A18:A20)</f>
        <v>3</v>
      </c>
      <c r="D225" s="1556">
        <f>COUNTIF(D18:D20,"&lt;=10")</f>
        <v>0</v>
      </c>
      <c r="E225" s="1556">
        <f t="shared" ref="E225:S225" si="65">COUNTIF(E18:E20,"&lt;=10")</f>
        <v>0</v>
      </c>
      <c r="F225" s="1556">
        <f t="shared" si="65"/>
        <v>0</v>
      </c>
      <c r="G225" s="1556">
        <f t="shared" si="65"/>
        <v>0</v>
      </c>
      <c r="H225" s="1556">
        <f t="shared" si="65"/>
        <v>0</v>
      </c>
      <c r="I225" s="1556">
        <f t="shared" si="65"/>
        <v>3</v>
      </c>
      <c r="J225" s="1556">
        <f t="shared" si="65"/>
        <v>3</v>
      </c>
      <c r="K225" s="1556">
        <f t="shared" si="65"/>
        <v>3</v>
      </c>
      <c r="L225" s="1556">
        <f t="shared" si="65"/>
        <v>0</v>
      </c>
      <c r="M225" s="1556">
        <f t="shared" si="65"/>
        <v>0</v>
      </c>
      <c r="N225" s="1868">
        <f t="shared" si="65"/>
        <v>0</v>
      </c>
      <c r="O225" s="1556">
        <f t="shared" si="65"/>
        <v>0</v>
      </c>
      <c r="P225" s="1556">
        <f t="shared" si="65"/>
        <v>3</v>
      </c>
      <c r="Q225" s="1556">
        <f t="shared" si="65"/>
        <v>3</v>
      </c>
      <c r="R225" s="1556">
        <f t="shared" si="65"/>
        <v>3</v>
      </c>
      <c r="S225" s="1556">
        <f t="shared" si="65"/>
        <v>3</v>
      </c>
      <c r="T225" s="3001">
        <f t="shared" ref="T225:W225" si="66">COUNTIF(T18:T20,"&lt;=10")</f>
        <v>0</v>
      </c>
      <c r="U225" s="3001">
        <f t="shared" si="66"/>
        <v>0</v>
      </c>
      <c r="V225" s="3001">
        <f t="shared" si="66"/>
        <v>0</v>
      </c>
      <c r="W225" s="3001">
        <f t="shared" si="66"/>
        <v>3</v>
      </c>
      <c r="X225" s="1556">
        <f>COUNTIF(AD18:AD20,"&lt;=10")</f>
        <v>0</v>
      </c>
      <c r="Y225" s="1096"/>
      <c r="Z225" s="1096"/>
      <c r="AA225" s="1096"/>
    </row>
    <row r="226" spans="1:27" s="1096" customFormat="1">
      <c r="A226" s="3570"/>
      <c r="B226" s="3582"/>
      <c r="C226" s="3536"/>
      <c r="D226" s="1558">
        <f>COUNT(D18:D20)</f>
        <v>0</v>
      </c>
      <c r="E226" s="1558">
        <f t="shared" ref="E226:S226" si="67">COUNT(E18:E20)</f>
        <v>0</v>
      </c>
      <c r="F226" s="1558">
        <f t="shared" si="67"/>
        <v>0</v>
      </c>
      <c r="G226" s="1558">
        <f t="shared" si="67"/>
        <v>0</v>
      </c>
      <c r="H226" s="1558">
        <f t="shared" si="67"/>
        <v>0</v>
      </c>
      <c r="I226" s="1558">
        <f t="shared" si="67"/>
        <v>3</v>
      </c>
      <c r="J226" s="1558">
        <f t="shared" si="67"/>
        <v>3</v>
      </c>
      <c r="K226" s="1558">
        <f t="shared" si="67"/>
        <v>3</v>
      </c>
      <c r="L226" s="1558">
        <f t="shared" si="67"/>
        <v>0</v>
      </c>
      <c r="M226" s="1558">
        <f t="shared" si="67"/>
        <v>0</v>
      </c>
      <c r="N226" s="1869">
        <f t="shared" si="67"/>
        <v>0</v>
      </c>
      <c r="O226" s="1558">
        <f t="shared" si="67"/>
        <v>0</v>
      </c>
      <c r="P226" s="1558">
        <f t="shared" si="67"/>
        <v>3</v>
      </c>
      <c r="Q226" s="1558">
        <f t="shared" si="67"/>
        <v>3</v>
      </c>
      <c r="R226" s="1558">
        <f t="shared" si="67"/>
        <v>3</v>
      </c>
      <c r="S226" s="1558">
        <f t="shared" si="67"/>
        <v>3</v>
      </c>
      <c r="T226" s="3002">
        <f t="shared" ref="T226:W226" si="68">COUNT(T18:T20)</f>
        <v>0</v>
      </c>
      <c r="U226" s="3002">
        <f t="shared" si="68"/>
        <v>0</v>
      </c>
      <c r="V226" s="3002">
        <f t="shared" si="68"/>
        <v>0</v>
      </c>
      <c r="W226" s="3002">
        <f t="shared" si="68"/>
        <v>3</v>
      </c>
      <c r="X226" s="1558">
        <f>COUNT(AD18:AD20)</f>
        <v>0</v>
      </c>
      <c r="Y226" s="1106"/>
      <c r="Z226" s="1106"/>
      <c r="AA226" s="1106"/>
    </row>
    <row r="227" spans="1:27" s="1096" customFormat="1">
      <c r="A227" s="3570"/>
      <c r="B227" s="3583"/>
      <c r="C227" s="3537"/>
      <c r="D227" s="1557" t="e">
        <f>D225/D226</f>
        <v>#DIV/0!</v>
      </c>
      <c r="E227" s="1557" t="e">
        <f t="shared" ref="E227:X227" si="69">E225/E226</f>
        <v>#DIV/0!</v>
      </c>
      <c r="F227" s="1557" t="e">
        <f t="shared" si="69"/>
        <v>#DIV/0!</v>
      </c>
      <c r="G227" s="1557" t="e">
        <f t="shared" si="69"/>
        <v>#DIV/0!</v>
      </c>
      <c r="H227" s="1557" t="e">
        <f t="shared" si="69"/>
        <v>#DIV/0!</v>
      </c>
      <c r="I227" s="1557">
        <f t="shared" si="69"/>
        <v>1</v>
      </c>
      <c r="J227" s="1557">
        <f t="shared" si="69"/>
        <v>1</v>
      </c>
      <c r="K227" s="1557">
        <f t="shared" si="69"/>
        <v>1</v>
      </c>
      <c r="L227" s="1557" t="e">
        <f t="shared" si="69"/>
        <v>#DIV/0!</v>
      </c>
      <c r="M227" s="1557" t="e">
        <f t="shared" si="69"/>
        <v>#DIV/0!</v>
      </c>
      <c r="N227" s="1557" t="e">
        <f t="shared" si="69"/>
        <v>#DIV/0!</v>
      </c>
      <c r="O227" s="1557" t="e">
        <f t="shared" si="69"/>
        <v>#DIV/0!</v>
      </c>
      <c r="P227" s="1557">
        <f t="shared" si="69"/>
        <v>1</v>
      </c>
      <c r="Q227" s="1557">
        <f t="shared" si="69"/>
        <v>1</v>
      </c>
      <c r="R227" s="1557">
        <f t="shared" si="69"/>
        <v>1</v>
      </c>
      <c r="S227" s="1557">
        <f t="shared" si="69"/>
        <v>1</v>
      </c>
      <c r="T227" s="1557" t="e">
        <f t="shared" ref="T227:W227" si="70">T225/T226</f>
        <v>#DIV/0!</v>
      </c>
      <c r="U227" s="1557" t="e">
        <f t="shared" si="70"/>
        <v>#DIV/0!</v>
      </c>
      <c r="V227" s="1557" t="e">
        <f t="shared" si="70"/>
        <v>#DIV/0!</v>
      </c>
      <c r="W227" s="1557">
        <f t="shared" si="70"/>
        <v>1</v>
      </c>
      <c r="X227" s="1557" t="e">
        <f t="shared" si="69"/>
        <v>#DIV/0!</v>
      </c>
    </row>
    <row r="228" spans="1:27" s="1106" customFormat="1">
      <c r="A228" s="3570"/>
      <c r="B228" s="3581" t="s">
        <v>132</v>
      </c>
      <c r="C228" s="3535">
        <f>COUNTA(A21:A25)</f>
        <v>5</v>
      </c>
      <c r="D228" s="1556">
        <f>COUNTIF(D21:D25,"&lt;=10")</f>
        <v>0</v>
      </c>
      <c r="E228" s="1556">
        <f t="shared" ref="E228:S228" si="71">COUNTIF(E21:E25,"&lt;=10")</f>
        <v>0</v>
      </c>
      <c r="F228" s="1556">
        <f t="shared" si="71"/>
        <v>0</v>
      </c>
      <c r="G228" s="1556">
        <f t="shared" si="71"/>
        <v>0</v>
      </c>
      <c r="H228" s="1556">
        <f t="shared" si="71"/>
        <v>0</v>
      </c>
      <c r="I228" s="1556">
        <f t="shared" si="71"/>
        <v>5</v>
      </c>
      <c r="J228" s="1556">
        <f t="shared" si="71"/>
        <v>5</v>
      </c>
      <c r="K228" s="1556">
        <f t="shared" si="71"/>
        <v>5</v>
      </c>
      <c r="L228" s="1556">
        <f t="shared" si="71"/>
        <v>5</v>
      </c>
      <c r="M228" s="1556">
        <f t="shared" si="71"/>
        <v>0</v>
      </c>
      <c r="N228" s="1868">
        <f t="shared" si="71"/>
        <v>5</v>
      </c>
      <c r="O228" s="1556">
        <f t="shared" si="71"/>
        <v>0</v>
      </c>
      <c r="P228" s="1556">
        <f t="shared" si="71"/>
        <v>5</v>
      </c>
      <c r="Q228" s="1556">
        <f t="shared" si="71"/>
        <v>5</v>
      </c>
      <c r="R228" s="1556">
        <f t="shared" si="71"/>
        <v>5</v>
      </c>
      <c r="S228" s="1556">
        <f t="shared" si="71"/>
        <v>5</v>
      </c>
      <c r="T228" s="3001">
        <f t="shared" ref="T228:W228" si="72">COUNTIF(T21:T25,"&lt;=10")</f>
        <v>5</v>
      </c>
      <c r="U228" s="3001">
        <f t="shared" si="72"/>
        <v>5</v>
      </c>
      <c r="V228" s="3001">
        <f t="shared" si="72"/>
        <v>5</v>
      </c>
      <c r="W228" s="3001">
        <f t="shared" si="72"/>
        <v>5</v>
      </c>
      <c r="X228" s="1556">
        <f>COUNTIF(AD21:AD25,"&lt;=10")</f>
        <v>0</v>
      </c>
      <c r="Y228" s="1096"/>
      <c r="Z228" s="1096"/>
      <c r="AA228" s="1096"/>
    </row>
    <row r="229" spans="1:27" s="1096" customFormat="1">
      <c r="A229" s="3570"/>
      <c r="B229" s="3582"/>
      <c r="C229" s="3536"/>
      <c r="D229" s="1558">
        <f>COUNT(D21:D25)</f>
        <v>0</v>
      </c>
      <c r="E229" s="1558">
        <f t="shared" ref="E229:S229" si="73">COUNT(E21:E25)</f>
        <v>0</v>
      </c>
      <c r="F229" s="1558">
        <f t="shared" si="73"/>
        <v>0</v>
      </c>
      <c r="G229" s="1558">
        <f t="shared" si="73"/>
        <v>0</v>
      </c>
      <c r="H229" s="1558">
        <f t="shared" si="73"/>
        <v>0</v>
      </c>
      <c r="I229" s="1558">
        <f t="shared" si="73"/>
        <v>5</v>
      </c>
      <c r="J229" s="1558">
        <f t="shared" si="73"/>
        <v>5</v>
      </c>
      <c r="K229" s="1558">
        <f t="shared" si="73"/>
        <v>5</v>
      </c>
      <c r="L229" s="1558">
        <f t="shared" si="73"/>
        <v>5</v>
      </c>
      <c r="M229" s="1558">
        <f t="shared" si="73"/>
        <v>0</v>
      </c>
      <c r="N229" s="1869">
        <f t="shared" si="73"/>
        <v>5</v>
      </c>
      <c r="O229" s="1558">
        <f t="shared" si="73"/>
        <v>0</v>
      </c>
      <c r="P229" s="1558">
        <f t="shared" si="73"/>
        <v>5</v>
      </c>
      <c r="Q229" s="1558">
        <f t="shared" si="73"/>
        <v>5</v>
      </c>
      <c r="R229" s="1558">
        <f t="shared" si="73"/>
        <v>5</v>
      </c>
      <c r="S229" s="1558">
        <f t="shared" si="73"/>
        <v>5</v>
      </c>
      <c r="T229" s="3002">
        <f t="shared" ref="T229:W229" si="74">COUNT(T21:T25)</f>
        <v>5</v>
      </c>
      <c r="U229" s="3002">
        <f t="shared" si="74"/>
        <v>5</v>
      </c>
      <c r="V229" s="3002">
        <f t="shared" si="74"/>
        <v>5</v>
      </c>
      <c r="W229" s="3002">
        <f t="shared" si="74"/>
        <v>5</v>
      </c>
      <c r="X229" s="1558">
        <f>COUNT(AD21:AD25)</f>
        <v>0</v>
      </c>
      <c r="Y229" s="1106"/>
      <c r="Z229" s="1106"/>
      <c r="AA229" s="1106"/>
    </row>
    <row r="230" spans="1:27" s="1096" customFormat="1">
      <c r="A230" s="3570"/>
      <c r="B230" s="3583"/>
      <c r="C230" s="3537"/>
      <c r="D230" s="1557" t="e">
        <f>D228/D229</f>
        <v>#DIV/0!</v>
      </c>
      <c r="E230" s="1557">
        <f>E228/C228</f>
        <v>0</v>
      </c>
      <c r="F230" s="1557">
        <f>F228/C228</f>
        <v>0</v>
      </c>
      <c r="G230" s="1557">
        <f>G228/C228</f>
        <v>0</v>
      </c>
      <c r="H230" s="1557">
        <f>H228/C228</f>
        <v>0</v>
      </c>
      <c r="I230" s="1557">
        <f>I228/C228</f>
        <v>1</v>
      </c>
      <c r="J230" s="1557">
        <f>J228/C228</f>
        <v>1</v>
      </c>
      <c r="K230" s="1557">
        <f>K228/C228</f>
        <v>1</v>
      </c>
      <c r="L230" s="1557">
        <f>L228/C228</f>
        <v>1</v>
      </c>
      <c r="M230" s="1557">
        <f>M228/C228</f>
        <v>0</v>
      </c>
      <c r="N230" s="1557">
        <f>N228/C228</f>
        <v>1</v>
      </c>
      <c r="O230" s="1557">
        <f>O228/C228</f>
        <v>0</v>
      </c>
      <c r="P230" s="1557">
        <f>P228/C228</f>
        <v>1</v>
      </c>
      <c r="Q230" s="1557">
        <f>Q228/C228</f>
        <v>1</v>
      </c>
      <c r="R230" s="1557">
        <f>R228/C228</f>
        <v>1</v>
      </c>
      <c r="S230" s="1557">
        <f>S228/C228</f>
        <v>1</v>
      </c>
      <c r="T230" s="1557" t="e">
        <f t="shared" ref="T230" si="75">T228/E228</f>
        <v>#DIV/0!</v>
      </c>
      <c r="U230" s="1557" t="e">
        <f t="shared" ref="U230" si="76">U228/E228</f>
        <v>#DIV/0!</v>
      </c>
      <c r="V230" s="1557" t="e">
        <f t="shared" ref="V230" si="77">V228/G228</f>
        <v>#DIV/0!</v>
      </c>
      <c r="W230" s="1557" t="e">
        <f t="shared" ref="W230" si="78">W228/G228</f>
        <v>#DIV/0!</v>
      </c>
      <c r="X230" s="1557">
        <f>X228/C228</f>
        <v>0</v>
      </c>
    </row>
    <row r="231" spans="1:27" s="1106" customFormat="1">
      <c r="A231" s="3570"/>
      <c r="B231" s="3581" t="s">
        <v>63</v>
      </c>
      <c r="C231" s="3535">
        <f>COUNTA(A26:A30)</f>
        <v>5</v>
      </c>
      <c r="D231" s="1556">
        <f>COUNTIF(D26:D30,"&lt;=10")</f>
        <v>0</v>
      </c>
      <c r="E231" s="1556">
        <f t="shared" ref="E231:S231" si="79">COUNTIF(E26:E30,"&lt;=10")</f>
        <v>0</v>
      </c>
      <c r="F231" s="1556">
        <f t="shared" si="79"/>
        <v>0</v>
      </c>
      <c r="G231" s="1556">
        <f t="shared" si="79"/>
        <v>0</v>
      </c>
      <c r="H231" s="1556">
        <f t="shared" si="79"/>
        <v>0</v>
      </c>
      <c r="I231" s="1556">
        <f t="shared" si="79"/>
        <v>5</v>
      </c>
      <c r="J231" s="1556">
        <f t="shared" si="79"/>
        <v>5</v>
      </c>
      <c r="K231" s="1556">
        <f t="shared" si="79"/>
        <v>5</v>
      </c>
      <c r="L231" s="1556">
        <f t="shared" si="79"/>
        <v>5</v>
      </c>
      <c r="M231" s="1556">
        <f t="shared" si="79"/>
        <v>0</v>
      </c>
      <c r="N231" s="1868">
        <f t="shared" si="79"/>
        <v>5</v>
      </c>
      <c r="O231" s="1556">
        <f t="shared" si="79"/>
        <v>0</v>
      </c>
      <c r="P231" s="1556">
        <f t="shared" si="79"/>
        <v>5</v>
      </c>
      <c r="Q231" s="1556">
        <f t="shared" si="79"/>
        <v>5</v>
      </c>
      <c r="R231" s="1556">
        <f t="shared" si="79"/>
        <v>5</v>
      </c>
      <c r="S231" s="1556">
        <f t="shared" si="79"/>
        <v>5</v>
      </c>
      <c r="T231" s="3001">
        <f t="shared" ref="T231:W231" si="80">COUNTIF(T26:T30,"&lt;=10")</f>
        <v>5</v>
      </c>
      <c r="U231" s="3001">
        <f t="shared" si="80"/>
        <v>5</v>
      </c>
      <c r="V231" s="3001">
        <f t="shared" si="80"/>
        <v>3</v>
      </c>
      <c r="W231" s="3001">
        <f t="shared" si="80"/>
        <v>5</v>
      </c>
      <c r="X231" s="1556">
        <f>COUNTIF(AD26:AD30,"&lt;=10")</f>
        <v>0</v>
      </c>
      <c r="Y231" s="1096"/>
      <c r="Z231" s="1096"/>
      <c r="AA231" s="1096"/>
    </row>
    <row r="232" spans="1:27" s="1096" customFormat="1">
      <c r="A232" s="3570"/>
      <c r="B232" s="3582"/>
      <c r="C232" s="3536"/>
      <c r="D232" s="1558">
        <f>COUNT(D26:D30)</f>
        <v>0</v>
      </c>
      <c r="E232" s="1558">
        <f t="shared" ref="E232:S232" si="81">COUNT(E26:E30)</f>
        <v>0</v>
      </c>
      <c r="F232" s="1558">
        <f t="shared" si="81"/>
        <v>0</v>
      </c>
      <c r="G232" s="1558">
        <f t="shared" si="81"/>
        <v>0</v>
      </c>
      <c r="H232" s="1558">
        <f t="shared" si="81"/>
        <v>0</v>
      </c>
      <c r="I232" s="1558">
        <f t="shared" si="81"/>
        <v>5</v>
      </c>
      <c r="J232" s="1558">
        <f t="shared" si="81"/>
        <v>5</v>
      </c>
      <c r="K232" s="1558">
        <f t="shared" si="81"/>
        <v>5</v>
      </c>
      <c r="L232" s="1558">
        <f t="shared" si="81"/>
        <v>5</v>
      </c>
      <c r="M232" s="1558">
        <f t="shared" si="81"/>
        <v>0</v>
      </c>
      <c r="N232" s="1869">
        <f t="shared" si="81"/>
        <v>5</v>
      </c>
      <c r="O232" s="1558">
        <f t="shared" si="81"/>
        <v>0</v>
      </c>
      <c r="P232" s="1558">
        <f t="shared" si="81"/>
        <v>5</v>
      </c>
      <c r="Q232" s="1558">
        <f t="shared" si="81"/>
        <v>5</v>
      </c>
      <c r="R232" s="1558">
        <f t="shared" si="81"/>
        <v>5</v>
      </c>
      <c r="S232" s="1558">
        <f t="shared" si="81"/>
        <v>5</v>
      </c>
      <c r="T232" s="3002">
        <f t="shared" ref="T232:W232" si="82">COUNT(T26:T30)</f>
        <v>5</v>
      </c>
      <c r="U232" s="3002">
        <f t="shared" si="82"/>
        <v>5</v>
      </c>
      <c r="V232" s="3002">
        <f t="shared" si="82"/>
        <v>3</v>
      </c>
      <c r="W232" s="3002">
        <f t="shared" si="82"/>
        <v>5</v>
      </c>
      <c r="X232" s="1558">
        <f>COUNT(AD26:AD30)</f>
        <v>0</v>
      </c>
      <c r="Y232" s="1106"/>
      <c r="Z232" s="1106"/>
      <c r="AA232" s="1106"/>
    </row>
    <row r="233" spans="1:27" s="1096" customFormat="1">
      <c r="A233" s="3570"/>
      <c r="B233" s="3583"/>
      <c r="C233" s="3537"/>
      <c r="D233" s="1557" t="e">
        <f>D231/D232</f>
        <v>#DIV/0!</v>
      </c>
      <c r="E233" s="1557" t="e">
        <f t="shared" ref="E233:X233" si="83">E231/E232</f>
        <v>#DIV/0!</v>
      </c>
      <c r="F233" s="1557" t="e">
        <f t="shared" si="83"/>
        <v>#DIV/0!</v>
      </c>
      <c r="G233" s="1557" t="e">
        <f t="shared" si="83"/>
        <v>#DIV/0!</v>
      </c>
      <c r="H233" s="1557" t="e">
        <f t="shared" si="83"/>
        <v>#DIV/0!</v>
      </c>
      <c r="I233" s="1557">
        <f t="shared" si="83"/>
        <v>1</v>
      </c>
      <c r="J233" s="1557">
        <f t="shared" si="83"/>
        <v>1</v>
      </c>
      <c r="K233" s="1557">
        <f t="shared" si="83"/>
        <v>1</v>
      </c>
      <c r="L233" s="1557">
        <f t="shared" si="83"/>
        <v>1</v>
      </c>
      <c r="M233" s="1557" t="e">
        <f t="shared" si="83"/>
        <v>#DIV/0!</v>
      </c>
      <c r="N233" s="1557">
        <f t="shared" si="83"/>
        <v>1</v>
      </c>
      <c r="O233" s="1557" t="e">
        <f t="shared" si="83"/>
        <v>#DIV/0!</v>
      </c>
      <c r="P233" s="1557">
        <f t="shared" si="83"/>
        <v>1</v>
      </c>
      <c r="Q233" s="1557">
        <f t="shared" si="83"/>
        <v>1</v>
      </c>
      <c r="R233" s="1557">
        <f t="shared" si="83"/>
        <v>1</v>
      </c>
      <c r="S233" s="1557">
        <f t="shared" si="83"/>
        <v>1</v>
      </c>
      <c r="T233" s="1557">
        <f t="shared" ref="T233:W233" si="84">T231/T232</f>
        <v>1</v>
      </c>
      <c r="U233" s="1557">
        <f t="shared" si="84"/>
        <v>1</v>
      </c>
      <c r="V233" s="1557">
        <f t="shared" si="84"/>
        <v>1</v>
      </c>
      <c r="W233" s="1557">
        <f t="shared" si="84"/>
        <v>1</v>
      </c>
      <c r="X233" s="1557" t="e">
        <f t="shared" si="83"/>
        <v>#DIV/0!</v>
      </c>
    </row>
    <row r="234" spans="1:27" s="1106" customFormat="1">
      <c r="A234" s="3570"/>
      <c r="B234" s="3581" t="s">
        <v>23</v>
      </c>
      <c r="C234" s="3535">
        <f>COUNTA(A31:A33)</f>
        <v>3</v>
      </c>
      <c r="D234" s="1556">
        <f>COUNTIF(D31:D33,"&lt;=10")</f>
        <v>0</v>
      </c>
      <c r="E234" s="1556">
        <f t="shared" ref="E234:S234" si="85">COUNTIF(E31:E33,"&lt;=10")</f>
        <v>0</v>
      </c>
      <c r="F234" s="1556">
        <f t="shared" si="85"/>
        <v>0</v>
      </c>
      <c r="G234" s="1556">
        <f t="shared" si="85"/>
        <v>0</v>
      </c>
      <c r="H234" s="1556">
        <f t="shared" si="85"/>
        <v>0</v>
      </c>
      <c r="I234" s="1556">
        <f t="shared" si="85"/>
        <v>3</v>
      </c>
      <c r="J234" s="1556">
        <f t="shared" si="85"/>
        <v>3</v>
      </c>
      <c r="K234" s="1556">
        <f t="shared" si="85"/>
        <v>3</v>
      </c>
      <c r="L234" s="1556">
        <f t="shared" si="85"/>
        <v>3</v>
      </c>
      <c r="M234" s="1556">
        <f t="shared" si="85"/>
        <v>0</v>
      </c>
      <c r="N234" s="1868">
        <f t="shared" si="85"/>
        <v>3</v>
      </c>
      <c r="O234" s="1556">
        <f t="shared" si="85"/>
        <v>0</v>
      </c>
      <c r="P234" s="1556">
        <f t="shared" si="85"/>
        <v>3</v>
      </c>
      <c r="Q234" s="1556">
        <f t="shared" si="85"/>
        <v>3</v>
      </c>
      <c r="R234" s="1556">
        <f t="shared" si="85"/>
        <v>3</v>
      </c>
      <c r="S234" s="1556">
        <f t="shared" si="85"/>
        <v>3</v>
      </c>
      <c r="T234" s="3001">
        <f t="shared" ref="T234:W234" si="86">COUNTIF(T31:T33,"&lt;=10")</f>
        <v>0</v>
      </c>
      <c r="U234" s="3001">
        <f t="shared" si="86"/>
        <v>0</v>
      </c>
      <c r="V234" s="3001">
        <f t="shared" si="86"/>
        <v>0</v>
      </c>
      <c r="W234" s="3001">
        <f t="shared" si="86"/>
        <v>3</v>
      </c>
      <c r="X234" s="1556">
        <f>COUNTIF(AD31:AD33,"&lt;=10")</f>
        <v>0</v>
      </c>
      <c r="Y234" s="1096"/>
      <c r="Z234" s="1096"/>
      <c r="AA234" s="1096"/>
    </row>
    <row r="235" spans="1:27" s="1096" customFormat="1">
      <c r="A235" s="3570"/>
      <c r="B235" s="3582"/>
      <c r="C235" s="3536"/>
      <c r="D235" s="1558">
        <f>COUNT(D31:D33)</f>
        <v>0</v>
      </c>
      <c r="E235" s="1558">
        <f t="shared" ref="E235:S235" si="87">COUNT(E31:E33)</f>
        <v>0</v>
      </c>
      <c r="F235" s="1558">
        <f t="shared" si="87"/>
        <v>0</v>
      </c>
      <c r="G235" s="1558">
        <f t="shared" si="87"/>
        <v>0</v>
      </c>
      <c r="H235" s="1558">
        <f t="shared" si="87"/>
        <v>0</v>
      </c>
      <c r="I235" s="1558">
        <f t="shared" si="87"/>
        <v>3</v>
      </c>
      <c r="J235" s="1558">
        <f t="shared" si="87"/>
        <v>3</v>
      </c>
      <c r="K235" s="1558">
        <f t="shared" si="87"/>
        <v>3</v>
      </c>
      <c r="L235" s="1558">
        <f t="shared" si="87"/>
        <v>3</v>
      </c>
      <c r="M235" s="1558">
        <f t="shared" si="87"/>
        <v>0</v>
      </c>
      <c r="N235" s="1869">
        <f t="shared" si="87"/>
        <v>3</v>
      </c>
      <c r="O235" s="1558">
        <f t="shared" si="87"/>
        <v>0</v>
      </c>
      <c r="P235" s="1558">
        <f t="shared" si="87"/>
        <v>3</v>
      </c>
      <c r="Q235" s="1558">
        <f t="shared" si="87"/>
        <v>3</v>
      </c>
      <c r="R235" s="1558">
        <f t="shared" si="87"/>
        <v>3</v>
      </c>
      <c r="S235" s="1558">
        <f t="shared" si="87"/>
        <v>3</v>
      </c>
      <c r="T235" s="3002">
        <f t="shared" ref="T235:W235" si="88">COUNT(T31:T33)</f>
        <v>0</v>
      </c>
      <c r="U235" s="3002">
        <f t="shared" si="88"/>
        <v>0</v>
      </c>
      <c r="V235" s="3002">
        <f t="shared" si="88"/>
        <v>0</v>
      </c>
      <c r="W235" s="3002">
        <f t="shared" si="88"/>
        <v>3</v>
      </c>
      <c r="X235" s="1558">
        <f>COUNT(AD31:AD33)</f>
        <v>0</v>
      </c>
      <c r="Y235" s="1106"/>
      <c r="Z235" s="1106"/>
      <c r="AA235" s="1106"/>
    </row>
    <row r="236" spans="1:27" s="1096" customFormat="1">
      <c r="A236" s="3570"/>
      <c r="B236" s="3583"/>
      <c r="C236" s="3537"/>
      <c r="D236" s="1557" t="e">
        <f>D234/D235</f>
        <v>#DIV/0!</v>
      </c>
      <c r="E236" s="1557" t="e">
        <f t="shared" ref="E236:X236" si="89">E234/E235</f>
        <v>#DIV/0!</v>
      </c>
      <c r="F236" s="1557" t="e">
        <f t="shared" si="89"/>
        <v>#DIV/0!</v>
      </c>
      <c r="G236" s="1557" t="e">
        <f t="shared" si="89"/>
        <v>#DIV/0!</v>
      </c>
      <c r="H236" s="1557" t="e">
        <f t="shared" si="89"/>
        <v>#DIV/0!</v>
      </c>
      <c r="I236" s="1557">
        <f t="shared" si="89"/>
        <v>1</v>
      </c>
      <c r="J236" s="1557">
        <f t="shared" si="89"/>
        <v>1</v>
      </c>
      <c r="K236" s="1557">
        <f t="shared" si="89"/>
        <v>1</v>
      </c>
      <c r="L236" s="1557">
        <f t="shared" si="89"/>
        <v>1</v>
      </c>
      <c r="M236" s="1557" t="e">
        <f t="shared" si="89"/>
        <v>#DIV/0!</v>
      </c>
      <c r="N236" s="1557">
        <f t="shared" si="89"/>
        <v>1</v>
      </c>
      <c r="O236" s="1557" t="e">
        <f t="shared" si="89"/>
        <v>#DIV/0!</v>
      </c>
      <c r="P236" s="1557">
        <f t="shared" si="89"/>
        <v>1</v>
      </c>
      <c r="Q236" s="1557">
        <f t="shared" si="89"/>
        <v>1</v>
      </c>
      <c r="R236" s="1557">
        <f t="shared" si="89"/>
        <v>1</v>
      </c>
      <c r="S236" s="1557">
        <f t="shared" si="89"/>
        <v>1</v>
      </c>
      <c r="T236" s="1557" t="e">
        <f t="shared" ref="T236:W236" si="90">T234/T235</f>
        <v>#DIV/0!</v>
      </c>
      <c r="U236" s="1557" t="e">
        <f t="shared" si="90"/>
        <v>#DIV/0!</v>
      </c>
      <c r="V236" s="1557" t="e">
        <f t="shared" si="90"/>
        <v>#DIV/0!</v>
      </c>
      <c r="W236" s="1557">
        <f t="shared" si="90"/>
        <v>1</v>
      </c>
      <c r="X236" s="1557" t="e">
        <f t="shared" si="89"/>
        <v>#DIV/0!</v>
      </c>
    </row>
    <row r="237" spans="1:27" s="1106" customFormat="1">
      <c r="A237" s="3570"/>
      <c r="B237" s="3581" t="s">
        <v>6</v>
      </c>
      <c r="C237" s="3535">
        <f>COUNTA(A34:A38)</f>
        <v>5</v>
      </c>
      <c r="D237" s="1556">
        <f>COUNTIF(D34:D38,"&lt;=10")</f>
        <v>0</v>
      </c>
      <c r="E237" s="1556">
        <f t="shared" ref="E237:S237" si="91">COUNTIF(E34:E38,"&lt;=10")</f>
        <v>0</v>
      </c>
      <c r="F237" s="1556">
        <f t="shared" si="91"/>
        <v>0</v>
      </c>
      <c r="G237" s="1556">
        <f t="shared" si="91"/>
        <v>0</v>
      </c>
      <c r="H237" s="1556">
        <f t="shared" si="91"/>
        <v>0</v>
      </c>
      <c r="I237" s="1556">
        <f t="shared" si="91"/>
        <v>5</v>
      </c>
      <c r="J237" s="1556">
        <f t="shared" si="91"/>
        <v>5</v>
      </c>
      <c r="K237" s="1556">
        <f t="shared" si="91"/>
        <v>5</v>
      </c>
      <c r="L237" s="1556">
        <f t="shared" si="91"/>
        <v>5</v>
      </c>
      <c r="M237" s="1556">
        <f t="shared" si="91"/>
        <v>0</v>
      </c>
      <c r="N237" s="1868">
        <f t="shared" si="91"/>
        <v>5</v>
      </c>
      <c r="O237" s="1556">
        <f t="shared" si="91"/>
        <v>0</v>
      </c>
      <c r="P237" s="1556">
        <f t="shared" si="91"/>
        <v>0</v>
      </c>
      <c r="Q237" s="1556">
        <f t="shared" si="91"/>
        <v>0</v>
      </c>
      <c r="R237" s="1556">
        <f t="shared" si="91"/>
        <v>0</v>
      </c>
      <c r="S237" s="1556">
        <f t="shared" si="91"/>
        <v>5</v>
      </c>
      <c r="T237" s="3001">
        <f t="shared" ref="T237:W237" si="92">COUNTIF(T34:T38,"&lt;=10")</f>
        <v>0</v>
      </c>
      <c r="U237" s="3001">
        <f t="shared" si="92"/>
        <v>0</v>
      </c>
      <c r="V237" s="3001">
        <f t="shared" si="92"/>
        <v>0</v>
      </c>
      <c r="W237" s="3001">
        <f t="shared" si="92"/>
        <v>5</v>
      </c>
      <c r="X237" s="1556">
        <f>COUNTIF(AD34:AD38,"&lt;=10")</f>
        <v>0</v>
      </c>
      <c r="Y237" s="1096"/>
      <c r="Z237" s="1096"/>
      <c r="AA237" s="1096"/>
    </row>
    <row r="238" spans="1:27" s="1096" customFormat="1">
      <c r="A238" s="3570"/>
      <c r="B238" s="3582"/>
      <c r="C238" s="3536"/>
      <c r="D238" s="1558">
        <f>COUNT(D34:D38)</f>
        <v>0</v>
      </c>
      <c r="E238" s="1558">
        <f t="shared" ref="E238:S238" si="93">COUNT(E34:E38)</f>
        <v>0</v>
      </c>
      <c r="F238" s="1558">
        <f t="shared" si="93"/>
        <v>0</v>
      </c>
      <c r="G238" s="1558">
        <f t="shared" si="93"/>
        <v>0</v>
      </c>
      <c r="H238" s="1558">
        <f t="shared" si="93"/>
        <v>0</v>
      </c>
      <c r="I238" s="1558">
        <f t="shared" si="93"/>
        <v>5</v>
      </c>
      <c r="J238" s="1558">
        <f t="shared" si="93"/>
        <v>5</v>
      </c>
      <c r="K238" s="1558">
        <f t="shared" si="93"/>
        <v>5</v>
      </c>
      <c r="L238" s="1558">
        <f t="shared" si="93"/>
        <v>5</v>
      </c>
      <c r="M238" s="1558">
        <f t="shared" si="93"/>
        <v>0</v>
      </c>
      <c r="N238" s="1869">
        <f t="shared" si="93"/>
        <v>5</v>
      </c>
      <c r="O238" s="1558">
        <f t="shared" si="93"/>
        <v>0</v>
      </c>
      <c r="P238" s="1558">
        <f t="shared" si="93"/>
        <v>0</v>
      </c>
      <c r="Q238" s="1558">
        <f t="shared" si="93"/>
        <v>0</v>
      </c>
      <c r="R238" s="1558">
        <f t="shared" si="93"/>
        <v>0</v>
      </c>
      <c r="S238" s="1558">
        <f t="shared" si="93"/>
        <v>5</v>
      </c>
      <c r="T238" s="3002">
        <f t="shared" ref="T238:W238" si="94">COUNT(T34:T38)</f>
        <v>0</v>
      </c>
      <c r="U238" s="3002">
        <f t="shared" si="94"/>
        <v>0</v>
      </c>
      <c r="V238" s="3002">
        <f t="shared" si="94"/>
        <v>0</v>
      </c>
      <c r="W238" s="3002">
        <f t="shared" si="94"/>
        <v>5</v>
      </c>
      <c r="X238" s="1558">
        <f>COUNT(AD34:AD38)</f>
        <v>0</v>
      </c>
      <c r="Y238" s="1106"/>
      <c r="Z238" s="1106"/>
      <c r="AA238" s="1106"/>
    </row>
    <row r="239" spans="1:27" s="1096" customFormat="1">
      <c r="A239" s="3570"/>
      <c r="B239" s="3583"/>
      <c r="C239" s="3537"/>
      <c r="D239" s="1557" t="e">
        <f>D237/D238</f>
        <v>#DIV/0!</v>
      </c>
      <c r="E239" s="1557" t="e">
        <f t="shared" ref="E239:X239" si="95">E237/E238</f>
        <v>#DIV/0!</v>
      </c>
      <c r="F239" s="1557" t="e">
        <f t="shared" si="95"/>
        <v>#DIV/0!</v>
      </c>
      <c r="G239" s="1557" t="e">
        <f t="shared" si="95"/>
        <v>#DIV/0!</v>
      </c>
      <c r="H239" s="1557" t="e">
        <f t="shared" si="95"/>
        <v>#DIV/0!</v>
      </c>
      <c r="I239" s="1557">
        <f t="shared" si="95"/>
        <v>1</v>
      </c>
      <c r="J239" s="1557">
        <f t="shared" si="95"/>
        <v>1</v>
      </c>
      <c r="K239" s="1557">
        <f t="shared" si="95"/>
        <v>1</v>
      </c>
      <c r="L239" s="1557">
        <f t="shared" si="95"/>
        <v>1</v>
      </c>
      <c r="M239" s="1557" t="e">
        <f t="shared" si="95"/>
        <v>#DIV/0!</v>
      </c>
      <c r="N239" s="1557">
        <f t="shared" si="95"/>
        <v>1</v>
      </c>
      <c r="O239" s="1557" t="e">
        <f t="shared" si="95"/>
        <v>#DIV/0!</v>
      </c>
      <c r="P239" s="1557" t="e">
        <f t="shared" si="95"/>
        <v>#DIV/0!</v>
      </c>
      <c r="Q239" s="1557" t="e">
        <f t="shared" si="95"/>
        <v>#DIV/0!</v>
      </c>
      <c r="R239" s="1557" t="e">
        <f t="shared" si="95"/>
        <v>#DIV/0!</v>
      </c>
      <c r="S239" s="1557">
        <f t="shared" si="95"/>
        <v>1</v>
      </c>
      <c r="T239" s="1557" t="e">
        <f t="shared" ref="T239:W239" si="96">T237/T238</f>
        <v>#DIV/0!</v>
      </c>
      <c r="U239" s="1557" t="e">
        <f t="shared" si="96"/>
        <v>#DIV/0!</v>
      </c>
      <c r="V239" s="1557" t="e">
        <f t="shared" si="96"/>
        <v>#DIV/0!</v>
      </c>
      <c r="W239" s="1557">
        <f t="shared" si="96"/>
        <v>1</v>
      </c>
      <c r="X239" s="1557" t="e">
        <f t="shared" si="95"/>
        <v>#DIV/0!</v>
      </c>
    </row>
    <row r="240" spans="1:27" s="1106" customFormat="1">
      <c r="A240" s="3570"/>
      <c r="B240" s="3581" t="s">
        <v>28</v>
      </c>
      <c r="C240" s="3535">
        <f>COUNTA(A39:A41)</f>
        <v>3</v>
      </c>
      <c r="D240" s="1556">
        <f>COUNTIF(D39:D41,"&lt;=10")</f>
        <v>0</v>
      </c>
      <c r="E240" s="1556">
        <f t="shared" ref="E240:S240" si="97">COUNTIF(E39:E41,"&lt;=10")</f>
        <v>0</v>
      </c>
      <c r="F240" s="1556">
        <f t="shared" si="97"/>
        <v>0</v>
      </c>
      <c r="G240" s="1556">
        <f t="shared" si="97"/>
        <v>0</v>
      </c>
      <c r="H240" s="1556">
        <f t="shared" si="97"/>
        <v>0</v>
      </c>
      <c r="I240" s="1556">
        <f t="shared" si="97"/>
        <v>3</v>
      </c>
      <c r="J240" s="1556">
        <f t="shared" si="97"/>
        <v>3</v>
      </c>
      <c r="K240" s="1556">
        <f t="shared" si="97"/>
        <v>2</v>
      </c>
      <c r="L240" s="1556">
        <f t="shared" si="97"/>
        <v>3</v>
      </c>
      <c r="M240" s="1556">
        <f t="shared" si="97"/>
        <v>0</v>
      </c>
      <c r="N240" s="1868">
        <f t="shared" si="97"/>
        <v>3</v>
      </c>
      <c r="O240" s="1556">
        <f t="shared" si="97"/>
        <v>0</v>
      </c>
      <c r="P240" s="1556">
        <f t="shared" si="97"/>
        <v>3</v>
      </c>
      <c r="Q240" s="1556">
        <f t="shared" si="97"/>
        <v>3</v>
      </c>
      <c r="R240" s="1556">
        <f t="shared" si="97"/>
        <v>3</v>
      </c>
      <c r="S240" s="1556">
        <f t="shared" si="97"/>
        <v>3</v>
      </c>
      <c r="T240" s="3001">
        <f t="shared" ref="T240:W240" si="98">COUNTIF(T39:T41,"&lt;=10")</f>
        <v>0</v>
      </c>
      <c r="U240" s="3001">
        <f t="shared" si="98"/>
        <v>0</v>
      </c>
      <c r="V240" s="3001">
        <f t="shared" si="98"/>
        <v>0</v>
      </c>
      <c r="W240" s="3001">
        <f t="shared" si="98"/>
        <v>3</v>
      </c>
      <c r="X240" s="1556">
        <f>COUNTIF(AD39:AD41,"&lt;=10")</f>
        <v>0</v>
      </c>
      <c r="Y240" s="1096"/>
      <c r="Z240" s="1096"/>
      <c r="AA240" s="1096"/>
    </row>
    <row r="241" spans="1:27" s="1096" customFormat="1">
      <c r="A241" s="3570"/>
      <c r="B241" s="3582"/>
      <c r="C241" s="3536"/>
      <c r="D241" s="1558">
        <f>COUNT(D39:D41)</f>
        <v>0</v>
      </c>
      <c r="E241" s="1558">
        <f t="shared" ref="E241:S241" si="99">COUNT(E39:E41)</f>
        <v>0</v>
      </c>
      <c r="F241" s="1558">
        <f t="shared" si="99"/>
        <v>0</v>
      </c>
      <c r="G241" s="1558">
        <f t="shared" si="99"/>
        <v>0</v>
      </c>
      <c r="H241" s="1558">
        <f t="shared" si="99"/>
        <v>0</v>
      </c>
      <c r="I241" s="1558">
        <f t="shared" si="99"/>
        <v>3</v>
      </c>
      <c r="J241" s="1558">
        <f t="shared" si="99"/>
        <v>3</v>
      </c>
      <c r="K241" s="1558">
        <f t="shared" si="99"/>
        <v>3</v>
      </c>
      <c r="L241" s="1558">
        <f t="shared" si="99"/>
        <v>3</v>
      </c>
      <c r="M241" s="1558">
        <f t="shared" si="99"/>
        <v>0</v>
      </c>
      <c r="N241" s="1869">
        <f t="shared" si="99"/>
        <v>3</v>
      </c>
      <c r="O241" s="1558">
        <f t="shared" si="99"/>
        <v>0</v>
      </c>
      <c r="P241" s="1558">
        <f t="shared" si="99"/>
        <v>3</v>
      </c>
      <c r="Q241" s="1558">
        <f t="shared" si="99"/>
        <v>3</v>
      </c>
      <c r="R241" s="1558">
        <f t="shared" si="99"/>
        <v>3</v>
      </c>
      <c r="S241" s="1558">
        <f t="shared" si="99"/>
        <v>3</v>
      </c>
      <c r="T241" s="3002">
        <f t="shared" ref="T241:W241" si="100">COUNT(T39:T41)</f>
        <v>0</v>
      </c>
      <c r="U241" s="3002">
        <f t="shared" si="100"/>
        <v>0</v>
      </c>
      <c r="V241" s="3002">
        <f t="shared" si="100"/>
        <v>0</v>
      </c>
      <c r="W241" s="3002">
        <f t="shared" si="100"/>
        <v>3</v>
      </c>
      <c r="X241" s="1558">
        <f>COUNT(AD39:AD41)</f>
        <v>0</v>
      </c>
      <c r="Y241" s="1106"/>
      <c r="Z241" s="1106"/>
      <c r="AA241" s="1106"/>
    </row>
    <row r="242" spans="1:27" s="1096" customFormat="1">
      <c r="A242" s="3570"/>
      <c r="B242" s="3583"/>
      <c r="C242" s="3537"/>
      <c r="D242" s="1557" t="e">
        <f>D240/D241</f>
        <v>#DIV/0!</v>
      </c>
      <c r="E242" s="1557" t="e">
        <f t="shared" ref="E242:X242" si="101">E240/E241</f>
        <v>#DIV/0!</v>
      </c>
      <c r="F242" s="1557" t="e">
        <f t="shared" si="101"/>
        <v>#DIV/0!</v>
      </c>
      <c r="G242" s="1557" t="e">
        <f t="shared" si="101"/>
        <v>#DIV/0!</v>
      </c>
      <c r="H242" s="1557" t="e">
        <f t="shared" si="101"/>
        <v>#DIV/0!</v>
      </c>
      <c r="I242" s="1557">
        <f t="shared" si="101"/>
        <v>1</v>
      </c>
      <c r="J242" s="1557">
        <f t="shared" si="101"/>
        <v>1</v>
      </c>
      <c r="K242" s="1557">
        <f t="shared" si="101"/>
        <v>0.66666666666666663</v>
      </c>
      <c r="L242" s="1557">
        <f t="shared" si="101"/>
        <v>1</v>
      </c>
      <c r="M242" s="1557" t="e">
        <f t="shared" si="101"/>
        <v>#DIV/0!</v>
      </c>
      <c r="N242" s="1557">
        <f t="shared" si="101"/>
        <v>1</v>
      </c>
      <c r="O242" s="1557" t="e">
        <f t="shared" si="101"/>
        <v>#DIV/0!</v>
      </c>
      <c r="P242" s="1557">
        <f t="shared" si="101"/>
        <v>1</v>
      </c>
      <c r="Q242" s="1557">
        <f t="shared" si="101"/>
        <v>1</v>
      </c>
      <c r="R242" s="1557">
        <f t="shared" si="101"/>
        <v>1</v>
      </c>
      <c r="S242" s="1557">
        <f t="shared" si="101"/>
        <v>1</v>
      </c>
      <c r="T242" s="1557" t="e">
        <f t="shared" ref="T242:W242" si="102">T240/T241</f>
        <v>#DIV/0!</v>
      </c>
      <c r="U242" s="1557" t="e">
        <f t="shared" si="102"/>
        <v>#DIV/0!</v>
      </c>
      <c r="V242" s="1557" t="e">
        <f t="shared" si="102"/>
        <v>#DIV/0!</v>
      </c>
      <c r="W242" s="1557">
        <f t="shared" si="102"/>
        <v>1</v>
      </c>
      <c r="X242" s="1557" t="e">
        <f t="shared" si="101"/>
        <v>#DIV/0!</v>
      </c>
    </row>
    <row r="243" spans="1:27" s="1106" customFormat="1">
      <c r="A243" s="3570"/>
      <c r="B243" s="3581" t="s">
        <v>8</v>
      </c>
      <c r="C243" s="3535">
        <f>COUNTA(A42:A44)</f>
        <v>3</v>
      </c>
      <c r="D243" s="1556">
        <f>COUNTIF(D42:D44,"&lt;=10")</f>
        <v>0</v>
      </c>
      <c r="E243" s="1556">
        <f t="shared" ref="E243:S243" si="103">COUNTIF(E42:E44,"&lt;=10")</f>
        <v>0</v>
      </c>
      <c r="F243" s="1556">
        <f t="shared" si="103"/>
        <v>0</v>
      </c>
      <c r="G243" s="1556">
        <f t="shared" si="103"/>
        <v>0</v>
      </c>
      <c r="H243" s="1556">
        <f t="shared" si="103"/>
        <v>0</v>
      </c>
      <c r="I243" s="1556">
        <f t="shared" si="103"/>
        <v>3</v>
      </c>
      <c r="J243" s="1556">
        <f t="shared" si="103"/>
        <v>3</v>
      </c>
      <c r="K243" s="1556">
        <f t="shared" si="103"/>
        <v>3</v>
      </c>
      <c r="L243" s="1556">
        <f t="shared" si="103"/>
        <v>3</v>
      </c>
      <c r="M243" s="1556">
        <f t="shared" si="103"/>
        <v>0</v>
      </c>
      <c r="N243" s="1868">
        <f t="shared" si="103"/>
        <v>3</v>
      </c>
      <c r="O243" s="1556">
        <f t="shared" si="103"/>
        <v>0</v>
      </c>
      <c r="P243" s="1556">
        <f t="shared" si="103"/>
        <v>3</v>
      </c>
      <c r="Q243" s="1556">
        <f t="shared" si="103"/>
        <v>3</v>
      </c>
      <c r="R243" s="1556">
        <f t="shared" si="103"/>
        <v>3</v>
      </c>
      <c r="S243" s="1556">
        <f t="shared" si="103"/>
        <v>3</v>
      </c>
      <c r="T243" s="3001">
        <f t="shared" ref="T243:W243" si="104">COUNTIF(T42:T44,"&lt;=10")</f>
        <v>0</v>
      </c>
      <c r="U243" s="3001">
        <f t="shared" si="104"/>
        <v>0</v>
      </c>
      <c r="V243" s="3001">
        <f t="shared" si="104"/>
        <v>0</v>
      </c>
      <c r="W243" s="3001">
        <f t="shared" si="104"/>
        <v>3</v>
      </c>
      <c r="X243" s="1556">
        <f>COUNTIF(AD42:AD44,"&lt;=10")</f>
        <v>0</v>
      </c>
      <c r="Y243" s="1096"/>
      <c r="Z243" s="1096"/>
      <c r="AA243" s="1096"/>
    </row>
    <row r="244" spans="1:27" s="1096" customFormat="1">
      <c r="A244" s="3570"/>
      <c r="B244" s="3582"/>
      <c r="C244" s="3536"/>
      <c r="D244" s="1558">
        <f>COUNT(D42:D44)</f>
        <v>0</v>
      </c>
      <c r="E244" s="1558">
        <f t="shared" ref="E244:S244" si="105">COUNT(E42:E44)</f>
        <v>0</v>
      </c>
      <c r="F244" s="1558">
        <f t="shared" si="105"/>
        <v>0</v>
      </c>
      <c r="G244" s="1558">
        <f t="shared" si="105"/>
        <v>0</v>
      </c>
      <c r="H244" s="1558">
        <f t="shared" si="105"/>
        <v>0</v>
      </c>
      <c r="I244" s="1558">
        <f t="shared" si="105"/>
        <v>3</v>
      </c>
      <c r="J244" s="1558">
        <f t="shared" si="105"/>
        <v>3</v>
      </c>
      <c r="K244" s="1558">
        <f t="shared" si="105"/>
        <v>3</v>
      </c>
      <c r="L244" s="1558">
        <f t="shared" si="105"/>
        <v>3</v>
      </c>
      <c r="M244" s="1558">
        <f t="shared" si="105"/>
        <v>0</v>
      </c>
      <c r="N244" s="1869">
        <f t="shared" si="105"/>
        <v>3</v>
      </c>
      <c r="O244" s="1558">
        <f t="shared" si="105"/>
        <v>0</v>
      </c>
      <c r="P244" s="1558">
        <f t="shared" si="105"/>
        <v>3</v>
      </c>
      <c r="Q244" s="1558">
        <f t="shared" si="105"/>
        <v>3</v>
      </c>
      <c r="R244" s="1558">
        <f t="shared" si="105"/>
        <v>3</v>
      </c>
      <c r="S244" s="1558">
        <f t="shared" si="105"/>
        <v>3</v>
      </c>
      <c r="T244" s="3002">
        <f t="shared" ref="T244:W244" si="106">COUNT(T42:T44)</f>
        <v>0</v>
      </c>
      <c r="U244" s="3002">
        <f t="shared" si="106"/>
        <v>0</v>
      </c>
      <c r="V244" s="3002">
        <f t="shared" si="106"/>
        <v>0</v>
      </c>
      <c r="W244" s="3002">
        <f t="shared" si="106"/>
        <v>3</v>
      </c>
      <c r="X244" s="1558">
        <f>COUNT(AD42:AD44)</f>
        <v>0</v>
      </c>
      <c r="Y244" s="1106"/>
      <c r="Z244" s="1106"/>
      <c r="AA244" s="1106"/>
    </row>
    <row r="245" spans="1:27" s="1096" customFormat="1">
      <c r="A245" s="3571"/>
      <c r="B245" s="3582"/>
      <c r="C245" s="3537"/>
      <c r="D245" s="1557" t="e">
        <f>D243/D244</f>
        <v>#DIV/0!</v>
      </c>
      <c r="E245" s="1557" t="e">
        <f t="shared" ref="E245:X245" si="107">E243/E244</f>
        <v>#DIV/0!</v>
      </c>
      <c r="F245" s="1557" t="e">
        <f t="shared" si="107"/>
        <v>#DIV/0!</v>
      </c>
      <c r="G245" s="1557" t="e">
        <f t="shared" si="107"/>
        <v>#DIV/0!</v>
      </c>
      <c r="H245" s="1557" t="e">
        <f t="shared" si="107"/>
        <v>#DIV/0!</v>
      </c>
      <c r="I245" s="1557">
        <f t="shared" si="107"/>
        <v>1</v>
      </c>
      <c r="J245" s="1557">
        <f t="shared" si="107"/>
        <v>1</v>
      </c>
      <c r="K245" s="1557">
        <f t="shared" si="107"/>
        <v>1</v>
      </c>
      <c r="L245" s="1557">
        <f t="shared" si="107"/>
        <v>1</v>
      </c>
      <c r="M245" s="1557" t="e">
        <f t="shared" si="107"/>
        <v>#DIV/0!</v>
      </c>
      <c r="N245" s="1557">
        <f t="shared" si="107"/>
        <v>1</v>
      </c>
      <c r="O245" s="1557" t="e">
        <f t="shared" si="107"/>
        <v>#DIV/0!</v>
      </c>
      <c r="P245" s="1557">
        <f t="shared" si="107"/>
        <v>1</v>
      </c>
      <c r="Q245" s="1557">
        <f t="shared" si="107"/>
        <v>1</v>
      </c>
      <c r="R245" s="1557">
        <f t="shared" si="107"/>
        <v>1</v>
      </c>
      <c r="S245" s="1557">
        <f t="shared" si="107"/>
        <v>1</v>
      </c>
      <c r="T245" s="1557" t="e">
        <f t="shared" ref="T245:W245" si="108">T243/T244</f>
        <v>#DIV/0!</v>
      </c>
      <c r="U245" s="1557" t="e">
        <f t="shared" si="108"/>
        <v>#DIV/0!</v>
      </c>
      <c r="V245" s="1557" t="e">
        <f t="shared" si="108"/>
        <v>#DIV/0!</v>
      </c>
      <c r="W245" s="1557">
        <f t="shared" si="108"/>
        <v>1</v>
      </c>
      <c r="X245" s="1557" t="e">
        <f t="shared" si="107"/>
        <v>#DIV/0!</v>
      </c>
    </row>
    <row r="246" spans="1:27" s="3276" customFormat="1">
      <c r="A246" s="1752"/>
      <c r="B246" s="3610" t="s">
        <v>386</v>
      </c>
      <c r="C246" s="3535">
        <v>4</v>
      </c>
      <c r="D246" s="3284"/>
      <c r="E246" s="3284"/>
      <c r="F246" s="3284"/>
      <c r="G246" s="3284"/>
      <c r="H246" s="3284"/>
      <c r="I246" s="3284"/>
      <c r="J246" s="3284"/>
      <c r="K246" s="3284"/>
      <c r="L246" s="3284"/>
      <c r="M246" s="3284"/>
      <c r="N246" s="3284"/>
      <c r="O246" s="3284"/>
      <c r="P246" s="3284"/>
      <c r="Q246" s="3284"/>
      <c r="R246" s="3284"/>
      <c r="S246" s="3284"/>
      <c r="T246" s="3284"/>
      <c r="U246" s="3284"/>
      <c r="V246" s="3284"/>
      <c r="W246" s="3284"/>
      <c r="X246" s="3284"/>
    </row>
    <row r="247" spans="1:27" s="3276" customFormat="1">
      <c r="A247" s="1752"/>
      <c r="B247" s="3611"/>
      <c r="C247" s="3536"/>
      <c r="D247" s="3284"/>
      <c r="E247" s="3284"/>
      <c r="F247" s="3284"/>
      <c r="G247" s="3284"/>
      <c r="H247" s="3284"/>
      <c r="I247" s="3284"/>
      <c r="J247" s="3284"/>
      <c r="K247" s="3284"/>
      <c r="L247" s="3284"/>
      <c r="M247" s="3284"/>
      <c r="N247" s="3284"/>
      <c r="O247" s="3284"/>
      <c r="P247" s="3284"/>
      <c r="Q247" s="3284"/>
      <c r="R247" s="3284"/>
      <c r="S247" s="3284"/>
      <c r="T247" s="3284"/>
      <c r="U247" s="3284"/>
      <c r="V247" s="3284"/>
      <c r="W247" s="3284"/>
      <c r="X247" s="3284"/>
    </row>
    <row r="248" spans="1:27" s="3276" customFormat="1">
      <c r="A248" s="1752"/>
      <c r="B248" s="3612"/>
      <c r="C248" s="3537"/>
      <c r="D248" s="3284"/>
      <c r="E248" s="3284"/>
      <c r="F248" s="3284"/>
      <c r="G248" s="3284"/>
      <c r="H248" s="3284"/>
      <c r="I248" s="3284"/>
      <c r="J248" s="3284"/>
      <c r="K248" s="3284"/>
      <c r="L248" s="3284"/>
      <c r="M248" s="3284"/>
      <c r="N248" s="3284"/>
      <c r="O248" s="3284"/>
      <c r="P248" s="3284"/>
      <c r="Q248" s="3284"/>
      <c r="R248" s="3284"/>
      <c r="S248" s="3284"/>
      <c r="T248" s="3284"/>
      <c r="U248" s="3284"/>
      <c r="V248" s="3284"/>
      <c r="W248" s="3284"/>
      <c r="X248" s="3284"/>
    </row>
    <row r="249" spans="1:27" s="3276" customFormat="1">
      <c r="A249" s="3569" t="s">
        <v>126</v>
      </c>
      <c r="B249" s="3566" t="s">
        <v>42</v>
      </c>
      <c r="C249" s="3535">
        <f>COUNTA(A67:A73)</f>
        <v>7</v>
      </c>
      <c r="D249" s="1556">
        <f>COUNTIF(D67:D73,"&lt;=10")</f>
        <v>6</v>
      </c>
      <c r="E249" s="1556">
        <f t="shared" ref="E249:X249" si="109">COUNTIF(E67:E73,"&lt;=10")</f>
        <v>6</v>
      </c>
      <c r="F249" s="1556">
        <f t="shared" si="109"/>
        <v>6</v>
      </c>
      <c r="G249" s="1556">
        <f t="shared" si="109"/>
        <v>5</v>
      </c>
      <c r="H249" s="1556">
        <f t="shared" si="109"/>
        <v>7</v>
      </c>
      <c r="I249" s="1556">
        <f t="shared" si="109"/>
        <v>7</v>
      </c>
      <c r="J249" s="1556">
        <f t="shared" si="109"/>
        <v>6</v>
      </c>
      <c r="K249" s="1556">
        <f t="shared" si="109"/>
        <v>6</v>
      </c>
      <c r="L249" s="1556">
        <f t="shared" si="109"/>
        <v>5</v>
      </c>
      <c r="M249" s="1556">
        <f t="shared" si="109"/>
        <v>5</v>
      </c>
      <c r="N249" s="1868">
        <f t="shared" si="109"/>
        <v>5</v>
      </c>
      <c r="O249" s="1556">
        <f t="shared" si="109"/>
        <v>0</v>
      </c>
      <c r="P249" s="1556">
        <f t="shared" si="109"/>
        <v>4</v>
      </c>
      <c r="Q249" s="1556">
        <f t="shared" si="109"/>
        <v>5</v>
      </c>
      <c r="R249" s="1556">
        <f t="shared" si="109"/>
        <v>5</v>
      </c>
      <c r="S249" s="1556">
        <f t="shared" si="109"/>
        <v>4</v>
      </c>
      <c r="T249" s="3001">
        <f t="shared" ref="T249:W249" si="110">COUNTIF(T67:T73,"&lt;=10")</f>
        <v>4</v>
      </c>
      <c r="U249" s="3001">
        <f t="shared" si="110"/>
        <v>4</v>
      </c>
      <c r="V249" s="3001">
        <f t="shared" si="110"/>
        <v>4</v>
      </c>
      <c r="W249" s="3001">
        <f t="shared" si="110"/>
        <v>4</v>
      </c>
      <c r="X249" s="1556">
        <f t="shared" si="109"/>
        <v>4</v>
      </c>
    </row>
    <row r="250" spans="1:27" s="1106" customFormat="1">
      <c r="A250" s="3570"/>
      <c r="B250" s="3566"/>
      <c r="C250" s="3536"/>
      <c r="D250" s="1558">
        <f>COUNT(D67:D73)</f>
        <v>7</v>
      </c>
      <c r="E250" s="1558">
        <f t="shared" ref="E250:X250" si="111">COUNT(E67:E73)</f>
        <v>7</v>
      </c>
      <c r="F250" s="1558">
        <f t="shared" si="111"/>
        <v>7</v>
      </c>
      <c r="G250" s="1558">
        <f t="shared" si="111"/>
        <v>7</v>
      </c>
      <c r="H250" s="1558">
        <f t="shared" si="111"/>
        <v>7</v>
      </c>
      <c r="I250" s="1558">
        <f t="shared" si="111"/>
        <v>7</v>
      </c>
      <c r="J250" s="1558">
        <f t="shared" si="111"/>
        <v>7</v>
      </c>
      <c r="K250" s="1558">
        <f t="shared" si="111"/>
        <v>7</v>
      </c>
      <c r="L250" s="1558">
        <f t="shared" si="111"/>
        <v>6</v>
      </c>
      <c r="M250" s="1558">
        <f t="shared" si="111"/>
        <v>7</v>
      </c>
      <c r="N250" s="1869">
        <f t="shared" si="111"/>
        <v>7</v>
      </c>
      <c r="O250" s="1558">
        <f t="shared" si="111"/>
        <v>0</v>
      </c>
      <c r="P250" s="1558">
        <f t="shared" si="111"/>
        <v>7</v>
      </c>
      <c r="Q250" s="1558">
        <f t="shared" si="111"/>
        <v>6</v>
      </c>
      <c r="R250" s="1558">
        <f t="shared" si="111"/>
        <v>7</v>
      </c>
      <c r="S250" s="1558">
        <f t="shared" si="111"/>
        <v>7</v>
      </c>
      <c r="T250" s="3002">
        <f t="shared" ref="T250:W250" si="112">COUNT(T67:T73)</f>
        <v>7</v>
      </c>
      <c r="U250" s="3002">
        <f t="shared" si="112"/>
        <v>6</v>
      </c>
      <c r="V250" s="3002">
        <f t="shared" si="112"/>
        <v>7</v>
      </c>
      <c r="W250" s="3002">
        <f t="shared" si="112"/>
        <v>7</v>
      </c>
      <c r="X250" s="1558">
        <f t="shared" si="111"/>
        <v>7</v>
      </c>
      <c r="Y250" s="1096"/>
      <c r="Z250" s="1096"/>
      <c r="AA250" s="1096"/>
    </row>
    <row r="251" spans="1:27" s="1096" customFormat="1">
      <c r="A251" s="3570"/>
      <c r="B251" s="3567"/>
      <c r="C251" s="3537"/>
      <c r="D251" s="1557">
        <f>D249/D250</f>
        <v>0.8571428571428571</v>
      </c>
      <c r="E251" s="1557">
        <f t="shared" ref="E251:X251" si="113">E249/E250</f>
        <v>0.8571428571428571</v>
      </c>
      <c r="F251" s="1557">
        <f t="shared" si="113"/>
        <v>0.8571428571428571</v>
      </c>
      <c r="G251" s="1557">
        <f t="shared" si="113"/>
        <v>0.7142857142857143</v>
      </c>
      <c r="H251" s="1557">
        <f t="shared" si="113"/>
        <v>1</v>
      </c>
      <c r="I251" s="1557">
        <f t="shared" si="113"/>
        <v>1</v>
      </c>
      <c r="J251" s="1557">
        <f t="shared" si="113"/>
        <v>0.8571428571428571</v>
      </c>
      <c r="K251" s="1557">
        <f t="shared" si="113"/>
        <v>0.8571428571428571</v>
      </c>
      <c r="L251" s="1557">
        <f t="shared" si="113"/>
        <v>0.83333333333333337</v>
      </c>
      <c r="M251" s="1557">
        <f t="shared" si="113"/>
        <v>0.7142857142857143</v>
      </c>
      <c r="N251" s="1557">
        <f t="shared" si="113"/>
        <v>0.7142857142857143</v>
      </c>
      <c r="O251" s="1557" t="e">
        <f t="shared" si="113"/>
        <v>#DIV/0!</v>
      </c>
      <c r="P251" s="1557">
        <f t="shared" si="113"/>
        <v>0.5714285714285714</v>
      </c>
      <c r="Q251" s="1557">
        <f t="shared" si="113"/>
        <v>0.83333333333333337</v>
      </c>
      <c r="R251" s="1557">
        <f t="shared" si="113"/>
        <v>0.7142857142857143</v>
      </c>
      <c r="S251" s="1557">
        <f t="shared" si="113"/>
        <v>0.5714285714285714</v>
      </c>
      <c r="T251" s="1557">
        <f t="shared" ref="T251:W251" si="114">T249/T250</f>
        <v>0.5714285714285714</v>
      </c>
      <c r="U251" s="1557">
        <f t="shared" si="114"/>
        <v>0.66666666666666663</v>
      </c>
      <c r="V251" s="1557">
        <f t="shared" si="114"/>
        <v>0.5714285714285714</v>
      </c>
      <c r="W251" s="1557">
        <f t="shared" si="114"/>
        <v>0.5714285714285714</v>
      </c>
      <c r="X251" s="1557">
        <f t="shared" si="113"/>
        <v>0.5714285714285714</v>
      </c>
      <c r="Y251" s="1106"/>
      <c r="Z251" s="1106"/>
      <c r="AA251" s="1106"/>
    </row>
    <row r="252" spans="1:27" s="1096" customFormat="1">
      <c r="A252" s="3570"/>
      <c r="B252" s="3581" t="s">
        <v>49</v>
      </c>
      <c r="C252" s="3535">
        <f>COUNTA(A74:A82)</f>
        <v>9</v>
      </c>
      <c r="D252" s="1556">
        <f>COUNTIF(D74:D82,"&lt;=10")</f>
        <v>9</v>
      </c>
      <c r="E252" s="1556">
        <f t="shared" ref="E252:X252" si="115">COUNTIF(E74:E82,"&lt;=10")</f>
        <v>9</v>
      </c>
      <c r="F252" s="1556">
        <f t="shared" si="115"/>
        <v>9</v>
      </c>
      <c r="G252" s="1556">
        <f t="shared" si="115"/>
        <v>9</v>
      </c>
      <c r="H252" s="1556">
        <f t="shared" si="115"/>
        <v>9</v>
      </c>
      <c r="I252" s="1556">
        <f t="shared" si="115"/>
        <v>9</v>
      </c>
      <c r="J252" s="1556">
        <f t="shared" si="115"/>
        <v>9</v>
      </c>
      <c r="K252" s="1556">
        <f t="shared" si="115"/>
        <v>9</v>
      </c>
      <c r="L252" s="1556">
        <f t="shared" si="115"/>
        <v>6</v>
      </c>
      <c r="M252" s="1556">
        <f t="shared" si="115"/>
        <v>4</v>
      </c>
      <c r="N252" s="1868">
        <f t="shared" si="115"/>
        <v>6</v>
      </c>
      <c r="O252" s="1556">
        <f t="shared" si="115"/>
        <v>0</v>
      </c>
      <c r="P252" s="1556">
        <f t="shared" si="115"/>
        <v>7</v>
      </c>
      <c r="Q252" s="1556">
        <f t="shared" si="115"/>
        <v>9</v>
      </c>
      <c r="R252" s="1556">
        <f t="shared" si="115"/>
        <v>9</v>
      </c>
      <c r="S252" s="1556">
        <f t="shared" si="115"/>
        <v>9</v>
      </c>
      <c r="T252" s="3001">
        <f t="shared" ref="T252:W252" si="116">COUNTIF(T74:T82,"&lt;=10")</f>
        <v>7</v>
      </c>
      <c r="U252" s="3001">
        <f t="shared" si="116"/>
        <v>8</v>
      </c>
      <c r="V252" s="3001">
        <f t="shared" si="116"/>
        <v>9</v>
      </c>
      <c r="W252" s="3001">
        <f t="shared" si="116"/>
        <v>7</v>
      </c>
      <c r="X252" s="1556">
        <f t="shared" si="115"/>
        <v>7</v>
      </c>
    </row>
    <row r="253" spans="1:27" s="1106" customFormat="1">
      <c r="A253" s="3570"/>
      <c r="B253" s="3582"/>
      <c r="C253" s="3536"/>
      <c r="D253" s="1558">
        <f>COUNT(D74:D82)</f>
        <v>9</v>
      </c>
      <c r="E253" s="1558">
        <f t="shared" ref="E253:X253" si="117">COUNT(E74:E82)</f>
        <v>9</v>
      </c>
      <c r="F253" s="1558">
        <f t="shared" si="117"/>
        <v>9</v>
      </c>
      <c r="G253" s="1558">
        <f t="shared" si="117"/>
        <v>9</v>
      </c>
      <c r="H253" s="1558">
        <f t="shared" si="117"/>
        <v>9</v>
      </c>
      <c r="I253" s="1558">
        <f t="shared" si="117"/>
        <v>9</v>
      </c>
      <c r="J253" s="1558">
        <f t="shared" si="117"/>
        <v>9</v>
      </c>
      <c r="K253" s="1558">
        <f t="shared" si="117"/>
        <v>9</v>
      </c>
      <c r="L253" s="1558">
        <f t="shared" si="117"/>
        <v>9</v>
      </c>
      <c r="M253" s="1558">
        <f t="shared" si="117"/>
        <v>9</v>
      </c>
      <c r="N253" s="1869">
        <f t="shared" si="117"/>
        <v>9</v>
      </c>
      <c r="O253" s="1558">
        <f t="shared" si="117"/>
        <v>0</v>
      </c>
      <c r="P253" s="1558">
        <f t="shared" si="117"/>
        <v>9</v>
      </c>
      <c r="Q253" s="1558">
        <f t="shared" si="117"/>
        <v>9</v>
      </c>
      <c r="R253" s="1558">
        <f t="shared" si="117"/>
        <v>9</v>
      </c>
      <c r="S253" s="1558">
        <f t="shared" si="117"/>
        <v>9</v>
      </c>
      <c r="T253" s="3002">
        <f t="shared" ref="T253:W253" si="118">COUNT(T74:T82)</f>
        <v>9</v>
      </c>
      <c r="U253" s="3002">
        <f t="shared" si="118"/>
        <v>9</v>
      </c>
      <c r="V253" s="3002">
        <f t="shared" si="118"/>
        <v>9</v>
      </c>
      <c r="W253" s="3002">
        <f t="shared" si="118"/>
        <v>9</v>
      </c>
      <c r="X253" s="1558">
        <f t="shared" si="117"/>
        <v>9</v>
      </c>
      <c r="Y253" s="1096"/>
      <c r="Z253" s="1096"/>
      <c r="AA253" s="1096"/>
    </row>
    <row r="254" spans="1:27" s="1096" customFormat="1">
      <c r="A254" s="3570"/>
      <c r="B254" s="3583"/>
      <c r="C254" s="3537"/>
      <c r="D254" s="1557">
        <f>D252/D253</f>
        <v>1</v>
      </c>
      <c r="E254" s="1557">
        <f t="shared" ref="E254:X254" si="119">E252/E253</f>
        <v>1</v>
      </c>
      <c r="F254" s="1557">
        <f t="shared" si="119"/>
        <v>1</v>
      </c>
      <c r="G254" s="1557">
        <f t="shared" si="119"/>
        <v>1</v>
      </c>
      <c r="H254" s="1557">
        <f t="shared" si="119"/>
        <v>1</v>
      </c>
      <c r="I254" s="1557">
        <f t="shared" si="119"/>
        <v>1</v>
      </c>
      <c r="J254" s="1557">
        <f t="shared" si="119"/>
        <v>1</v>
      </c>
      <c r="K254" s="1557">
        <f t="shared" si="119"/>
        <v>1</v>
      </c>
      <c r="L254" s="1557">
        <f t="shared" si="119"/>
        <v>0.66666666666666663</v>
      </c>
      <c r="M254" s="1557">
        <f t="shared" si="119"/>
        <v>0.44444444444444442</v>
      </c>
      <c r="N254" s="1557">
        <f t="shared" si="119"/>
        <v>0.66666666666666663</v>
      </c>
      <c r="O254" s="1557" t="e">
        <f t="shared" si="119"/>
        <v>#DIV/0!</v>
      </c>
      <c r="P254" s="1557">
        <f t="shared" si="119"/>
        <v>0.77777777777777779</v>
      </c>
      <c r="Q254" s="1557">
        <f t="shared" si="119"/>
        <v>1</v>
      </c>
      <c r="R254" s="1557">
        <f t="shared" si="119"/>
        <v>1</v>
      </c>
      <c r="S254" s="1557">
        <f t="shared" si="119"/>
        <v>1</v>
      </c>
      <c r="T254" s="1557">
        <f t="shared" ref="T254:W254" si="120">T252/T253</f>
        <v>0.77777777777777779</v>
      </c>
      <c r="U254" s="1557">
        <f t="shared" si="120"/>
        <v>0.88888888888888884</v>
      </c>
      <c r="V254" s="1557">
        <f t="shared" si="120"/>
        <v>1</v>
      </c>
      <c r="W254" s="1557">
        <f t="shared" si="120"/>
        <v>0.77777777777777779</v>
      </c>
      <c r="X254" s="1557">
        <f t="shared" si="119"/>
        <v>0.77777777777777779</v>
      </c>
      <c r="Y254" s="1106"/>
      <c r="Z254" s="1106"/>
      <c r="AA254" s="1106"/>
    </row>
    <row r="255" spans="1:27" s="1096" customFormat="1">
      <c r="A255" s="3570"/>
      <c r="B255" s="3565" t="s">
        <v>40</v>
      </c>
      <c r="C255" s="3535">
        <f>COUNTA(A83:A92)</f>
        <v>10</v>
      </c>
      <c r="D255" s="1556">
        <f>COUNTIF(D83:D92,"&lt;=10")</f>
        <v>7</v>
      </c>
      <c r="E255" s="1556">
        <f t="shared" ref="E255:X255" si="121">COUNTIF(E83:E92,"&lt;=10")</f>
        <v>8</v>
      </c>
      <c r="F255" s="1556">
        <f t="shared" si="121"/>
        <v>9</v>
      </c>
      <c r="G255" s="1556">
        <f t="shared" si="121"/>
        <v>10</v>
      </c>
      <c r="H255" s="1556">
        <f t="shared" si="121"/>
        <v>10</v>
      </c>
      <c r="I255" s="1556">
        <f t="shared" si="121"/>
        <v>9</v>
      </c>
      <c r="J255" s="1556">
        <f t="shared" si="121"/>
        <v>7</v>
      </c>
      <c r="K255" s="1556">
        <f t="shared" si="121"/>
        <v>4</v>
      </c>
      <c r="L255" s="1556">
        <f t="shared" si="121"/>
        <v>3</v>
      </c>
      <c r="M255" s="1556">
        <f t="shared" si="121"/>
        <v>5</v>
      </c>
      <c r="N255" s="1868">
        <f t="shared" si="121"/>
        <v>3</v>
      </c>
      <c r="O255" s="1556">
        <f t="shared" si="121"/>
        <v>0</v>
      </c>
      <c r="P255" s="1556">
        <f t="shared" si="121"/>
        <v>4</v>
      </c>
      <c r="Q255" s="1556">
        <f t="shared" si="121"/>
        <v>10</v>
      </c>
      <c r="R255" s="1556">
        <f t="shared" si="121"/>
        <v>10</v>
      </c>
      <c r="S255" s="1556">
        <f t="shared" si="121"/>
        <v>6</v>
      </c>
      <c r="T255" s="3001">
        <f t="shared" ref="T255:W255" si="122">COUNTIF(T83:T92,"&lt;=10")</f>
        <v>7</v>
      </c>
      <c r="U255" s="3001">
        <f t="shared" si="122"/>
        <v>6</v>
      </c>
      <c r="V255" s="3001">
        <f t="shared" si="122"/>
        <v>6</v>
      </c>
      <c r="W255" s="3001">
        <f t="shared" si="122"/>
        <v>1</v>
      </c>
      <c r="X255" s="1556">
        <f t="shared" si="121"/>
        <v>3</v>
      </c>
    </row>
    <row r="256" spans="1:27" s="1106" customFormat="1">
      <c r="A256" s="3570"/>
      <c r="B256" s="3566"/>
      <c r="C256" s="3536"/>
      <c r="D256" s="1558">
        <f>COUNT(D83:D92)</f>
        <v>10</v>
      </c>
      <c r="E256" s="1558">
        <f t="shared" ref="E256:X256" si="123">COUNT(E83:E92)</f>
        <v>10</v>
      </c>
      <c r="F256" s="1558">
        <f t="shared" si="123"/>
        <v>10</v>
      </c>
      <c r="G256" s="1558">
        <f t="shared" si="123"/>
        <v>10</v>
      </c>
      <c r="H256" s="1558">
        <f t="shared" si="123"/>
        <v>10</v>
      </c>
      <c r="I256" s="1558">
        <f t="shared" si="123"/>
        <v>10</v>
      </c>
      <c r="J256" s="1558">
        <f t="shared" si="123"/>
        <v>10</v>
      </c>
      <c r="K256" s="1558">
        <f t="shared" si="123"/>
        <v>10</v>
      </c>
      <c r="L256" s="1558">
        <f t="shared" si="123"/>
        <v>10</v>
      </c>
      <c r="M256" s="1558">
        <f t="shared" si="123"/>
        <v>10</v>
      </c>
      <c r="N256" s="1869">
        <f t="shared" si="123"/>
        <v>10</v>
      </c>
      <c r="O256" s="1558">
        <f t="shared" si="123"/>
        <v>0</v>
      </c>
      <c r="P256" s="1558">
        <f t="shared" si="123"/>
        <v>10</v>
      </c>
      <c r="Q256" s="1558">
        <f t="shared" si="123"/>
        <v>10</v>
      </c>
      <c r="R256" s="1558">
        <f t="shared" si="123"/>
        <v>10</v>
      </c>
      <c r="S256" s="1558">
        <f t="shared" si="123"/>
        <v>10</v>
      </c>
      <c r="T256" s="3002">
        <f t="shared" ref="T256:W256" si="124">COUNT(T83:T92)</f>
        <v>10</v>
      </c>
      <c r="U256" s="3002">
        <f t="shared" si="124"/>
        <v>10</v>
      </c>
      <c r="V256" s="3002">
        <f t="shared" si="124"/>
        <v>10</v>
      </c>
      <c r="W256" s="3002">
        <f t="shared" si="124"/>
        <v>10</v>
      </c>
      <c r="X256" s="1558">
        <f t="shared" si="123"/>
        <v>10</v>
      </c>
      <c r="Y256" s="1096"/>
      <c r="Z256" s="1096"/>
      <c r="AA256" s="1096"/>
    </row>
    <row r="257" spans="1:56" s="4" customFormat="1">
      <c r="A257" s="3571"/>
      <c r="B257" s="3567"/>
      <c r="C257" s="3537"/>
      <c r="D257" s="1557">
        <f>D255/D256</f>
        <v>0.7</v>
      </c>
      <c r="E257" s="1557">
        <f t="shared" ref="E257:X257" si="125">E255/E256</f>
        <v>0.8</v>
      </c>
      <c r="F257" s="1557">
        <f t="shared" si="125"/>
        <v>0.9</v>
      </c>
      <c r="G257" s="1557">
        <f t="shared" si="125"/>
        <v>1</v>
      </c>
      <c r="H257" s="1557">
        <f t="shared" si="125"/>
        <v>1</v>
      </c>
      <c r="I257" s="1557">
        <f t="shared" si="125"/>
        <v>0.9</v>
      </c>
      <c r="J257" s="1557">
        <f t="shared" si="125"/>
        <v>0.7</v>
      </c>
      <c r="K257" s="1557">
        <f t="shared" si="125"/>
        <v>0.4</v>
      </c>
      <c r="L257" s="1557">
        <f t="shared" si="125"/>
        <v>0.3</v>
      </c>
      <c r="M257" s="1557">
        <f t="shared" si="125"/>
        <v>0.5</v>
      </c>
      <c r="N257" s="1557">
        <f t="shared" si="125"/>
        <v>0.3</v>
      </c>
      <c r="O257" s="1557" t="e">
        <f t="shared" si="125"/>
        <v>#DIV/0!</v>
      </c>
      <c r="P257" s="1557">
        <f t="shared" si="125"/>
        <v>0.4</v>
      </c>
      <c r="Q257" s="1557">
        <f t="shared" si="125"/>
        <v>1</v>
      </c>
      <c r="R257" s="1557">
        <f t="shared" si="125"/>
        <v>1</v>
      </c>
      <c r="S257" s="1557">
        <f t="shared" si="125"/>
        <v>0.6</v>
      </c>
      <c r="T257" s="1557">
        <f t="shared" ref="T257:W257" si="126">T255/T256</f>
        <v>0.7</v>
      </c>
      <c r="U257" s="1557">
        <f t="shared" si="126"/>
        <v>0.6</v>
      </c>
      <c r="V257" s="1557">
        <f t="shared" si="126"/>
        <v>0.6</v>
      </c>
      <c r="W257" s="1557">
        <f t="shared" si="126"/>
        <v>0.1</v>
      </c>
      <c r="X257" s="1557">
        <f t="shared" si="125"/>
        <v>0.3</v>
      </c>
      <c r="Y257" s="1106"/>
      <c r="Z257" s="1106"/>
      <c r="AA257" s="1106"/>
    </row>
    <row r="258" spans="1:56">
      <c r="A258" s="3569" t="s">
        <v>300</v>
      </c>
      <c r="B258" s="3565" t="s">
        <v>67</v>
      </c>
      <c r="C258" s="3535">
        <f>COUNTA(A99:A104)</f>
        <v>6</v>
      </c>
      <c r="D258" s="1556">
        <f t="shared" ref="D258:U258" si="127">COUNTIF(D99:D104,"&lt;=10")</f>
        <v>3</v>
      </c>
      <c r="E258" s="1556">
        <f t="shared" si="127"/>
        <v>3</v>
      </c>
      <c r="F258" s="1556">
        <f t="shared" si="127"/>
        <v>3</v>
      </c>
      <c r="G258" s="1556">
        <f t="shared" si="127"/>
        <v>0</v>
      </c>
      <c r="H258" s="1556">
        <f t="shared" si="127"/>
        <v>3</v>
      </c>
      <c r="I258" s="1556">
        <f t="shared" si="127"/>
        <v>3</v>
      </c>
      <c r="J258" s="1556">
        <f t="shared" si="127"/>
        <v>3</v>
      </c>
      <c r="K258" s="1556">
        <f t="shared" si="127"/>
        <v>3</v>
      </c>
      <c r="L258" s="1556">
        <f t="shared" si="127"/>
        <v>6</v>
      </c>
      <c r="M258" s="1556">
        <f t="shared" si="127"/>
        <v>0</v>
      </c>
      <c r="N258" s="1868">
        <f t="shared" si="127"/>
        <v>0</v>
      </c>
      <c r="O258" s="1556">
        <f t="shared" si="127"/>
        <v>0</v>
      </c>
      <c r="P258" s="1556">
        <f t="shared" si="127"/>
        <v>6</v>
      </c>
      <c r="Q258" s="1556">
        <f t="shared" si="127"/>
        <v>6</v>
      </c>
      <c r="R258" s="1556">
        <f t="shared" si="127"/>
        <v>0</v>
      </c>
      <c r="S258" s="1556">
        <f t="shared" si="127"/>
        <v>0</v>
      </c>
      <c r="T258" s="3001">
        <f t="shared" si="127"/>
        <v>0</v>
      </c>
      <c r="U258" s="3001">
        <f t="shared" si="127"/>
        <v>0</v>
      </c>
      <c r="V258" s="3001">
        <f>COUNTIF(Phosphate!V104:V109,"&lt;=10")</f>
        <v>6</v>
      </c>
      <c r="W258" s="3001">
        <f>COUNTIF(W99:W104,"&lt;=10")</f>
        <v>0</v>
      </c>
      <c r="X258" s="1556">
        <f>COUNTIF(X99:X104,"&lt;=10")</f>
        <v>0</v>
      </c>
      <c r="Y258" s="1096"/>
      <c r="Z258" s="1096"/>
      <c r="AA258" s="1096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</row>
    <row r="259" spans="1:56">
      <c r="A259" s="3570"/>
      <c r="B259" s="3566"/>
      <c r="C259" s="3536"/>
      <c r="D259" s="1558">
        <f t="shared" ref="D259:U259" si="128">COUNT(D99:D104)</f>
        <v>3</v>
      </c>
      <c r="E259" s="1558">
        <f t="shared" si="128"/>
        <v>3</v>
      </c>
      <c r="F259" s="1558">
        <f t="shared" si="128"/>
        <v>3</v>
      </c>
      <c r="G259" s="1558">
        <f t="shared" si="128"/>
        <v>0</v>
      </c>
      <c r="H259" s="1558">
        <f t="shared" si="128"/>
        <v>3</v>
      </c>
      <c r="I259" s="1558">
        <f t="shared" si="128"/>
        <v>3</v>
      </c>
      <c r="J259" s="1558">
        <f t="shared" si="128"/>
        <v>3</v>
      </c>
      <c r="K259" s="1558">
        <f t="shared" si="128"/>
        <v>3</v>
      </c>
      <c r="L259" s="1558">
        <f t="shared" si="128"/>
        <v>6</v>
      </c>
      <c r="M259" s="1558">
        <f t="shared" si="128"/>
        <v>0</v>
      </c>
      <c r="N259" s="1869">
        <f t="shared" si="128"/>
        <v>0</v>
      </c>
      <c r="O259" s="1558">
        <f t="shared" si="128"/>
        <v>0</v>
      </c>
      <c r="P259" s="1558">
        <f t="shared" si="128"/>
        <v>6</v>
      </c>
      <c r="Q259" s="1558">
        <f t="shared" si="128"/>
        <v>6</v>
      </c>
      <c r="R259" s="1558">
        <f t="shared" si="128"/>
        <v>0</v>
      </c>
      <c r="S259" s="1558">
        <f t="shared" si="128"/>
        <v>0</v>
      </c>
      <c r="T259" s="3002">
        <f t="shared" si="128"/>
        <v>0</v>
      </c>
      <c r="U259" s="3002">
        <f t="shared" si="128"/>
        <v>0</v>
      </c>
      <c r="V259" s="3002">
        <f>COUNT(Phosphate!V104:V109)</f>
        <v>6</v>
      </c>
      <c r="W259" s="3002">
        <f>COUNT(W99:W104)</f>
        <v>0</v>
      </c>
      <c r="X259" s="1558">
        <f>COUNT(X99:X104)</f>
        <v>0</v>
      </c>
      <c r="Y259" s="1096"/>
      <c r="Z259" s="1096"/>
      <c r="AA259" s="1096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</row>
    <row r="260" spans="1:56">
      <c r="A260" s="3570"/>
      <c r="B260" s="3567"/>
      <c r="C260" s="3537"/>
      <c r="D260" s="1557">
        <f>D258/D259</f>
        <v>1</v>
      </c>
      <c r="E260" s="1557">
        <f t="shared" ref="E260:X260" si="129">E258/E259</f>
        <v>1</v>
      </c>
      <c r="F260" s="1557">
        <f t="shared" si="129"/>
        <v>1</v>
      </c>
      <c r="G260" s="1557" t="e">
        <f t="shared" si="129"/>
        <v>#DIV/0!</v>
      </c>
      <c r="H260" s="1557">
        <f t="shared" si="129"/>
        <v>1</v>
      </c>
      <c r="I260" s="1557">
        <f t="shared" si="129"/>
        <v>1</v>
      </c>
      <c r="J260" s="1557">
        <f t="shared" si="129"/>
        <v>1</v>
      </c>
      <c r="K260" s="1557">
        <f t="shared" si="129"/>
        <v>1</v>
      </c>
      <c r="L260" s="1557">
        <f t="shared" si="129"/>
        <v>1</v>
      </c>
      <c r="M260" s="1557" t="e">
        <f t="shared" si="129"/>
        <v>#DIV/0!</v>
      </c>
      <c r="N260" s="1557" t="e">
        <f t="shared" si="129"/>
        <v>#DIV/0!</v>
      </c>
      <c r="O260" s="1557" t="e">
        <f t="shared" si="129"/>
        <v>#DIV/0!</v>
      </c>
      <c r="P260" s="1557">
        <f t="shared" si="129"/>
        <v>1</v>
      </c>
      <c r="Q260" s="1557">
        <f t="shared" si="129"/>
        <v>1</v>
      </c>
      <c r="R260" s="1557" t="e">
        <f t="shared" si="129"/>
        <v>#DIV/0!</v>
      </c>
      <c r="S260" s="1557" t="e">
        <f t="shared" si="129"/>
        <v>#DIV/0!</v>
      </c>
      <c r="T260" s="1557" t="e">
        <f t="shared" ref="T260:W260" si="130">T258/T259</f>
        <v>#DIV/0!</v>
      </c>
      <c r="U260" s="1557" t="e">
        <f t="shared" si="130"/>
        <v>#DIV/0!</v>
      </c>
      <c r="V260" s="1557">
        <f t="shared" si="130"/>
        <v>1</v>
      </c>
      <c r="W260" s="1557" t="e">
        <f t="shared" si="130"/>
        <v>#DIV/0!</v>
      </c>
      <c r="X260" s="1557" t="e">
        <f t="shared" si="129"/>
        <v>#DIV/0!</v>
      </c>
      <c r="Y260" s="1106"/>
      <c r="Z260" s="1106"/>
      <c r="AA260" s="1106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</row>
    <row r="261" spans="1:56">
      <c r="A261" s="3570"/>
      <c r="B261" s="3565" t="s">
        <v>186</v>
      </c>
      <c r="C261" s="3535">
        <f>COUNTA(A105:A112)</f>
        <v>8</v>
      </c>
      <c r="D261" s="1556">
        <f>COUNTIF(D105:D112,"&lt;=10")</f>
        <v>6</v>
      </c>
      <c r="E261" s="1556">
        <f t="shared" ref="E261:X261" si="131">COUNTIF(E105:E112,"&lt;=10")</f>
        <v>6</v>
      </c>
      <c r="F261" s="1556">
        <f t="shared" si="131"/>
        <v>6</v>
      </c>
      <c r="G261" s="1556">
        <f t="shared" si="131"/>
        <v>0</v>
      </c>
      <c r="H261" s="1556">
        <f t="shared" si="131"/>
        <v>6</v>
      </c>
      <c r="I261" s="1556">
        <f t="shared" si="131"/>
        <v>6</v>
      </c>
      <c r="J261" s="1556">
        <f t="shared" si="131"/>
        <v>6</v>
      </c>
      <c r="K261" s="1556">
        <f t="shared" si="131"/>
        <v>6</v>
      </c>
      <c r="L261" s="1556">
        <f t="shared" si="131"/>
        <v>8</v>
      </c>
      <c r="M261" s="1556">
        <f t="shared" si="131"/>
        <v>0</v>
      </c>
      <c r="N261" s="1868">
        <f t="shared" si="131"/>
        <v>0</v>
      </c>
      <c r="O261" s="1556">
        <f t="shared" si="131"/>
        <v>0</v>
      </c>
      <c r="P261" s="1556">
        <f t="shared" si="131"/>
        <v>8</v>
      </c>
      <c r="Q261" s="1556">
        <f t="shared" si="131"/>
        <v>8</v>
      </c>
      <c r="R261" s="1556">
        <f t="shared" si="131"/>
        <v>0</v>
      </c>
      <c r="S261" s="1556">
        <f t="shared" si="131"/>
        <v>0</v>
      </c>
      <c r="T261" s="3001">
        <f t="shared" ref="T261:W261" si="132">COUNTIF(T105:T112,"&lt;=10")</f>
        <v>0</v>
      </c>
      <c r="U261" s="3001">
        <f t="shared" si="132"/>
        <v>0</v>
      </c>
      <c r="V261" s="3001">
        <f t="shared" si="132"/>
        <v>8</v>
      </c>
      <c r="W261" s="3001">
        <f t="shared" si="132"/>
        <v>0</v>
      </c>
      <c r="X261" s="1556">
        <f t="shared" si="131"/>
        <v>0</v>
      </c>
      <c r="Y261" s="1096"/>
      <c r="Z261" s="1096"/>
      <c r="AA261" s="1096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</row>
    <row r="262" spans="1:56">
      <c r="A262" s="3570"/>
      <c r="B262" s="3566"/>
      <c r="C262" s="3536"/>
      <c r="D262" s="1558">
        <f>COUNT(D105:D112)</f>
        <v>6</v>
      </c>
      <c r="E262" s="1558">
        <f t="shared" ref="E262:X262" si="133">COUNT(E105:E112)</f>
        <v>6</v>
      </c>
      <c r="F262" s="1558">
        <f t="shared" si="133"/>
        <v>6</v>
      </c>
      <c r="G262" s="1558">
        <f t="shared" si="133"/>
        <v>0</v>
      </c>
      <c r="H262" s="1558">
        <f t="shared" si="133"/>
        <v>6</v>
      </c>
      <c r="I262" s="1558">
        <f t="shared" si="133"/>
        <v>6</v>
      </c>
      <c r="J262" s="1558">
        <f t="shared" si="133"/>
        <v>6</v>
      </c>
      <c r="K262" s="1558">
        <f t="shared" si="133"/>
        <v>6</v>
      </c>
      <c r="L262" s="1558">
        <f t="shared" si="133"/>
        <v>8</v>
      </c>
      <c r="M262" s="1558">
        <f t="shared" si="133"/>
        <v>0</v>
      </c>
      <c r="N262" s="1869">
        <f t="shared" si="133"/>
        <v>0</v>
      </c>
      <c r="O262" s="1558">
        <f t="shared" si="133"/>
        <v>0</v>
      </c>
      <c r="P262" s="1558">
        <f t="shared" si="133"/>
        <v>8</v>
      </c>
      <c r="Q262" s="1558">
        <f t="shared" si="133"/>
        <v>8</v>
      </c>
      <c r="R262" s="1558">
        <f t="shared" si="133"/>
        <v>0</v>
      </c>
      <c r="S262" s="1558">
        <f t="shared" si="133"/>
        <v>0</v>
      </c>
      <c r="T262" s="3002">
        <f t="shared" ref="T262:W262" si="134">COUNT(T105:T112)</f>
        <v>0</v>
      </c>
      <c r="U262" s="3002">
        <f t="shared" si="134"/>
        <v>0</v>
      </c>
      <c r="V262" s="3002">
        <f t="shared" si="134"/>
        <v>8</v>
      </c>
      <c r="W262" s="3002">
        <f t="shared" si="134"/>
        <v>0</v>
      </c>
      <c r="X262" s="1558">
        <f t="shared" si="133"/>
        <v>0</v>
      </c>
      <c r="Y262" s="1096"/>
      <c r="Z262" s="1096"/>
      <c r="AA262" s="1096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</row>
    <row r="263" spans="1:56">
      <c r="A263" s="3570"/>
      <c r="B263" s="3567"/>
      <c r="C263" s="3537"/>
      <c r="D263" s="1557">
        <f>D261/D262</f>
        <v>1</v>
      </c>
      <c r="E263" s="1557">
        <f t="shared" ref="E263:X263" si="135">E261/E262</f>
        <v>1</v>
      </c>
      <c r="F263" s="1557">
        <f t="shared" si="135"/>
        <v>1</v>
      </c>
      <c r="G263" s="1557" t="e">
        <f t="shared" si="135"/>
        <v>#DIV/0!</v>
      </c>
      <c r="H263" s="1557">
        <f t="shared" si="135"/>
        <v>1</v>
      </c>
      <c r="I263" s="1557">
        <f t="shared" si="135"/>
        <v>1</v>
      </c>
      <c r="J263" s="1557">
        <f t="shared" si="135"/>
        <v>1</v>
      </c>
      <c r="K263" s="1557">
        <f t="shared" si="135"/>
        <v>1</v>
      </c>
      <c r="L263" s="1557">
        <f t="shared" si="135"/>
        <v>1</v>
      </c>
      <c r="M263" s="1557" t="e">
        <f t="shared" si="135"/>
        <v>#DIV/0!</v>
      </c>
      <c r="N263" s="1557" t="e">
        <f t="shared" si="135"/>
        <v>#DIV/0!</v>
      </c>
      <c r="O263" s="1557" t="e">
        <f t="shared" si="135"/>
        <v>#DIV/0!</v>
      </c>
      <c r="P263" s="1557">
        <f t="shared" si="135"/>
        <v>1</v>
      </c>
      <c r="Q263" s="1557">
        <f t="shared" si="135"/>
        <v>1</v>
      </c>
      <c r="R263" s="1557" t="e">
        <f t="shared" si="135"/>
        <v>#DIV/0!</v>
      </c>
      <c r="S263" s="1557" t="e">
        <f t="shared" si="135"/>
        <v>#DIV/0!</v>
      </c>
      <c r="T263" s="1557" t="e">
        <f t="shared" ref="T263:W263" si="136">T261/T262</f>
        <v>#DIV/0!</v>
      </c>
      <c r="U263" s="1557" t="e">
        <f t="shared" si="136"/>
        <v>#DIV/0!</v>
      </c>
      <c r="V263" s="1557">
        <f t="shared" si="136"/>
        <v>1</v>
      </c>
      <c r="W263" s="1557" t="e">
        <f t="shared" si="136"/>
        <v>#DIV/0!</v>
      </c>
      <c r="X263" s="1557" t="e">
        <f t="shared" si="135"/>
        <v>#DIV/0!</v>
      </c>
      <c r="Y263" s="1106"/>
      <c r="Z263" s="1106"/>
      <c r="AA263" s="1106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</row>
    <row r="264" spans="1:56">
      <c r="A264" s="3570"/>
      <c r="B264" s="3565" t="s">
        <v>133</v>
      </c>
      <c r="C264" s="3535">
        <f>COUNTA(A113:A117)</f>
        <v>5</v>
      </c>
      <c r="D264" s="1556">
        <f>COUNTIF(D113:D117,"&lt;=10")</f>
        <v>0</v>
      </c>
      <c r="E264" s="1556">
        <f t="shared" ref="E264:X264" si="137">COUNTIF(E113:E117,"&lt;=10")</f>
        <v>0</v>
      </c>
      <c r="F264" s="1556">
        <f t="shared" si="137"/>
        <v>0</v>
      </c>
      <c r="G264" s="1556">
        <f t="shared" si="137"/>
        <v>0</v>
      </c>
      <c r="H264" s="1556">
        <f t="shared" si="137"/>
        <v>0</v>
      </c>
      <c r="I264" s="1556">
        <f t="shared" si="137"/>
        <v>5</v>
      </c>
      <c r="J264" s="1556">
        <f t="shared" si="137"/>
        <v>5</v>
      </c>
      <c r="K264" s="1556">
        <f t="shared" si="137"/>
        <v>5</v>
      </c>
      <c r="L264" s="1556">
        <f t="shared" si="137"/>
        <v>0</v>
      </c>
      <c r="M264" s="1556">
        <f t="shared" si="137"/>
        <v>0</v>
      </c>
      <c r="N264" s="1868">
        <f t="shared" si="137"/>
        <v>0</v>
      </c>
      <c r="O264" s="1556">
        <f t="shared" si="137"/>
        <v>0</v>
      </c>
      <c r="P264" s="1556">
        <f t="shared" si="137"/>
        <v>5</v>
      </c>
      <c r="Q264" s="1556">
        <f t="shared" si="137"/>
        <v>5</v>
      </c>
      <c r="R264" s="1556">
        <f t="shared" si="137"/>
        <v>0</v>
      </c>
      <c r="S264" s="1556">
        <f t="shared" si="137"/>
        <v>0</v>
      </c>
      <c r="T264" s="3001">
        <f t="shared" ref="T264:W264" si="138">COUNTIF(T113:T117,"&lt;=10")</f>
        <v>0</v>
      </c>
      <c r="U264" s="3001">
        <f t="shared" si="138"/>
        <v>0</v>
      </c>
      <c r="V264" s="3001">
        <f t="shared" si="138"/>
        <v>5</v>
      </c>
      <c r="W264" s="3001">
        <f t="shared" si="138"/>
        <v>0</v>
      </c>
      <c r="X264" s="1556">
        <f t="shared" si="137"/>
        <v>0</v>
      </c>
      <c r="Y264" s="1096"/>
      <c r="Z264" s="1096"/>
      <c r="AA264" s="1096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</row>
    <row r="265" spans="1:56">
      <c r="A265" s="3570"/>
      <c r="B265" s="3566"/>
      <c r="C265" s="3536"/>
      <c r="D265" s="1558">
        <f>COUNT(D113:D117)</f>
        <v>0</v>
      </c>
      <c r="E265" s="1558">
        <f t="shared" ref="E265:X265" si="139">COUNT(E113:E117)</f>
        <v>0</v>
      </c>
      <c r="F265" s="1558">
        <f t="shared" si="139"/>
        <v>0</v>
      </c>
      <c r="G265" s="1558">
        <f t="shared" si="139"/>
        <v>0</v>
      </c>
      <c r="H265" s="1558">
        <f t="shared" si="139"/>
        <v>0</v>
      </c>
      <c r="I265" s="1558">
        <f t="shared" si="139"/>
        <v>5</v>
      </c>
      <c r="J265" s="1558">
        <f t="shared" si="139"/>
        <v>5</v>
      </c>
      <c r="K265" s="1558">
        <f t="shared" si="139"/>
        <v>5</v>
      </c>
      <c r="L265" s="1558">
        <f t="shared" si="139"/>
        <v>0</v>
      </c>
      <c r="M265" s="1558">
        <f t="shared" si="139"/>
        <v>0</v>
      </c>
      <c r="N265" s="1869">
        <f t="shared" si="139"/>
        <v>0</v>
      </c>
      <c r="O265" s="1558">
        <f t="shared" si="139"/>
        <v>0</v>
      </c>
      <c r="P265" s="1558">
        <f t="shared" si="139"/>
        <v>5</v>
      </c>
      <c r="Q265" s="1558">
        <f t="shared" si="139"/>
        <v>5</v>
      </c>
      <c r="R265" s="1558">
        <f t="shared" si="139"/>
        <v>0</v>
      </c>
      <c r="S265" s="1558">
        <f t="shared" si="139"/>
        <v>0</v>
      </c>
      <c r="T265" s="3002">
        <f t="shared" ref="T265:W265" si="140">COUNT(T113:T117)</f>
        <v>0</v>
      </c>
      <c r="U265" s="3002">
        <f t="shared" si="140"/>
        <v>0</v>
      </c>
      <c r="V265" s="3002">
        <f t="shared" si="140"/>
        <v>5</v>
      </c>
      <c r="W265" s="3002">
        <f t="shared" si="140"/>
        <v>0</v>
      </c>
      <c r="X265" s="1558">
        <f t="shared" si="139"/>
        <v>0</v>
      </c>
      <c r="Y265" s="1096"/>
      <c r="Z265" s="1096"/>
      <c r="AA265" s="1096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</row>
    <row r="266" spans="1:56">
      <c r="A266" s="3570"/>
      <c r="B266" s="3567"/>
      <c r="C266" s="3537"/>
      <c r="D266" s="1557" t="e">
        <f>D264/D265</f>
        <v>#DIV/0!</v>
      </c>
      <c r="E266" s="1557" t="e">
        <f t="shared" ref="E266:X266" si="141">E264/E265</f>
        <v>#DIV/0!</v>
      </c>
      <c r="F266" s="1557" t="e">
        <f t="shared" si="141"/>
        <v>#DIV/0!</v>
      </c>
      <c r="G266" s="1557" t="e">
        <f t="shared" si="141"/>
        <v>#DIV/0!</v>
      </c>
      <c r="H266" s="1557" t="e">
        <f t="shared" si="141"/>
        <v>#DIV/0!</v>
      </c>
      <c r="I266" s="1557">
        <f t="shared" si="141"/>
        <v>1</v>
      </c>
      <c r="J266" s="1557">
        <f t="shared" si="141"/>
        <v>1</v>
      </c>
      <c r="K266" s="1557">
        <f t="shared" si="141"/>
        <v>1</v>
      </c>
      <c r="L266" s="1557" t="e">
        <f t="shared" si="141"/>
        <v>#DIV/0!</v>
      </c>
      <c r="M266" s="1557" t="e">
        <f t="shared" si="141"/>
        <v>#DIV/0!</v>
      </c>
      <c r="N266" s="1557" t="e">
        <f t="shared" si="141"/>
        <v>#DIV/0!</v>
      </c>
      <c r="O266" s="1557" t="e">
        <f t="shared" si="141"/>
        <v>#DIV/0!</v>
      </c>
      <c r="P266" s="1557">
        <f t="shared" si="141"/>
        <v>1</v>
      </c>
      <c r="Q266" s="1557">
        <f t="shared" si="141"/>
        <v>1</v>
      </c>
      <c r="R266" s="1557" t="e">
        <f t="shared" si="141"/>
        <v>#DIV/0!</v>
      </c>
      <c r="S266" s="1557" t="e">
        <f t="shared" si="141"/>
        <v>#DIV/0!</v>
      </c>
      <c r="T266" s="1557" t="e">
        <f t="shared" ref="T266:W266" si="142">T264/T265</f>
        <v>#DIV/0!</v>
      </c>
      <c r="U266" s="1557" t="e">
        <f t="shared" si="142"/>
        <v>#DIV/0!</v>
      </c>
      <c r="V266" s="1557">
        <f t="shared" si="142"/>
        <v>1</v>
      </c>
      <c r="W266" s="1557" t="e">
        <f t="shared" si="142"/>
        <v>#DIV/0!</v>
      </c>
      <c r="X266" s="1557" t="e">
        <f t="shared" si="141"/>
        <v>#DIV/0!</v>
      </c>
      <c r="Y266" s="1106"/>
      <c r="Z266" s="1106"/>
      <c r="AA266" s="1106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</row>
    <row r="267" spans="1:56">
      <c r="A267" s="3570"/>
      <c r="B267" s="3565" t="s">
        <v>70</v>
      </c>
      <c r="C267" s="3535">
        <f>COUNTA(A118:A122)</f>
        <v>5</v>
      </c>
      <c r="D267" s="1556">
        <f>COUNTIF(D118:D122,"&lt;=10")</f>
        <v>5</v>
      </c>
      <c r="E267" s="1556">
        <f t="shared" ref="E267:X267" si="143">COUNTIF(E118:E122,"&lt;=10")</f>
        <v>5</v>
      </c>
      <c r="F267" s="1556">
        <f t="shared" si="143"/>
        <v>5</v>
      </c>
      <c r="G267" s="1556">
        <f t="shared" si="143"/>
        <v>0</v>
      </c>
      <c r="H267" s="1556">
        <f t="shared" si="143"/>
        <v>5</v>
      </c>
      <c r="I267" s="1556">
        <f t="shared" si="143"/>
        <v>5</v>
      </c>
      <c r="J267" s="1556">
        <f t="shared" si="143"/>
        <v>5</v>
      </c>
      <c r="K267" s="1556">
        <f t="shared" si="143"/>
        <v>5</v>
      </c>
      <c r="L267" s="1556">
        <f t="shared" si="143"/>
        <v>5</v>
      </c>
      <c r="M267" s="1556">
        <f t="shared" si="143"/>
        <v>0</v>
      </c>
      <c r="N267" s="1868">
        <f t="shared" si="143"/>
        <v>0</v>
      </c>
      <c r="O267" s="1556">
        <f t="shared" si="143"/>
        <v>0</v>
      </c>
      <c r="P267" s="1556">
        <f t="shared" si="143"/>
        <v>5</v>
      </c>
      <c r="Q267" s="1556">
        <f t="shared" si="143"/>
        <v>5</v>
      </c>
      <c r="R267" s="1556">
        <f t="shared" si="143"/>
        <v>0</v>
      </c>
      <c r="S267" s="1556">
        <f t="shared" si="143"/>
        <v>0</v>
      </c>
      <c r="T267" s="3001">
        <f t="shared" ref="T267:W267" si="144">COUNTIF(T118:T122,"&lt;=10")</f>
        <v>0</v>
      </c>
      <c r="U267" s="3001">
        <f t="shared" si="144"/>
        <v>0</v>
      </c>
      <c r="V267" s="3001">
        <f t="shared" si="144"/>
        <v>5</v>
      </c>
      <c r="W267" s="3001">
        <f t="shared" si="144"/>
        <v>0</v>
      </c>
      <c r="X267" s="1556">
        <f t="shared" si="143"/>
        <v>0</v>
      </c>
      <c r="Y267" s="1096"/>
      <c r="Z267" s="1096"/>
      <c r="AA267" s="1096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</row>
    <row r="268" spans="1:56">
      <c r="A268" s="3570"/>
      <c r="B268" s="3566"/>
      <c r="C268" s="3536"/>
      <c r="D268" s="1558">
        <f>COUNT(D118:D122)</f>
        <v>5</v>
      </c>
      <c r="E268" s="1558">
        <f t="shared" ref="E268:X268" si="145">COUNT(E118:E122)</f>
        <v>5</v>
      </c>
      <c r="F268" s="1558">
        <f t="shared" si="145"/>
        <v>5</v>
      </c>
      <c r="G268" s="1558">
        <f t="shared" si="145"/>
        <v>0</v>
      </c>
      <c r="H268" s="1558">
        <f t="shared" si="145"/>
        <v>5</v>
      </c>
      <c r="I268" s="1558">
        <f t="shared" si="145"/>
        <v>5</v>
      </c>
      <c r="J268" s="1558">
        <f t="shared" si="145"/>
        <v>5</v>
      </c>
      <c r="K268" s="1558">
        <f t="shared" si="145"/>
        <v>5</v>
      </c>
      <c r="L268" s="1558">
        <f t="shared" si="145"/>
        <v>5</v>
      </c>
      <c r="M268" s="1558">
        <f t="shared" si="145"/>
        <v>0</v>
      </c>
      <c r="N268" s="1869">
        <f t="shared" si="145"/>
        <v>0</v>
      </c>
      <c r="O268" s="1558">
        <f t="shared" si="145"/>
        <v>0</v>
      </c>
      <c r="P268" s="1558">
        <f t="shared" si="145"/>
        <v>5</v>
      </c>
      <c r="Q268" s="1558">
        <f t="shared" si="145"/>
        <v>5</v>
      </c>
      <c r="R268" s="1558">
        <f t="shared" si="145"/>
        <v>0</v>
      </c>
      <c r="S268" s="1558">
        <f t="shared" si="145"/>
        <v>0</v>
      </c>
      <c r="T268" s="3002">
        <f t="shared" ref="T268:W268" si="146">COUNT(T118:T122)</f>
        <v>0</v>
      </c>
      <c r="U268" s="3002">
        <f t="shared" si="146"/>
        <v>0</v>
      </c>
      <c r="V268" s="3002">
        <f t="shared" si="146"/>
        <v>5</v>
      </c>
      <c r="W268" s="3002">
        <f t="shared" si="146"/>
        <v>0</v>
      </c>
      <c r="X268" s="1558">
        <f t="shared" si="145"/>
        <v>0</v>
      </c>
      <c r="Y268" s="1096"/>
      <c r="Z268" s="1096"/>
      <c r="AA268" s="1096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</row>
    <row r="269" spans="1:56">
      <c r="A269" s="3571"/>
      <c r="B269" s="3567"/>
      <c r="C269" s="3537"/>
      <c r="D269" s="1557">
        <f>D267/D268</f>
        <v>1</v>
      </c>
      <c r="E269" s="1557">
        <f t="shared" ref="E269:X269" si="147">E267/E268</f>
        <v>1</v>
      </c>
      <c r="F269" s="1557">
        <f t="shared" si="147"/>
        <v>1</v>
      </c>
      <c r="G269" s="1557" t="e">
        <f t="shared" si="147"/>
        <v>#DIV/0!</v>
      </c>
      <c r="H269" s="1557">
        <f t="shared" si="147"/>
        <v>1</v>
      </c>
      <c r="I269" s="1557">
        <f t="shared" si="147"/>
        <v>1</v>
      </c>
      <c r="J269" s="1557">
        <f t="shared" si="147"/>
        <v>1</v>
      </c>
      <c r="K269" s="1557">
        <f t="shared" si="147"/>
        <v>1</v>
      </c>
      <c r="L269" s="1557">
        <f t="shared" si="147"/>
        <v>1</v>
      </c>
      <c r="M269" s="1557" t="e">
        <f t="shared" si="147"/>
        <v>#DIV/0!</v>
      </c>
      <c r="N269" s="1557" t="e">
        <f t="shared" si="147"/>
        <v>#DIV/0!</v>
      </c>
      <c r="O269" s="1557" t="e">
        <f t="shared" si="147"/>
        <v>#DIV/0!</v>
      </c>
      <c r="P269" s="1557">
        <f t="shared" si="147"/>
        <v>1</v>
      </c>
      <c r="Q269" s="1557">
        <f t="shared" si="147"/>
        <v>1</v>
      </c>
      <c r="R269" s="1557" t="e">
        <f t="shared" si="147"/>
        <v>#DIV/0!</v>
      </c>
      <c r="S269" s="1557" t="e">
        <f t="shared" si="147"/>
        <v>#DIV/0!</v>
      </c>
      <c r="T269" s="1557" t="e">
        <f t="shared" ref="T269:W269" si="148">T267/T268</f>
        <v>#DIV/0!</v>
      </c>
      <c r="U269" s="1557" t="e">
        <f t="shared" si="148"/>
        <v>#DIV/0!</v>
      </c>
      <c r="V269" s="1557">
        <f t="shared" si="148"/>
        <v>1</v>
      </c>
      <c r="W269" s="1557" t="e">
        <f t="shared" si="148"/>
        <v>#DIV/0!</v>
      </c>
      <c r="X269" s="1557" t="e">
        <f t="shared" si="147"/>
        <v>#DIV/0!</v>
      </c>
      <c r="Y269" s="1106"/>
      <c r="Z269" s="1106"/>
      <c r="AA269" s="1106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</row>
    <row r="270" spans="1:56">
      <c r="A270" s="3572" t="s">
        <v>291</v>
      </c>
      <c r="B270" s="3574"/>
      <c r="C270" s="1104">
        <f>SUM(C219:C267)</f>
        <v>88</v>
      </c>
      <c r="D270" s="1104">
        <f t="shared" ref="D270:X270" si="149">SUM(D219,D222,D225,D228,D231,D234,D237,D240,D243,D249,D252,D255,D258,D261,D264,D267)</f>
        <v>36</v>
      </c>
      <c r="E270" s="1104">
        <f t="shared" si="149"/>
        <v>37</v>
      </c>
      <c r="F270" s="1104">
        <f t="shared" si="149"/>
        <v>38</v>
      </c>
      <c r="G270" s="1104">
        <f t="shared" si="149"/>
        <v>24</v>
      </c>
      <c r="H270" s="1104">
        <f t="shared" si="149"/>
        <v>40</v>
      </c>
      <c r="I270" s="1104">
        <f t="shared" si="149"/>
        <v>78</v>
      </c>
      <c r="J270" s="1104">
        <f t="shared" si="149"/>
        <v>75</v>
      </c>
      <c r="K270" s="1104">
        <f t="shared" si="149"/>
        <v>71</v>
      </c>
      <c r="L270" s="1104">
        <f t="shared" si="149"/>
        <v>64</v>
      </c>
      <c r="M270" s="1104">
        <f t="shared" si="149"/>
        <v>14</v>
      </c>
      <c r="N270" s="1104">
        <f t="shared" si="149"/>
        <v>45</v>
      </c>
      <c r="O270" s="1104">
        <f t="shared" si="149"/>
        <v>0</v>
      </c>
      <c r="P270" s="1104">
        <f t="shared" si="149"/>
        <v>68</v>
      </c>
      <c r="Q270" s="1104">
        <f t="shared" si="149"/>
        <v>77</v>
      </c>
      <c r="R270" s="1104">
        <f t="shared" si="149"/>
        <v>53</v>
      </c>
      <c r="S270" s="1104">
        <f t="shared" si="149"/>
        <v>53</v>
      </c>
      <c r="T270" s="1104">
        <f t="shared" si="149"/>
        <v>31</v>
      </c>
      <c r="U270" s="1104">
        <f t="shared" si="149"/>
        <v>31</v>
      </c>
      <c r="V270" s="1104">
        <f t="shared" si="149"/>
        <v>54</v>
      </c>
      <c r="W270" s="1104">
        <f t="shared" si="149"/>
        <v>46</v>
      </c>
      <c r="X270" s="1104">
        <f t="shared" si="149"/>
        <v>14</v>
      </c>
      <c r="Y270" s="1096"/>
      <c r="Z270" s="1096"/>
      <c r="AA270" s="1096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</row>
    <row r="271" spans="1:56">
      <c r="A271" s="3575"/>
      <c r="B271" s="3577"/>
      <c r="C271" s="1375" t="s">
        <v>305</v>
      </c>
      <c r="D271" s="1104">
        <f t="shared" ref="D271:X271" si="150">SUM(D220,D223,D226,D229,D232,D235,D238,D241,D244,D250,D253,D256,D259,D262,D265,D268)</f>
        <v>40</v>
      </c>
      <c r="E271" s="1104">
        <f t="shared" si="150"/>
        <v>40</v>
      </c>
      <c r="F271" s="1104">
        <f t="shared" si="150"/>
        <v>40</v>
      </c>
      <c r="G271" s="1104">
        <f t="shared" si="150"/>
        <v>26</v>
      </c>
      <c r="H271" s="1104">
        <f t="shared" si="150"/>
        <v>40</v>
      </c>
      <c r="I271" s="1104">
        <f t="shared" si="150"/>
        <v>79</v>
      </c>
      <c r="J271" s="1104">
        <f t="shared" si="150"/>
        <v>79</v>
      </c>
      <c r="K271" s="1104">
        <f t="shared" si="150"/>
        <v>79</v>
      </c>
      <c r="L271" s="1104">
        <f t="shared" si="150"/>
        <v>75</v>
      </c>
      <c r="M271" s="1104">
        <f t="shared" si="150"/>
        <v>26</v>
      </c>
      <c r="N271" s="1104">
        <f t="shared" si="150"/>
        <v>57</v>
      </c>
      <c r="O271" s="1104">
        <f t="shared" si="150"/>
        <v>0</v>
      </c>
      <c r="P271" s="1104">
        <f t="shared" si="150"/>
        <v>79</v>
      </c>
      <c r="Q271" s="1104">
        <f t="shared" si="150"/>
        <v>78</v>
      </c>
      <c r="R271" s="1104">
        <f t="shared" si="150"/>
        <v>55</v>
      </c>
      <c r="S271" s="1104">
        <f t="shared" si="150"/>
        <v>60</v>
      </c>
      <c r="T271" s="1104">
        <f t="shared" si="150"/>
        <v>39</v>
      </c>
      <c r="U271" s="1104">
        <f t="shared" si="150"/>
        <v>38</v>
      </c>
      <c r="V271" s="1104">
        <f t="shared" si="150"/>
        <v>61</v>
      </c>
      <c r="W271" s="1104">
        <f t="shared" si="150"/>
        <v>60</v>
      </c>
      <c r="X271" s="1104">
        <f t="shared" si="150"/>
        <v>26</v>
      </c>
      <c r="Y271" s="1096"/>
      <c r="Z271" s="1096"/>
      <c r="AA271" s="1096"/>
    </row>
    <row r="272" spans="1:56">
      <c r="A272" s="3578"/>
      <c r="B272" s="3580"/>
      <c r="C272" s="1100" t="s">
        <v>302</v>
      </c>
      <c r="D272" s="1557">
        <f>D270/D271</f>
        <v>0.9</v>
      </c>
      <c r="E272" s="1557">
        <f>E270/E271</f>
        <v>0.92500000000000004</v>
      </c>
      <c r="F272" s="1557">
        <f>F270/F271</f>
        <v>0.95</v>
      </c>
      <c r="G272" s="1557">
        <f t="shared" ref="G272:X272" si="151">G270/G271</f>
        <v>0.92307692307692313</v>
      </c>
      <c r="H272" s="1557">
        <f t="shared" si="151"/>
        <v>1</v>
      </c>
      <c r="I272" s="1557">
        <f t="shared" si="151"/>
        <v>0.98734177215189878</v>
      </c>
      <c r="J272" s="1557">
        <f t="shared" si="151"/>
        <v>0.94936708860759489</v>
      </c>
      <c r="K272" s="1557">
        <f t="shared" si="151"/>
        <v>0.89873417721518989</v>
      </c>
      <c r="L272" s="1557">
        <f t="shared" si="151"/>
        <v>0.85333333333333339</v>
      </c>
      <c r="M272" s="1557">
        <f t="shared" si="151"/>
        <v>0.53846153846153844</v>
      </c>
      <c r="N272" s="1557">
        <f t="shared" si="151"/>
        <v>0.78947368421052633</v>
      </c>
      <c r="O272" s="1557" t="e">
        <f t="shared" si="151"/>
        <v>#DIV/0!</v>
      </c>
      <c r="P272" s="1557">
        <f t="shared" si="151"/>
        <v>0.86075949367088611</v>
      </c>
      <c r="Q272" s="1557">
        <f t="shared" si="151"/>
        <v>0.98717948717948723</v>
      </c>
      <c r="R272" s="1557">
        <f t="shared" si="151"/>
        <v>0.96363636363636362</v>
      </c>
      <c r="S272" s="1557">
        <f t="shared" si="151"/>
        <v>0.8833333333333333</v>
      </c>
      <c r="T272" s="1557">
        <f t="shared" ref="T272:W272" si="152">T270/T271</f>
        <v>0.79487179487179482</v>
      </c>
      <c r="U272" s="1557">
        <f t="shared" si="152"/>
        <v>0.81578947368421051</v>
      </c>
      <c r="V272" s="1557">
        <f t="shared" si="152"/>
        <v>0.88524590163934425</v>
      </c>
      <c r="W272" s="1557">
        <f t="shared" si="152"/>
        <v>0.76666666666666672</v>
      </c>
      <c r="X272" s="1557">
        <f t="shared" si="151"/>
        <v>0.53846153846153844</v>
      </c>
      <c r="Y272" s="1106"/>
      <c r="Z272" s="1106"/>
      <c r="AA272" s="1106"/>
    </row>
    <row r="273" spans="13:27">
      <c r="M273" s="61"/>
      <c r="N273" s="170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4"/>
      <c r="Z273" s="4"/>
      <c r="AA273" s="4"/>
    </row>
    <row r="274" spans="13:27">
      <c r="M274" s="61"/>
      <c r="N274" s="170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</row>
    <row r="275" spans="13:27">
      <c r="M275" s="61"/>
      <c r="N275" s="170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</row>
    <row r="276" spans="13:27">
      <c r="M276" s="61"/>
      <c r="N276" s="170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</row>
    <row r="277" spans="13:27">
      <c r="M277" s="61"/>
      <c r="N277" s="170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</row>
    <row r="278" spans="13:27">
      <c r="M278" s="61"/>
      <c r="N278" s="170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</row>
    <row r="279" spans="13:27">
      <c r="M279" s="61"/>
      <c r="N279" s="170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</row>
    <row r="280" spans="13:27">
      <c r="M280" s="61"/>
      <c r="N280" s="170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</row>
    <row r="281" spans="13:27">
      <c r="M281" s="61"/>
      <c r="N281" s="170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</row>
    <row r="282" spans="13:27">
      <c r="M282" s="61"/>
      <c r="N282" s="170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</row>
    <row r="283" spans="13:27">
      <c r="M283" s="61"/>
      <c r="N283" s="170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</row>
    <row r="284" spans="13:27">
      <c r="M284" s="61"/>
      <c r="N284" s="170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</row>
    <row r="285" spans="13:27">
      <c r="M285" s="61"/>
      <c r="N285" s="170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</row>
    <row r="286" spans="13:27">
      <c r="Y286" s="61"/>
      <c r="Z286" s="61"/>
      <c r="AA286" s="61"/>
    </row>
  </sheetData>
  <sortState ref="C86:K90">
    <sortCondition ref="C86:C90"/>
  </sortState>
  <mergeCells count="75">
    <mergeCell ref="C261:C263"/>
    <mergeCell ref="C264:C266"/>
    <mergeCell ref="C267:C269"/>
    <mergeCell ref="B261:B263"/>
    <mergeCell ref="B264:B266"/>
    <mergeCell ref="B267:B269"/>
    <mergeCell ref="A258:A269"/>
    <mergeCell ref="B219:B221"/>
    <mergeCell ref="B222:B224"/>
    <mergeCell ref="B225:B227"/>
    <mergeCell ref="B228:B230"/>
    <mergeCell ref="B231:B233"/>
    <mergeCell ref="B234:B236"/>
    <mergeCell ref="B237:B239"/>
    <mergeCell ref="B240:B242"/>
    <mergeCell ref="B243:B245"/>
    <mergeCell ref="B249:B251"/>
    <mergeCell ref="H217:K217"/>
    <mergeCell ref="L217:O217"/>
    <mergeCell ref="P217:S217"/>
    <mergeCell ref="T217:W217"/>
    <mergeCell ref="C258:C260"/>
    <mergeCell ref="C234:C236"/>
    <mergeCell ref="C237:C239"/>
    <mergeCell ref="C240:C242"/>
    <mergeCell ref="C243:C245"/>
    <mergeCell ref="C249:C251"/>
    <mergeCell ref="C219:C221"/>
    <mergeCell ref="C222:C224"/>
    <mergeCell ref="C225:C227"/>
    <mergeCell ref="C228:C230"/>
    <mergeCell ref="C231:C233"/>
    <mergeCell ref="C255:C257"/>
    <mergeCell ref="F97:I98"/>
    <mergeCell ref="D2:N3"/>
    <mergeCell ref="P8:S8"/>
    <mergeCell ref="A8:A9"/>
    <mergeCell ref="C8:C9"/>
    <mergeCell ref="D8:G8"/>
    <mergeCell ref="H8:K8"/>
    <mergeCell ref="F6:L6"/>
    <mergeCell ref="E5:M5"/>
    <mergeCell ref="F7:L7"/>
    <mergeCell ref="A270:B272"/>
    <mergeCell ref="C246:C248"/>
    <mergeCell ref="B246:B248"/>
    <mergeCell ref="A45:A48"/>
    <mergeCell ref="A49:A51"/>
    <mergeCell ref="A52:A54"/>
    <mergeCell ref="A55:A57"/>
    <mergeCell ref="A58:A60"/>
    <mergeCell ref="C216:C218"/>
    <mergeCell ref="B252:B254"/>
    <mergeCell ref="B255:B257"/>
    <mergeCell ref="B258:B260"/>
    <mergeCell ref="A216:A218"/>
    <mergeCell ref="B128:B130"/>
    <mergeCell ref="A219:A245"/>
    <mergeCell ref="A249:A257"/>
    <mergeCell ref="B216:B218"/>
    <mergeCell ref="C252:C254"/>
    <mergeCell ref="D216:X216"/>
    <mergeCell ref="D217:G217"/>
    <mergeCell ref="AB8:AE8"/>
    <mergeCell ref="F133:I134"/>
    <mergeCell ref="F178:I179"/>
    <mergeCell ref="F194:I195"/>
    <mergeCell ref="N65:Q66"/>
    <mergeCell ref="N97:Q98"/>
    <mergeCell ref="N194:Q195"/>
    <mergeCell ref="N133:Q134"/>
    <mergeCell ref="N178:Q179"/>
    <mergeCell ref="X8:AA8"/>
    <mergeCell ref="T8:W8"/>
    <mergeCell ref="F65:I66"/>
  </mergeCells>
  <conditionalFormatting sqref="D67:W92 D181:S189 D197:W210 D99:U104 Q99:Q122 U181:AA189 D136:AA173 Z76:Z82 Y77:AE92 Y73:AE75 Y67:AE71 D105:AE122 W99:AE104 D11:AE60">
    <cfRule type="cellIs" dxfId="183" priority="169" operator="lessThanOrEqual">
      <formula>10</formula>
    </cfRule>
  </conditionalFormatting>
  <conditionalFormatting sqref="D181:S189 D197:W210 D99:U104 Q99:Q122 D67:X92 U181:AA189 D136:AA173 Z76:Z82 Y77:AE92 Y73:AE75 Y67:AE71 D105:AE122 W99:AE104 D11:AE60">
    <cfRule type="cellIs" dxfId="182" priority="35" operator="lessThan">
      <formula>10</formula>
    </cfRule>
    <cfRule type="cellIs" dxfId="181" priority="36" operator="greaterThan">
      <formula>10</formula>
    </cfRule>
  </conditionalFormatting>
  <conditionalFormatting sqref="V99:V104 Y76:AE76">
    <cfRule type="cellIs" dxfId="180" priority="26" operator="lessThan">
      <formula>10</formula>
    </cfRule>
  </conditionalFormatting>
  <conditionalFormatting sqref="Y72:AE72">
    <cfRule type="cellIs" dxfId="179" priority="25" operator="greaterThan">
      <formula>10</formula>
    </cfRule>
  </conditionalFormatting>
  <conditionalFormatting sqref="D45:AE60">
    <cfRule type="cellIs" dxfId="178" priority="15" operator="between">
      <formula>6</formula>
      <formula>8.5</formula>
    </cfRule>
  </conditionalFormatting>
  <conditionalFormatting sqref="D45:L60 P45:AE60">
    <cfRule type="cellIs" dxfId="177" priority="10" operator="greaterThanOrEqual">
      <formula>5</formula>
    </cfRule>
  </conditionalFormatting>
  <conditionalFormatting sqref="M45:O60">
    <cfRule type="cellIs" dxfId="176" priority="9" operator="lessThanOrEqual">
      <formula>0.4</formula>
    </cfRule>
  </conditionalFormatting>
  <conditionalFormatting sqref="D45:AE60">
    <cfRule type="cellIs" dxfId="175" priority="6" operator="lessThan">
      <formula>5</formula>
    </cfRule>
    <cfRule type="cellIs" dxfId="174" priority="7" operator="greaterThan">
      <formula>5</formula>
    </cfRule>
    <cfRule type="cellIs" dxfId="173" priority="8" operator="greaterThan">
      <formula>5</formula>
    </cfRule>
  </conditionalFormatting>
  <conditionalFormatting sqref="D45:O60">
    <cfRule type="cellIs" dxfId="172" priority="5" operator="greaterThan">
      <formula>4.9</formula>
    </cfRule>
  </conditionalFormatting>
  <pageMargins left="0.7" right="0.7" top="0.75" bottom="0.75" header="0.3" footer="0.3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DW232"/>
  <sheetViews>
    <sheetView topLeftCell="A82" zoomScale="70" zoomScaleNormal="70" workbookViewId="0">
      <pane xSplit="3" topLeftCell="Q1" activePane="topRight" state="frozen"/>
      <selection pane="topRight" activeCell="AB125" sqref="AB125"/>
    </sheetView>
  </sheetViews>
  <sheetFormatPr defaultRowHeight="15"/>
  <cols>
    <col min="1" max="1" width="24" bestFit="1" customWidth="1"/>
    <col min="2" max="2" width="23" style="11" customWidth="1"/>
    <col min="3" max="3" width="37" customWidth="1"/>
    <col min="4" max="4" width="11.7109375" bestFit="1" customWidth="1"/>
    <col min="15" max="15" width="9.140625" style="59"/>
    <col min="16" max="16" width="10.140625" style="2251" bestFit="1" customWidth="1"/>
    <col min="20" max="23" width="9.140625" style="2874"/>
    <col min="24" max="24" width="12.140625" customWidth="1"/>
    <col min="25" max="25" width="11.140625" customWidth="1"/>
    <col min="26" max="26" width="11.5703125" customWidth="1"/>
    <col min="27" max="27" width="12" customWidth="1"/>
  </cols>
  <sheetData>
    <row r="1" spans="1:127">
      <c r="A1" s="726"/>
      <c r="B1" s="1030"/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977"/>
      <c r="P1" s="2240"/>
      <c r="Q1" s="752"/>
      <c r="R1" s="752"/>
      <c r="S1" s="752"/>
      <c r="T1" s="752"/>
      <c r="U1" s="752"/>
      <c r="V1" s="752"/>
      <c r="W1" s="752"/>
      <c r="X1" s="2172"/>
    </row>
    <row r="2" spans="1:127">
      <c r="A2" s="726"/>
      <c r="B2" s="1030"/>
      <c r="C2" s="752"/>
      <c r="D2" s="3617" t="s">
        <v>264</v>
      </c>
      <c r="E2" s="3617"/>
      <c r="F2" s="3617"/>
      <c r="G2" s="3617"/>
      <c r="H2" s="3617"/>
      <c r="I2" s="3617"/>
      <c r="J2" s="3617"/>
      <c r="K2" s="3617"/>
      <c r="L2" s="3617"/>
      <c r="M2" s="3617"/>
      <c r="N2" s="3617"/>
      <c r="O2" s="977"/>
      <c r="P2" s="2240"/>
      <c r="Q2" s="752"/>
      <c r="R2" s="752"/>
      <c r="S2" s="752"/>
      <c r="T2" s="752"/>
      <c r="U2" s="752"/>
      <c r="V2" s="752"/>
      <c r="W2" s="752"/>
      <c r="X2" s="2172"/>
    </row>
    <row r="3" spans="1:127">
      <c r="A3" s="726"/>
      <c r="B3" s="1030"/>
      <c r="C3" s="752"/>
      <c r="D3" s="3617"/>
      <c r="E3" s="3617"/>
      <c r="F3" s="3617"/>
      <c r="G3" s="3617"/>
      <c r="H3" s="3617"/>
      <c r="I3" s="3617"/>
      <c r="J3" s="3617"/>
      <c r="K3" s="3617"/>
      <c r="L3" s="3617"/>
      <c r="M3" s="3617"/>
      <c r="N3" s="3617"/>
      <c r="O3" s="977"/>
      <c r="P3" s="2240"/>
      <c r="Q3" s="752"/>
      <c r="R3" s="752"/>
      <c r="S3" s="752"/>
      <c r="T3" s="752"/>
      <c r="U3" s="752"/>
      <c r="V3" s="752"/>
      <c r="W3" s="752"/>
      <c r="X3" s="2172"/>
    </row>
    <row r="4" spans="1:127" ht="15.75" thickBot="1">
      <c r="A4" s="726"/>
      <c r="B4" s="1030"/>
      <c r="C4" s="752"/>
      <c r="D4" s="752"/>
      <c r="E4" s="752"/>
      <c r="F4" s="752"/>
      <c r="G4" s="752"/>
      <c r="H4" s="752"/>
      <c r="I4" s="752"/>
      <c r="J4" s="752"/>
      <c r="K4" s="752"/>
      <c r="L4" s="752"/>
      <c r="M4" s="752"/>
      <c r="N4" s="752"/>
      <c r="O4" s="977"/>
      <c r="P4" s="2240"/>
      <c r="Q4" s="752"/>
      <c r="R4" s="752"/>
      <c r="S4" s="752"/>
      <c r="T4" s="752"/>
      <c r="U4" s="752"/>
      <c r="V4" s="752"/>
      <c r="W4" s="752"/>
      <c r="X4" s="2172"/>
    </row>
    <row r="5" spans="1:127" ht="15.75" thickBot="1">
      <c r="A5" s="750"/>
      <c r="B5" s="1017"/>
      <c r="C5" s="750"/>
      <c r="D5" s="750"/>
      <c r="E5" s="3538" t="s">
        <v>197</v>
      </c>
      <c r="F5" s="3539"/>
      <c r="G5" s="3539"/>
      <c r="H5" s="3539"/>
      <c r="I5" s="3539"/>
      <c r="J5" s="3539"/>
      <c r="K5" s="3539"/>
      <c r="L5" s="3539"/>
      <c r="M5" s="3540"/>
      <c r="N5" s="752"/>
      <c r="O5" s="977"/>
      <c r="P5" s="2240"/>
      <c r="Q5" s="752"/>
      <c r="R5" s="752"/>
      <c r="S5" s="752"/>
      <c r="T5" s="752"/>
      <c r="U5" s="752"/>
      <c r="V5" s="752"/>
      <c r="W5" s="752"/>
      <c r="X5" s="2172"/>
    </row>
    <row r="6" spans="1:127" ht="15.75" thickBot="1">
      <c r="A6" s="751"/>
      <c r="B6" s="1018"/>
      <c r="C6" s="751"/>
      <c r="D6" s="753"/>
      <c r="E6" s="752"/>
      <c r="F6" s="3589" t="s">
        <v>231</v>
      </c>
      <c r="G6" s="3590"/>
      <c r="H6" s="3590"/>
      <c r="I6" s="3590"/>
      <c r="J6" s="3590"/>
      <c r="K6" s="3590"/>
      <c r="L6" s="3591"/>
      <c r="M6" s="752"/>
      <c r="N6" s="752"/>
      <c r="O6" s="977"/>
      <c r="P6" s="2240"/>
      <c r="Q6" s="752"/>
      <c r="R6" s="752"/>
      <c r="S6" s="752"/>
      <c r="T6" s="752"/>
      <c r="U6" s="752"/>
      <c r="V6" s="752"/>
      <c r="W6" s="752"/>
      <c r="X6" s="2172"/>
    </row>
    <row r="7" spans="1:127" ht="15.75" thickBot="1">
      <c r="A7" s="116"/>
      <c r="B7" s="580"/>
      <c r="C7" s="116"/>
      <c r="D7" s="237"/>
      <c r="E7" s="237"/>
      <c r="F7" s="237"/>
      <c r="G7" s="237"/>
      <c r="H7" s="237"/>
      <c r="I7" s="193"/>
      <c r="J7" s="116"/>
      <c r="K7" s="116"/>
      <c r="L7" s="116"/>
      <c r="M7" s="116"/>
      <c r="N7" s="116"/>
      <c r="O7" s="2252"/>
      <c r="P7" s="2241"/>
      <c r="Q7" s="116"/>
      <c r="R7" s="116"/>
      <c r="S7" s="116"/>
      <c r="T7" s="116"/>
      <c r="U7" s="116"/>
      <c r="V7" s="116"/>
      <c r="W7" s="116"/>
      <c r="X7" s="789"/>
    </row>
    <row r="8" spans="1:127" ht="15.75" thickBot="1">
      <c r="A8" s="3519" t="s">
        <v>0</v>
      </c>
      <c r="B8" s="1006"/>
      <c r="C8" s="3587" t="s">
        <v>1</v>
      </c>
      <c r="D8" s="3550">
        <v>2011</v>
      </c>
      <c r="E8" s="3551"/>
      <c r="F8" s="3551"/>
      <c r="G8" s="3552"/>
      <c r="H8" s="3547">
        <v>2012</v>
      </c>
      <c r="I8" s="3548"/>
      <c r="J8" s="3548"/>
      <c r="K8" s="3549"/>
      <c r="L8" s="970">
        <v>2013</v>
      </c>
      <c r="M8" s="971"/>
      <c r="N8" s="971"/>
      <c r="O8" s="972"/>
      <c r="P8" s="3613">
        <v>2014</v>
      </c>
      <c r="Q8" s="3614"/>
      <c r="R8" s="3614"/>
      <c r="S8" s="3615"/>
      <c r="T8" s="3613">
        <v>2015</v>
      </c>
      <c r="U8" s="3614"/>
      <c r="V8" s="3614"/>
      <c r="W8" s="3615"/>
      <c r="X8" s="3613">
        <v>2016</v>
      </c>
      <c r="Y8" s="3614"/>
      <c r="Z8" s="3614"/>
      <c r="AA8" s="3615"/>
      <c r="AB8" s="3613">
        <v>2017</v>
      </c>
      <c r="AC8" s="3614"/>
      <c r="AD8" s="3614"/>
      <c r="AE8" s="3615"/>
    </row>
    <row r="9" spans="1:127" ht="15.75" thickBot="1">
      <c r="A9" s="3520"/>
      <c r="B9" s="1007"/>
      <c r="C9" s="3588"/>
      <c r="D9" s="720" t="s">
        <v>2</v>
      </c>
      <c r="E9" s="2148" t="s">
        <v>3</v>
      </c>
      <c r="F9" s="2149" t="s">
        <v>4</v>
      </c>
      <c r="G9" s="2150" t="s">
        <v>5</v>
      </c>
      <c r="H9" s="2147" t="s">
        <v>2</v>
      </c>
      <c r="I9" s="2148" t="s">
        <v>3</v>
      </c>
      <c r="J9" s="2149" t="s">
        <v>4</v>
      </c>
      <c r="K9" s="724" t="s">
        <v>5</v>
      </c>
      <c r="L9" s="2147" t="s">
        <v>2</v>
      </c>
      <c r="M9" s="2148" t="s">
        <v>3</v>
      </c>
      <c r="N9" s="2149" t="s">
        <v>4</v>
      </c>
      <c r="O9" s="2253" t="s">
        <v>5</v>
      </c>
      <c r="P9" s="2155" t="s">
        <v>2</v>
      </c>
      <c r="Q9" s="2148" t="s">
        <v>3</v>
      </c>
      <c r="R9" s="2149" t="s">
        <v>4</v>
      </c>
      <c r="S9" s="724" t="s">
        <v>5</v>
      </c>
      <c r="T9" s="2877" t="s">
        <v>2</v>
      </c>
      <c r="U9" s="2878" t="s">
        <v>3</v>
      </c>
      <c r="V9" s="2879" t="s">
        <v>4</v>
      </c>
      <c r="W9" s="724" t="s">
        <v>5</v>
      </c>
      <c r="X9" s="3098" t="s">
        <v>2</v>
      </c>
      <c r="Y9" s="3103" t="s">
        <v>3</v>
      </c>
      <c r="Z9" s="3209" t="s">
        <v>4</v>
      </c>
      <c r="AA9" s="724" t="s">
        <v>5</v>
      </c>
      <c r="AB9" s="3098" t="s">
        <v>2</v>
      </c>
      <c r="AC9" s="3493" t="s">
        <v>3</v>
      </c>
      <c r="AD9" s="3494" t="s">
        <v>4</v>
      </c>
      <c r="AE9" s="724" t="s">
        <v>5</v>
      </c>
    </row>
    <row r="10" spans="1:127">
      <c r="A10" s="113"/>
      <c r="B10" s="113"/>
      <c r="C10" s="194"/>
      <c r="D10" s="194"/>
      <c r="E10" s="194"/>
      <c r="F10" s="194"/>
      <c r="G10" s="194"/>
      <c r="H10" s="194"/>
      <c r="I10" s="194"/>
      <c r="J10" s="194"/>
      <c r="K10" s="127"/>
      <c r="L10" s="116"/>
      <c r="M10" s="116"/>
      <c r="N10" s="116"/>
      <c r="O10" s="2252"/>
      <c r="P10" s="2241"/>
      <c r="Q10" s="116"/>
      <c r="R10" s="116"/>
      <c r="S10" s="116"/>
      <c r="T10" s="116"/>
      <c r="U10" s="116"/>
      <c r="V10" s="116"/>
      <c r="W10" s="116"/>
      <c r="X10" s="789"/>
    </row>
    <row r="11" spans="1:127" ht="15" customHeight="1" thickBot="1">
      <c r="A11" s="113"/>
      <c r="B11" s="113"/>
      <c r="C11" s="194"/>
      <c r="D11" s="194"/>
      <c r="E11" s="194"/>
      <c r="F11" s="194"/>
      <c r="G11" s="194"/>
      <c r="H11" s="194"/>
      <c r="I11" s="194"/>
      <c r="J11" s="194"/>
      <c r="K11" s="127"/>
      <c r="L11" s="116"/>
      <c r="M11" s="116"/>
      <c r="N11" s="116"/>
      <c r="O11" s="2252"/>
      <c r="P11" s="2241"/>
      <c r="Q11" s="116"/>
      <c r="R11" s="116"/>
      <c r="S11" s="116"/>
      <c r="T11" s="116"/>
      <c r="U11" s="116"/>
      <c r="V11" s="116"/>
      <c r="W11" s="116"/>
      <c r="X11" s="789"/>
    </row>
    <row r="12" spans="1:127" ht="15.75" thickBot="1">
      <c r="A12" s="328" t="s">
        <v>125</v>
      </c>
      <c r="B12" s="113" t="s">
        <v>284</v>
      </c>
      <c r="C12" s="542" t="s">
        <v>168</v>
      </c>
      <c r="D12" s="355">
        <v>50</v>
      </c>
      <c r="E12" s="355">
        <v>50</v>
      </c>
      <c r="F12" s="355">
        <v>50</v>
      </c>
      <c r="G12" s="543">
        <v>50</v>
      </c>
      <c r="H12" s="360">
        <v>50</v>
      </c>
      <c r="I12" s="355">
        <v>50</v>
      </c>
      <c r="J12" s="355">
        <v>50</v>
      </c>
      <c r="K12" s="356">
        <v>50</v>
      </c>
      <c r="L12" s="360">
        <v>50</v>
      </c>
      <c r="M12" s="355">
        <v>50</v>
      </c>
      <c r="N12" s="355">
        <v>50</v>
      </c>
      <c r="O12" s="2276">
        <v>50</v>
      </c>
      <c r="P12" s="547">
        <v>50</v>
      </c>
      <c r="Q12" s="355">
        <v>50</v>
      </c>
      <c r="R12" s="355">
        <v>50</v>
      </c>
      <c r="S12" s="428">
        <v>50</v>
      </c>
      <c r="T12" s="428">
        <v>50</v>
      </c>
      <c r="U12" s="428">
        <v>50</v>
      </c>
      <c r="V12" s="428">
        <v>50</v>
      </c>
      <c r="W12" s="428">
        <v>50</v>
      </c>
      <c r="X12" s="428">
        <v>50</v>
      </c>
      <c r="Y12" s="428">
        <v>50</v>
      </c>
      <c r="Z12" s="428">
        <v>80</v>
      </c>
      <c r="AA12" s="428">
        <v>80</v>
      </c>
      <c r="AB12" s="428">
        <v>80</v>
      </c>
      <c r="AC12" s="428">
        <v>80</v>
      </c>
      <c r="AD12" s="428">
        <v>80</v>
      </c>
      <c r="AE12" s="428">
        <v>80</v>
      </c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</row>
    <row r="13" spans="1:127" ht="15" customHeight="1">
      <c r="A13" s="1028" t="s">
        <v>16</v>
      </c>
      <c r="B13" s="1290">
        <f>COUNTA(C13:C16)</f>
        <v>4</v>
      </c>
      <c r="C13" s="1291" t="s">
        <v>21</v>
      </c>
      <c r="D13" s="1292">
        <v>28</v>
      </c>
      <c r="E13" s="1292">
        <v>32</v>
      </c>
      <c r="F13" s="1292">
        <v>30</v>
      </c>
      <c r="G13" s="1293">
        <v>27.5</v>
      </c>
      <c r="H13" s="1294">
        <v>88</v>
      </c>
      <c r="I13" s="1295">
        <v>34</v>
      </c>
      <c r="J13" s="1185">
        <v>106</v>
      </c>
      <c r="K13" s="1296">
        <v>9</v>
      </c>
      <c r="L13" s="1361">
        <v>21</v>
      </c>
      <c r="M13" s="1432">
        <v>20</v>
      </c>
      <c r="N13" s="1269">
        <v>62</v>
      </c>
      <c r="O13" s="2254">
        <v>15</v>
      </c>
      <c r="P13" s="2200">
        <v>7</v>
      </c>
      <c r="Q13" s="13">
        <v>12</v>
      </c>
      <c r="R13" s="1297">
        <v>10</v>
      </c>
      <c r="S13" s="2160">
        <v>11</v>
      </c>
      <c r="T13" s="2160"/>
      <c r="U13" s="2160"/>
      <c r="V13" s="2160"/>
      <c r="W13" s="3215">
        <v>13</v>
      </c>
      <c r="X13" s="3145">
        <v>6</v>
      </c>
      <c r="Y13" s="1292">
        <v>18</v>
      </c>
      <c r="Z13" s="1292">
        <v>30</v>
      </c>
      <c r="AA13" s="1293">
        <v>18.5</v>
      </c>
      <c r="AB13" s="1293">
        <v>20</v>
      </c>
      <c r="AC13" s="1293"/>
      <c r="AD13" s="1293"/>
      <c r="AE13" s="1293"/>
      <c r="AF13" s="61"/>
      <c r="AG13" s="61"/>
      <c r="AH13" s="61"/>
      <c r="AI13" s="61"/>
      <c r="AJ13" s="149"/>
      <c r="AK13" s="149"/>
      <c r="AL13" s="13"/>
      <c r="AM13" s="61"/>
      <c r="AN13" s="61"/>
      <c r="AO13" s="61"/>
      <c r="AP13" s="61"/>
      <c r="AQ13" s="61"/>
      <c r="AR13" s="61"/>
      <c r="AS13" s="150"/>
      <c r="AT13" s="150"/>
      <c r="AU13" s="150"/>
      <c r="AV13" s="13"/>
      <c r="AW13" s="61"/>
      <c r="AX13" s="61"/>
      <c r="AY13" s="61"/>
      <c r="AZ13" s="61"/>
      <c r="BA13" s="61"/>
      <c r="BB13" s="149"/>
      <c r="BC13" s="149"/>
      <c r="BD13" s="149"/>
      <c r="BE13" s="13"/>
      <c r="BF13" s="61"/>
      <c r="BG13" s="61"/>
      <c r="BH13" s="61"/>
      <c r="BI13" s="61"/>
      <c r="BJ13" s="61"/>
      <c r="BK13" s="149"/>
      <c r="BL13" s="149"/>
      <c r="BM13" s="149"/>
      <c r="BN13" s="13"/>
      <c r="BO13" s="61"/>
      <c r="BP13" s="61"/>
      <c r="BQ13" s="61"/>
      <c r="BR13" s="61"/>
      <c r="BS13" s="61"/>
      <c r="BT13" s="61"/>
      <c r="BU13" s="149"/>
      <c r="BV13" s="149"/>
      <c r="BW13" s="13"/>
      <c r="BX13" s="61"/>
      <c r="BY13" s="61"/>
      <c r="BZ13" s="61"/>
      <c r="CA13" s="61"/>
      <c r="CB13" s="61"/>
      <c r="CC13" s="61"/>
      <c r="CD13" s="61"/>
      <c r="CE13" s="149"/>
      <c r="CF13" s="149"/>
      <c r="CG13" s="149"/>
      <c r="CH13" s="13"/>
      <c r="CI13" s="61"/>
      <c r="CJ13" s="61"/>
      <c r="CK13" s="61"/>
      <c r="CL13" s="61"/>
      <c r="CM13" s="61"/>
      <c r="CN13" s="149"/>
      <c r="CO13" s="149"/>
      <c r="CP13" s="13"/>
      <c r="CQ13" s="61"/>
      <c r="CR13" s="61"/>
      <c r="CS13" s="61"/>
      <c r="CT13" s="61"/>
      <c r="CU13" s="61"/>
      <c r="CV13" s="61"/>
      <c r="CW13" s="149"/>
      <c r="CX13" s="149"/>
      <c r="CY13" s="149"/>
      <c r="CZ13" s="13"/>
      <c r="DA13" s="61"/>
      <c r="DB13" s="61"/>
      <c r="DC13" s="61"/>
      <c r="DD13" s="61"/>
      <c r="DE13" s="61"/>
      <c r="DF13" s="149"/>
      <c r="DG13" s="149"/>
      <c r="DH13" s="149"/>
      <c r="DI13" s="149"/>
      <c r="DJ13" s="13"/>
      <c r="DK13" s="61"/>
      <c r="DL13" s="61"/>
      <c r="DM13" s="61"/>
      <c r="DN13" s="61"/>
      <c r="DO13" s="149"/>
      <c r="DP13" s="149"/>
      <c r="DQ13" s="149"/>
      <c r="DR13" s="13"/>
      <c r="DS13" s="61"/>
      <c r="DT13" s="61"/>
      <c r="DU13" s="61"/>
      <c r="DV13" s="61"/>
      <c r="DW13" s="61"/>
    </row>
    <row r="14" spans="1:127">
      <c r="A14" s="1298" t="s">
        <v>16</v>
      </c>
      <c r="B14" s="1031"/>
      <c r="C14" s="1299" t="s">
        <v>17</v>
      </c>
      <c r="D14" s="1300">
        <v>26</v>
      </c>
      <c r="E14" s="1300">
        <v>32</v>
      </c>
      <c r="F14" s="1300">
        <v>31</v>
      </c>
      <c r="G14" s="1301">
        <v>28.3</v>
      </c>
      <c r="H14" s="1302">
        <v>10</v>
      </c>
      <c r="I14" s="1303">
        <v>30</v>
      </c>
      <c r="J14" s="1188">
        <v>311</v>
      </c>
      <c r="K14" s="1304">
        <v>12</v>
      </c>
      <c r="L14" s="1343">
        <v>57</v>
      </c>
      <c r="M14" s="1628">
        <v>16</v>
      </c>
      <c r="N14" s="1004">
        <v>55</v>
      </c>
      <c r="O14" s="2255">
        <v>17</v>
      </c>
      <c r="P14" s="2317">
        <v>21</v>
      </c>
      <c r="Q14" s="14">
        <v>56</v>
      </c>
      <c r="R14" s="1244">
        <v>32</v>
      </c>
      <c r="S14" s="2162">
        <v>12</v>
      </c>
      <c r="T14" s="2162"/>
      <c r="U14" s="2162"/>
      <c r="V14" s="2162"/>
      <c r="W14" s="3216">
        <v>11</v>
      </c>
      <c r="X14" s="3107"/>
      <c r="Y14" s="1300" t="s">
        <v>336</v>
      </c>
      <c r="Z14" s="1300" t="s">
        <v>336</v>
      </c>
      <c r="AA14" s="1301"/>
      <c r="AB14" s="1301" t="s">
        <v>336</v>
      </c>
      <c r="AC14" s="1301"/>
      <c r="AD14" s="1301"/>
      <c r="AE14" s="1301"/>
      <c r="AF14" s="61"/>
      <c r="AG14" s="61"/>
      <c r="AH14" s="61"/>
      <c r="AI14" s="28"/>
      <c r="AJ14" s="151"/>
      <c r="AK14" s="151"/>
      <c r="AL14" s="14"/>
      <c r="AM14" s="61"/>
      <c r="AN14" s="61"/>
      <c r="AO14" s="61"/>
      <c r="AP14" s="61"/>
      <c r="AQ14" s="61"/>
      <c r="AR14" s="28"/>
      <c r="AS14" s="152"/>
      <c r="AT14" s="152"/>
      <c r="AU14" s="152"/>
      <c r="AV14" s="14"/>
      <c r="AW14" s="61"/>
      <c r="AX14" s="61"/>
      <c r="AY14" s="61"/>
      <c r="AZ14" s="61"/>
      <c r="BA14" s="28"/>
      <c r="BB14" s="151"/>
      <c r="BC14" s="151"/>
      <c r="BD14" s="151"/>
      <c r="BE14" s="14"/>
      <c r="BF14" s="61"/>
      <c r="BG14" s="61"/>
      <c r="BH14" s="61"/>
      <c r="BI14" s="61"/>
      <c r="BJ14" s="28"/>
      <c r="BK14" s="151"/>
      <c r="BL14" s="151"/>
      <c r="BM14" s="151"/>
      <c r="BN14" s="14"/>
      <c r="BO14" s="61"/>
      <c r="BP14" s="61"/>
      <c r="BQ14" s="61"/>
      <c r="BR14" s="61"/>
      <c r="BS14" s="61"/>
      <c r="BT14" s="28"/>
      <c r="BU14" s="151"/>
      <c r="BV14" s="151"/>
      <c r="BW14" s="14"/>
      <c r="BX14" s="61"/>
      <c r="BY14" s="61"/>
      <c r="BZ14" s="61"/>
      <c r="CA14" s="61"/>
      <c r="CB14" s="61"/>
      <c r="CC14" s="61"/>
      <c r="CD14" s="28"/>
      <c r="CE14" s="151"/>
      <c r="CF14" s="151"/>
      <c r="CG14" s="151"/>
      <c r="CH14" s="14"/>
      <c r="CI14" s="61"/>
      <c r="CJ14" s="61"/>
      <c r="CK14" s="61"/>
      <c r="CL14" s="61"/>
      <c r="CM14" s="28"/>
      <c r="CN14" s="151"/>
      <c r="CO14" s="151"/>
      <c r="CP14" s="14"/>
      <c r="CQ14" s="61"/>
      <c r="CR14" s="61"/>
      <c r="CS14" s="61"/>
      <c r="CT14" s="61"/>
      <c r="CU14" s="61"/>
      <c r="CV14" s="28"/>
      <c r="CW14" s="151"/>
      <c r="CX14" s="151"/>
      <c r="CY14" s="151"/>
      <c r="CZ14" s="14"/>
      <c r="DA14" s="61"/>
      <c r="DB14" s="61"/>
      <c r="DC14" s="61"/>
      <c r="DD14" s="61"/>
      <c r="DE14" s="28"/>
      <c r="DF14" s="151"/>
      <c r="DG14" s="151"/>
      <c r="DH14" s="151"/>
      <c r="DI14" s="151"/>
      <c r="DJ14" s="14"/>
      <c r="DK14" s="61"/>
      <c r="DL14" s="61"/>
      <c r="DM14" s="61"/>
      <c r="DN14" s="28"/>
      <c r="DO14" s="151"/>
      <c r="DP14" s="151"/>
      <c r="DQ14" s="151"/>
      <c r="DR14" s="14"/>
      <c r="DS14" s="61"/>
      <c r="DT14" s="61"/>
      <c r="DU14" s="61"/>
      <c r="DV14" s="61"/>
      <c r="DW14" s="61"/>
    </row>
    <row r="15" spans="1:127">
      <c r="A15" s="1298" t="s">
        <v>16</v>
      </c>
      <c r="B15" s="1031"/>
      <c r="C15" s="1299" t="s">
        <v>18</v>
      </c>
      <c r="D15" s="1300">
        <v>27</v>
      </c>
      <c r="E15" s="1300">
        <v>31</v>
      </c>
      <c r="F15" s="1300">
        <v>30</v>
      </c>
      <c r="G15" s="1301">
        <v>28.2</v>
      </c>
      <c r="H15" s="1302">
        <v>43</v>
      </c>
      <c r="I15" s="1303">
        <v>22</v>
      </c>
      <c r="J15" s="1188">
        <v>118</v>
      </c>
      <c r="K15" s="1304">
        <v>11</v>
      </c>
      <c r="L15" s="1343">
        <v>33</v>
      </c>
      <c r="M15" s="1628">
        <v>12</v>
      </c>
      <c r="N15" s="1274">
        <v>69</v>
      </c>
      <c r="O15" s="2255">
        <v>19</v>
      </c>
      <c r="P15" s="2317">
        <v>6</v>
      </c>
      <c r="Q15" s="14">
        <v>22</v>
      </c>
      <c r="R15" s="1244">
        <v>10</v>
      </c>
      <c r="S15" s="2162">
        <v>11</v>
      </c>
      <c r="T15" s="2162"/>
      <c r="U15" s="2162"/>
      <c r="V15" s="2162"/>
      <c r="W15" s="3216">
        <v>19</v>
      </c>
      <c r="X15" s="3107">
        <v>8</v>
      </c>
      <c r="Y15" s="1300">
        <v>14</v>
      </c>
      <c r="Z15" s="1300">
        <v>8</v>
      </c>
      <c r="AA15" s="1301">
        <v>12</v>
      </c>
      <c r="AB15" s="1301">
        <v>18</v>
      </c>
      <c r="AC15" s="1301"/>
      <c r="AD15" s="1301"/>
      <c r="AE15" s="1301"/>
      <c r="AF15" s="61"/>
      <c r="AG15" s="61"/>
      <c r="AH15" s="61"/>
      <c r="AI15" s="61"/>
      <c r="AJ15" s="151"/>
      <c r="AK15" s="151"/>
      <c r="AL15" s="14"/>
      <c r="AM15" s="61"/>
      <c r="AN15" s="61"/>
      <c r="AO15" s="61"/>
      <c r="AP15" s="61"/>
      <c r="AQ15" s="61"/>
      <c r="AR15" s="61"/>
      <c r="AS15" s="152"/>
      <c r="AT15" s="152"/>
      <c r="AU15" s="152"/>
      <c r="AV15" s="14"/>
      <c r="AW15" s="61"/>
      <c r="AX15" s="61"/>
      <c r="AY15" s="61"/>
      <c r="AZ15" s="61"/>
      <c r="BA15" s="61"/>
      <c r="BB15" s="151"/>
      <c r="BC15" s="151"/>
      <c r="BD15" s="151"/>
      <c r="BE15" s="14"/>
      <c r="BF15" s="61"/>
      <c r="BG15" s="61"/>
      <c r="BH15" s="61"/>
      <c r="BI15" s="61"/>
      <c r="BJ15" s="61"/>
      <c r="BK15" s="151"/>
      <c r="BL15" s="151"/>
      <c r="BM15" s="151"/>
      <c r="BN15" s="14"/>
      <c r="BO15" s="61"/>
      <c r="BP15" s="61"/>
      <c r="BQ15" s="61"/>
      <c r="BR15" s="61"/>
      <c r="BS15" s="61"/>
      <c r="BT15" s="61"/>
      <c r="BU15" s="151"/>
      <c r="BV15" s="151"/>
      <c r="BW15" s="14"/>
      <c r="BX15" s="61"/>
      <c r="BY15" s="61"/>
      <c r="BZ15" s="61"/>
      <c r="CA15" s="61"/>
      <c r="CB15" s="61"/>
      <c r="CC15" s="61"/>
      <c r="CD15" s="61"/>
      <c r="CE15" s="151"/>
      <c r="CF15" s="151"/>
      <c r="CG15" s="151"/>
      <c r="CH15" s="14"/>
      <c r="CI15" s="61"/>
      <c r="CJ15" s="61"/>
      <c r="CK15" s="61"/>
      <c r="CL15" s="61"/>
      <c r="CM15" s="61"/>
      <c r="CN15" s="151"/>
      <c r="CO15" s="151"/>
      <c r="CP15" s="14"/>
      <c r="CQ15" s="61"/>
      <c r="CR15" s="61"/>
      <c r="CS15" s="61"/>
      <c r="CT15" s="61"/>
      <c r="CU15" s="61"/>
      <c r="CV15" s="61"/>
      <c r="CW15" s="151"/>
      <c r="CX15" s="151"/>
      <c r="CY15" s="151"/>
      <c r="CZ15" s="14"/>
      <c r="DA15" s="61"/>
      <c r="DB15" s="61"/>
      <c r="DC15" s="61"/>
      <c r="DD15" s="61"/>
      <c r="DE15" s="61"/>
      <c r="DF15" s="151"/>
      <c r="DG15" s="151"/>
      <c r="DH15" s="151"/>
      <c r="DI15" s="151"/>
      <c r="DJ15" s="14"/>
      <c r="DK15" s="61"/>
      <c r="DL15" s="61"/>
      <c r="DM15" s="61"/>
      <c r="DN15" s="61"/>
      <c r="DO15" s="151"/>
      <c r="DP15" s="151"/>
      <c r="DQ15" s="151"/>
      <c r="DR15" s="14"/>
      <c r="DS15" s="61"/>
      <c r="DT15" s="61"/>
      <c r="DU15" s="61"/>
      <c r="DV15" s="61"/>
      <c r="DW15" s="61"/>
    </row>
    <row r="16" spans="1:127" ht="15.75" thickBot="1">
      <c r="A16" s="1306" t="s">
        <v>16</v>
      </c>
      <c r="B16" s="1307"/>
      <c r="C16" s="1308" t="s">
        <v>348</v>
      </c>
      <c r="D16" s="1309">
        <v>27</v>
      </c>
      <c r="E16" s="1309">
        <v>32</v>
      </c>
      <c r="F16" s="1309">
        <v>30</v>
      </c>
      <c r="G16" s="1310">
        <v>28.4</v>
      </c>
      <c r="H16" s="1311">
        <v>13</v>
      </c>
      <c r="I16" s="1312">
        <v>17</v>
      </c>
      <c r="J16" s="1193">
        <v>232</v>
      </c>
      <c r="K16" s="1313">
        <v>8</v>
      </c>
      <c r="L16" s="1364">
        <v>27</v>
      </c>
      <c r="M16" s="1633">
        <v>10</v>
      </c>
      <c r="N16" s="1365">
        <v>71</v>
      </c>
      <c r="O16" s="2256">
        <v>14</v>
      </c>
      <c r="P16" s="2318">
        <v>3</v>
      </c>
      <c r="Q16" s="14">
        <v>62</v>
      </c>
      <c r="R16" s="1315">
        <v>12</v>
      </c>
      <c r="S16" s="2166">
        <v>12</v>
      </c>
      <c r="T16" s="2166"/>
      <c r="U16" s="2166"/>
      <c r="V16" s="2166"/>
      <c r="W16" s="3217">
        <v>12</v>
      </c>
      <c r="X16" s="3141">
        <v>4</v>
      </c>
      <c r="Y16" s="1309">
        <v>11</v>
      </c>
      <c r="Z16" s="1309">
        <v>9</v>
      </c>
      <c r="AA16" s="1310">
        <v>10.25</v>
      </c>
      <c r="AB16" s="1310">
        <v>17</v>
      </c>
      <c r="AC16" s="1310"/>
      <c r="AD16" s="1310"/>
      <c r="AE16" s="1310"/>
      <c r="AF16" s="61"/>
      <c r="AG16" s="61"/>
      <c r="AH16" s="61"/>
      <c r="AI16" s="61"/>
      <c r="AJ16" s="151"/>
      <c r="AK16" s="151"/>
      <c r="AL16" s="14"/>
      <c r="AM16" s="61"/>
      <c r="AN16" s="61"/>
      <c r="AO16" s="61"/>
      <c r="AP16" s="61"/>
      <c r="AQ16" s="61"/>
      <c r="AR16" s="61"/>
      <c r="AS16" s="152"/>
      <c r="AT16" s="152"/>
      <c r="AU16" s="152"/>
      <c r="AV16" s="14"/>
      <c r="AW16" s="61"/>
      <c r="AX16" s="61"/>
      <c r="AY16" s="61"/>
      <c r="AZ16" s="61"/>
      <c r="BA16" s="61"/>
      <c r="BB16" s="151"/>
      <c r="BC16" s="151"/>
      <c r="BD16" s="151"/>
      <c r="BE16" s="14"/>
      <c r="BF16" s="61"/>
      <c r="BG16" s="61"/>
      <c r="BH16" s="61"/>
      <c r="BI16" s="61"/>
      <c r="BJ16" s="61"/>
      <c r="BK16" s="151"/>
      <c r="BL16" s="151"/>
      <c r="BM16" s="151"/>
      <c r="BN16" s="14"/>
      <c r="BO16" s="61"/>
      <c r="BP16" s="61"/>
      <c r="BQ16" s="61"/>
      <c r="BR16" s="61"/>
      <c r="BS16" s="61"/>
      <c r="BT16" s="61"/>
      <c r="BU16" s="151"/>
      <c r="BV16" s="151"/>
      <c r="BW16" s="14"/>
      <c r="BX16" s="61"/>
      <c r="BY16" s="61"/>
      <c r="BZ16" s="61"/>
      <c r="CA16" s="61"/>
      <c r="CB16" s="61"/>
      <c r="CC16" s="61"/>
      <c r="CD16" s="61"/>
      <c r="CE16" s="151"/>
      <c r="CF16" s="151"/>
      <c r="CG16" s="151"/>
      <c r="CH16" s="14"/>
      <c r="CI16" s="61"/>
      <c r="CJ16" s="61"/>
      <c r="CK16" s="61"/>
      <c r="CL16" s="61"/>
      <c r="CM16" s="61"/>
      <c r="CN16" s="151"/>
      <c r="CO16" s="151"/>
      <c r="CP16" s="14"/>
      <c r="CQ16" s="61"/>
      <c r="CR16" s="61"/>
      <c r="CS16" s="61"/>
      <c r="CT16" s="61"/>
      <c r="CU16" s="61"/>
      <c r="CV16" s="61"/>
      <c r="CW16" s="151"/>
      <c r="CX16" s="151"/>
      <c r="CY16" s="151"/>
      <c r="CZ16" s="14"/>
      <c r="DA16" s="61"/>
      <c r="DB16" s="61"/>
      <c r="DC16" s="61"/>
      <c r="DD16" s="61"/>
      <c r="DE16" s="61"/>
      <c r="DF16" s="151"/>
      <c r="DG16" s="151"/>
      <c r="DH16" s="151"/>
      <c r="DI16" s="151"/>
      <c r="DJ16" s="14"/>
      <c r="DK16" s="61"/>
      <c r="DL16" s="61"/>
      <c r="DM16" s="61"/>
      <c r="DN16" s="61"/>
      <c r="DO16" s="151"/>
      <c r="DP16" s="151"/>
      <c r="DQ16" s="151"/>
      <c r="DR16" s="14"/>
      <c r="DS16" s="61"/>
      <c r="DT16" s="61"/>
      <c r="DU16" s="61"/>
      <c r="DV16" s="61"/>
      <c r="DW16" s="61"/>
    </row>
    <row r="17" spans="1:127">
      <c r="A17" s="1029" t="s">
        <v>131</v>
      </c>
      <c r="B17" s="1316"/>
      <c r="C17" s="1291" t="s">
        <v>33</v>
      </c>
      <c r="D17" s="1292">
        <v>18.5</v>
      </c>
      <c r="E17" s="1292">
        <v>17.670000000000002</v>
      </c>
      <c r="F17" s="1292">
        <v>75</v>
      </c>
      <c r="G17" s="1293">
        <v>44.67</v>
      </c>
      <c r="H17" s="1294">
        <v>15.66</v>
      </c>
      <c r="I17" s="1295">
        <v>17.670000000000002</v>
      </c>
      <c r="J17" s="1185">
        <v>30.66</v>
      </c>
      <c r="K17" s="1296">
        <v>25.66</v>
      </c>
      <c r="L17" s="1361">
        <v>33.67</v>
      </c>
      <c r="M17" s="1432">
        <v>27.67</v>
      </c>
      <c r="N17" s="1269">
        <v>40</v>
      </c>
      <c r="O17" s="2254">
        <v>27.5</v>
      </c>
      <c r="P17" s="2304">
        <v>15.67</v>
      </c>
      <c r="Q17" s="14">
        <v>14</v>
      </c>
      <c r="R17" s="1210">
        <v>12</v>
      </c>
      <c r="S17" s="2160">
        <v>11</v>
      </c>
      <c r="T17" s="2160">
        <v>22.67</v>
      </c>
      <c r="U17" s="2160">
        <v>25</v>
      </c>
      <c r="V17" s="2160">
        <v>20</v>
      </c>
      <c r="W17" s="3215">
        <v>13</v>
      </c>
      <c r="X17" s="3145">
        <v>20</v>
      </c>
      <c r="Y17" s="1292">
        <v>39.5</v>
      </c>
      <c r="Z17" s="1292">
        <v>17.670000000000002</v>
      </c>
      <c r="AA17" s="1293">
        <v>24.79</v>
      </c>
      <c r="AB17" s="1293">
        <v>21</v>
      </c>
      <c r="AC17" s="1293"/>
      <c r="AD17" s="1293"/>
      <c r="AE17" s="1293"/>
      <c r="AF17" s="61"/>
      <c r="AG17" s="61"/>
      <c r="AH17" s="61"/>
      <c r="AI17" s="61"/>
      <c r="AJ17" s="151"/>
      <c r="AK17" s="151"/>
      <c r="AL17" s="14"/>
      <c r="AM17" s="61"/>
      <c r="AN17" s="61"/>
      <c r="AO17" s="61"/>
      <c r="AP17" s="61"/>
      <c r="AQ17" s="61"/>
      <c r="AR17" s="61"/>
      <c r="AS17" s="152"/>
      <c r="AT17" s="152"/>
      <c r="AU17" s="152"/>
      <c r="AV17" s="14"/>
      <c r="AW17" s="61"/>
      <c r="AX17" s="61"/>
      <c r="AY17" s="61"/>
      <c r="AZ17" s="61"/>
      <c r="BA17" s="61"/>
      <c r="BB17" s="151"/>
      <c r="BC17" s="151"/>
      <c r="BD17" s="151"/>
      <c r="BE17" s="14"/>
      <c r="BF17" s="61"/>
      <c r="BG17" s="61"/>
      <c r="BH17" s="61"/>
      <c r="BI17" s="61"/>
      <c r="BJ17" s="61"/>
      <c r="BK17" s="151"/>
      <c r="BL17" s="151"/>
      <c r="BM17" s="151"/>
      <c r="BN17" s="14"/>
      <c r="BO17" s="61"/>
      <c r="BP17" s="61"/>
      <c r="BQ17" s="61"/>
      <c r="BR17" s="61"/>
      <c r="BS17" s="61"/>
      <c r="BT17" s="61"/>
      <c r="BU17" s="151"/>
      <c r="BV17" s="151"/>
      <c r="BW17" s="14"/>
      <c r="BX17" s="61"/>
      <c r="BY17" s="61"/>
      <c r="BZ17" s="61"/>
      <c r="CA17" s="61"/>
      <c r="CB17" s="61"/>
      <c r="CC17" s="61"/>
      <c r="CD17" s="61"/>
      <c r="CE17" s="151"/>
      <c r="CF17" s="151"/>
      <c r="CG17" s="151"/>
      <c r="CH17" s="14"/>
      <c r="CI17" s="61"/>
      <c r="CJ17" s="61"/>
      <c r="CK17" s="61"/>
      <c r="CL17" s="61"/>
      <c r="CM17" s="61"/>
      <c r="CN17" s="151"/>
      <c r="CO17" s="151"/>
      <c r="CP17" s="14"/>
      <c r="CQ17" s="61"/>
      <c r="CR17" s="61"/>
      <c r="CS17" s="61"/>
      <c r="CT17" s="61"/>
      <c r="CU17" s="61"/>
      <c r="CV17" s="61"/>
      <c r="CW17" s="151"/>
      <c r="CX17" s="151"/>
      <c r="CY17" s="151"/>
      <c r="CZ17" s="14"/>
      <c r="DA17" s="61"/>
      <c r="DB17" s="61"/>
      <c r="DC17" s="61"/>
      <c r="DD17" s="61"/>
      <c r="DE17" s="61"/>
      <c r="DF17" s="151"/>
      <c r="DG17" s="151"/>
      <c r="DH17" s="151"/>
      <c r="DI17" s="151"/>
      <c r="DJ17" s="14"/>
      <c r="DK17" s="61"/>
      <c r="DL17" s="61"/>
      <c r="DM17" s="61"/>
      <c r="DN17" s="61"/>
      <c r="DO17" s="151"/>
      <c r="DP17" s="151"/>
      <c r="DQ17" s="151"/>
      <c r="DR17" s="14"/>
      <c r="DS17" s="61"/>
      <c r="DT17" s="61"/>
      <c r="DU17" s="61"/>
      <c r="DV17" s="61"/>
      <c r="DW17" s="61"/>
    </row>
    <row r="18" spans="1:127">
      <c r="A18" s="1289" t="s">
        <v>131</v>
      </c>
      <c r="B18" s="994"/>
      <c r="C18" s="1299" t="s">
        <v>31</v>
      </c>
      <c r="D18" s="1300">
        <v>24</v>
      </c>
      <c r="E18" s="1300">
        <v>13</v>
      </c>
      <c r="F18" s="1300">
        <v>40.33</v>
      </c>
      <c r="G18" s="1301">
        <v>32.33</v>
      </c>
      <c r="H18" s="1302">
        <v>22.66</v>
      </c>
      <c r="I18" s="1303">
        <v>24.33</v>
      </c>
      <c r="J18" s="1188">
        <v>22</v>
      </c>
      <c r="K18" s="1304">
        <v>20.66</v>
      </c>
      <c r="L18" s="1343">
        <v>37</v>
      </c>
      <c r="M18" s="1628">
        <v>13.67</v>
      </c>
      <c r="N18" s="1274">
        <v>20</v>
      </c>
      <c r="O18" s="2255">
        <v>30.5</v>
      </c>
      <c r="P18" s="2317">
        <v>20</v>
      </c>
      <c r="Q18" s="14">
        <v>17</v>
      </c>
      <c r="R18" s="1244">
        <v>11</v>
      </c>
      <c r="S18" s="2162">
        <v>10</v>
      </c>
      <c r="T18" s="2162">
        <v>25.67</v>
      </c>
      <c r="U18" s="2162">
        <v>26</v>
      </c>
      <c r="V18" s="2162">
        <v>20</v>
      </c>
      <c r="W18" s="3216">
        <v>13.67</v>
      </c>
      <c r="X18" s="3107">
        <v>19.5</v>
      </c>
      <c r="Y18" s="1300">
        <v>38.5</v>
      </c>
      <c r="Z18" s="1300">
        <v>19</v>
      </c>
      <c r="AA18" s="1301">
        <v>27.63</v>
      </c>
      <c r="AB18" s="1301">
        <v>1.67</v>
      </c>
      <c r="AC18" s="1301"/>
      <c r="AD18" s="1301"/>
      <c r="AE18" s="1301"/>
      <c r="AF18" s="61"/>
      <c r="AG18" s="61"/>
      <c r="AH18" s="61"/>
      <c r="AI18" s="61"/>
      <c r="AJ18" s="151"/>
      <c r="AK18" s="151"/>
      <c r="AL18" s="14"/>
      <c r="AM18" s="61"/>
      <c r="AN18" s="61"/>
      <c r="AO18" s="61"/>
      <c r="AP18" s="61"/>
      <c r="AQ18" s="61"/>
      <c r="AR18" s="61"/>
      <c r="AS18" s="152"/>
      <c r="AT18" s="152"/>
      <c r="AU18" s="152"/>
      <c r="AV18" s="14"/>
      <c r="AW18" s="61"/>
      <c r="AX18" s="61"/>
      <c r="AY18" s="61"/>
      <c r="AZ18" s="61"/>
      <c r="BA18" s="61"/>
      <c r="BB18" s="151"/>
      <c r="BC18" s="151"/>
      <c r="BD18" s="151"/>
      <c r="BE18" s="14"/>
      <c r="BF18" s="61"/>
      <c r="BG18" s="61"/>
      <c r="BH18" s="61"/>
      <c r="BI18" s="61"/>
      <c r="BJ18" s="61"/>
      <c r="BK18" s="151"/>
      <c r="BL18" s="151"/>
      <c r="BM18" s="151"/>
      <c r="BN18" s="14"/>
      <c r="BO18" s="61"/>
      <c r="BP18" s="61"/>
      <c r="BQ18" s="61"/>
      <c r="BR18" s="61"/>
      <c r="BS18" s="61"/>
      <c r="BT18" s="61"/>
      <c r="BU18" s="151"/>
      <c r="BV18" s="151"/>
      <c r="BW18" s="14"/>
      <c r="BX18" s="61"/>
      <c r="BY18" s="61"/>
      <c r="BZ18" s="61"/>
      <c r="CA18" s="61"/>
      <c r="CB18" s="61"/>
      <c r="CC18" s="61"/>
      <c r="CD18" s="61"/>
      <c r="CE18" s="151"/>
      <c r="CF18" s="151"/>
      <c r="CG18" s="151"/>
      <c r="CH18" s="14"/>
      <c r="CI18" s="61"/>
      <c r="CJ18" s="61"/>
      <c r="CK18" s="61"/>
      <c r="CL18" s="61"/>
      <c r="CM18" s="61"/>
      <c r="CN18" s="151"/>
      <c r="CO18" s="151"/>
      <c r="CP18" s="14"/>
      <c r="CQ18" s="61"/>
      <c r="CR18" s="61"/>
      <c r="CS18" s="61"/>
      <c r="CT18" s="61"/>
      <c r="CU18" s="61"/>
      <c r="CV18" s="61"/>
      <c r="CW18" s="151"/>
      <c r="CX18" s="151"/>
      <c r="CY18" s="151"/>
      <c r="CZ18" s="14"/>
      <c r="DA18" s="61"/>
      <c r="DB18" s="61"/>
      <c r="DC18" s="61"/>
      <c r="DD18" s="61"/>
      <c r="DE18" s="61"/>
      <c r="DF18" s="151"/>
      <c r="DG18" s="151"/>
      <c r="DH18" s="151"/>
      <c r="DI18" s="151"/>
      <c r="DJ18" s="14"/>
      <c r="DK18" s="61"/>
      <c r="DL18" s="61"/>
      <c r="DM18" s="61"/>
      <c r="DN18" s="61"/>
      <c r="DO18" s="153"/>
      <c r="DP18" s="153"/>
      <c r="DQ18" s="153"/>
      <c r="DR18" s="14"/>
      <c r="DS18" s="61"/>
      <c r="DT18" s="61"/>
      <c r="DU18" s="61"/>
      <c r="DV18" s="61"/>
      <c r="DW18" s="61"/>
    </row>
    <row r="19" spans="1:127" ht="15.75" thickBot="1">
      <c r="A19" s="1318" t="s">
        <v>131</v>
      </c>
      <c r="B19" s="1319">
        <f>COUNTA(C19:C21)</f>
        <v>3</v>
      </c>
      <c r="C19" s="1308" t="s">
        <v>25</v>
      </c>
      <c r="D19" s="1309">
        <v>22</v>
      </c>
      <c r="E19" s="1309">
        <v>15.33</v>
      </c>
      <c r="F19" s="1309">
        <v>43</v>
      </c>
      <c r="G19" s="1310">
        <v>32</v>
      </c>
      <c r="H19" s="1311">
        <v>32</v>
      </c>
      <c r="I19" s="1312">
        <v>18.670000000000002</v>
      </c>
      <c r="J19" s="1193">
        <v>20.66</v>
      </c>
      <c r="K19" s="1313">
        <v>22.66</v>
      </c>
      <c r="L19" s="1364">
        <v>39.299999999999997</v>
      </c>
      <c r="M19" s="1633">
        <v>6</v>
      </c>
      <c r="N19" s="1365">
        <v>30</v>
      </c>
      <c r="O19" s="2257">
        <v>33</v>
      </c>
      <c r="P19" s="2305">
        <v>26.67</v>
      </c>
      <c r="Q19" s="14">
        <v>21</v>
      </c>
      <c r="R19" s="1315">
        <v>11</v>
      </c>
      <c r="S19" s="2166">
        <v>11</v>
      </c>
      <c r="T19" s="2166">
        <v>20</v>
      </c>
      <c r="U19" s="2166">
        <v>29</v>
      </c>
      <c r="V19" s="2166">
        <v>21</v>
      </c>
      <c r="W19" s="3217">
        <v>12</v>
      </c>
      <c r="X19" s="3141">
        <v>15.5</v>
      </c>
      <c r="Y19" s="1309">
        <v>38.5</v>
      </c>
      <c r="Z19" s="1309">
        <v>16.670000000000002</v>
      </c>
      <c r="AA19" s="1310">
        <v>25.04</v>
      </c>
      <c r="AB19" s="1310">
        <v>23.67</v>
      </c>
      <c r="AC19" s="1310"/>
      <c r="AD19" s="1310"/>
      <c r="AE19" s="1310"/>
      <c r="AF19" s="61"/>
      <c r="AG19" s="61"/>
      <c r="AH19" s="61"/>
      <c r="AI19" s="61"/>
      <c r="AJ19" s="154"/>
      <c r="AK19" s="154"/>
      <c r="AL19" s="14"/>
      <c r="AM19" s="61"/>
      <c r="AN19" s="61"/>
      <c r="AO19" s="61"/>
      <c r="AP19" s="61"/>
      <c r="AQ19" s="61"/>
      <c r="AR19" s="61"/>
      <c r="AS19" s="154"/>
      <c r="AT19" s="154"/>
      <c r="AU19" s="154"/>
      <c r="AV19" s="14"/>
      <c r="AW19" s="61"/>
      <c r="AX19" s="61"/>
      <c r="AY19" s="61"/>
      <c r="AZ19" s="61"/>
      <c r="BA19" s="61"/>
      <c r="BB19" s="154"/>
      <c r="BC19" s="154"/>
      <c r="BD19" s="154"/>
      <c r="BE19" s="14"/>
      <c r="BF19" s="61"/>
      <c r="BG19" s="61"/>
      <c r="BH19" s="61"/>
      <c r="BI19" s="61"/>
      <c r="BJ19" s="61"/>
      <c r="BK19" s="154"/>
      <c r="BL19" s="154"/>
      <c r="BM19" s="154"/>
      <c r="BN19" s="14"/>
      <c r="BO19" s="61"/>
      <c r="BP19" s="61"/>
      <c r="BQ19" s="61"/>
      <c r="BR19" s="61"/>
      <c r="BS19" s="61"/>
      <c r="BT19" s="61"/>
      <c r="BU19" s="154"/>
      <c r="BV19" s="154"/>
      <c r="BW19" s="14"/>
      <c r="BX19" s="61"/>
      <c r="BY19" s="61"/>
      <c r="BZ19" s="61"/>
      <c r="CA19" s="61"/>
      <c r="CB19" s="61"/>
      <c r="CC19" s="61"/>
      <c r="CD19" s="61"/>
      <c r="CE19" s="154"/>
      <c r="CF19" s="154"/>
      <c r="CG19" s="154"/>
      <c r="CH19" s="14"/>
      <c r="CI19" s="61"/>
      <c r="CJ19" s="61"/>
      <c r="CK19" s="61"/>
      <c r="CL19" s="61"/>
      <c r="CM19" s="61"/>
      <c r="CN19" s="154"/>
      <c r="CO19" s="154"/>
      <c r="CP19" s="14"/>
      <c r="CQ19" s="61"/>
      <c r="CR19" s="61"/>
      <c r="CS19" s="61"/>
      <c r="CT19" s="61"/>
      <c r="CU19" s="61"/>
      <c r="CV19" s="61"/>
      <c r="CW19" s="154"/>
      <c r="CX19" s="154"/>
      <c r="CY19" s="154"/>
      <c r="CZ19" s="14"/>
      <c r="DA19" s="61"/>
      <c r="DB19" s="61"/>
      <c r="DC19" s="61"/>
      <c r="DD19" s="61"/>
      <c r="DE19" s="61"/>
      <c r="DF19" s="154"/>
      <c r="DG19" s="154"/>
      <c r="DH19" s="154"/>
      <c r="DI19" s="154"/>
      <c r="DJ19" s="14"/>
      <c r="DK19" s="61"/>
      <c r="DL19" s="61"/>
      <c r="DM19" s="61"/>
      <c r="DN19" s="61"/>
      <c r="DO19" s="154"/>
      <c r="DP19" s="154"/>
      <c r="DQ19" s="154"/>
      <c r="DR19" s="14"/>
      <c r="DS19" s="61"/>
      <c r="DT19" s="61"/>
      <c r="DU19" s="61"/>
      <c r="DV19" s="61"/>
      <c r="DW19" s="61"/>
    </row>
    <row r="20" spans="1:127">
      <c r="A20" s="1029" t="s">
        <v>185</v>
      </c>
      <c r="B20" s="1321"/>
      <c r="C20" s="1291" t="s">
        <v>15</v>
      </c>
      <c r="D20" s="1292">
        <v>12</v>
      </c>
      <c r="E20" s="1292">
        <v>17</v>
      </c>
      <c r="F20" s="1292">
        <v>29</v>
      </c>
      <c r="G20" s="1293">
        <v>16</v>
      </c>
      <c r="H20" s="1294">
        <v>23</v>
      </c>
      <c r="I20" s="1295">
        <v>21</v>
      </c>
      <c r="J20" s="1185">
        <v>44</v>
      </c>
      <c r="K20" s="1296">
        <v>32</v>
      </c>
      <c r="L20" s="1361"/>
      <c r="M20" s="1432">
        <v>57</v>
      </c>
      <c r="N20" s="1269">
        <v>5</v>
      </c>
      <c r="O20" s="2258">
        <v>101</v>
      </c>
      <c r="P20" s="2349">
        <v>30</v>
      </c>
      <c r="Q20" s="14">
        <v>42</v>
      </c>
      <c r="R20" s="1210">
        <v>15</v>
      </c>
      <c r="S20" s="2160">
        <v>26</v>
      </c>
      <c r="T20" s="2160"/>
      <c r="U20" s="2160"/>
      <c r="V20" s="2160"/>
      <c r="W20" s="3215">
        <v>14</v>
      </c>
      <c r="X20" s="3145">
        <v>28</v>
      </c>
      <c r="Y20" s="1292">
        <v>17</v>
      </c>
      <c r="Z20" s="1292">
        <v>18</v>
      </c>
      <c r="AA20" s="1293">
        <v>21.5</v>
      </c>
      <c r="AB20" s="1293">
        <v>22</v>
      </c>
      <c r="AC20" s="1293"/>
      <c r="AD20" s="1293"/>
      <c r="AE20" s="1293"/>
      <c r="AF20" s="61"/>
      <c r="AG20" s="61"/>
      <c r="AH20" s="61"/>
      <c r="AI20" s="61"/>
      <c r="AJ20" s="155"/>
      <c r="AK20" s="155"/>
      <c r="AL20" s="14"/>
      <c r="AM20" s="61"/>
      <c r="AN20" s="61"/>
      <c r="AO20" s="61"/>
      <c r="AP20" s="61"/>
      <c r="AQ20" s="61"/>
      <c r="AR20" s="61"/>
      <c r="AS20" s="155"/>
      <c r="AT20" s="155"/>
      <c r="AU20" s="155"/>
      <c r="AV20" s="14"/>
      <c r="AW20" s="61"/>
      <c r="AX20" s="61"/>
      <c r="AY20" s="61"/>
      <c r="AZ20" s="61"/>
      <c r="BA20" s="61"/>
      <c r="BB20" s="155"/>
      <c r="BC20" s="155"/>
      <c r="BD20" s="155"/>
      <c r="BE20" s="14"/>
      <c r="BF20" s="61"/>
      <c r="BG20" s="61"/>
      <c r="BH20" s="61"/>
      <c r="BI20" s="61"/>
      <c r="BJ20" s="61"/>
      <c r="BK20" s="155"/>
      <c r="BL20" s="155"/>
      <c r="BM20" s="155"/>
      <c r="BN20" s="14"/>
      <c r="BO20" s="61"/>
      <c r="BP20" s="61"/>
      <c r="BQ20" s="61"/>
      <c r="BR20" s="61"/>
      <c r="BS20" s="61"/>
      <c r="BT20" s="61"/>
      <c r="BU20" s="155"/>
      <c r="BV20" s="155"/>
      <c r="BW20" s="14"/>
      <c r="BX20" s="61"/>
      <c r="BY20" s="61"/>
      <c r="BZ20" s="61"/>
      <c r="CA20" s="61"/>
      <c r="CB20" s="61"/>
      <c r="CC20" s="61"/>
      <c r="CD20" s="61"/>
      <c r="CE20" s="155"/>
      <c r="CF20" s="155"/>
      <c r="CG20" s="155"/>
      <c r="CH20" s="14"/>
      <c r="CI20" s="61"/>
      <c r="CJ20" s="61"/>
      <c r="CK20" s="61"/>
      <c r="CL20" s="61"/>
      <c r="CM20" s="61"/>
      <c r="CN20" s="155"/>
      <c r="CO20" s="155"/>
      <c r="CP20" s="14"/>
      <c r="CQ20" s="61"/>
      <c r="CR20" s="61"/>
      <c r="CS20" s="61"/>
      <c r="CT20" s="61"/>
      <c r="CU20" s="61"/>
      <c r="CV20" s="61"/>
      <c r="CW20" s="155"/>
      <c r="CX20" s="155"/>
      <c r="CY20" s="155"/>
      <c r="CZ20" s="14"/>
      <c r="DA20" s="61"/>
      <c r="DB20" s="61"/>
      <c r="DC20" s="61"/>
      <c r="DD20" s="61"/>
      <c r="DE20" s="61"/>
      <c r="DF20" s="155"/>
      <c r="DG20" s="155"/>
      <c r="DH20" s="155"/>
      <c r="DI20" s="155"/>
      <c r="DJ20" s="14"/>
      <c r="DK20" s="61"/>
      <c r="DL20" s="61"/>
      <c r="DM20" s="61"/>
      <c r="DN20" s="61"/>
      <c r="DO20" s="155"/>
      <c r="DP20" s="155"/>
      <c r="DQ20" s="155"/>
      <c r="DR20" s="14"/>
      <c r="DS20" s="61"/>
      <c r="DT20" s="61"/>
      <c r="DU20" s="61"/>
      <c r="DV20" s="61"/>
      <c r="DW20" s="61"/>
    </row>
    <row r="21" spans="1:127">
      <c r="A21" s="1289" t="s">
        <v>185</v>
      </c>
      <c r="B21" s="1032"/>
      <c r="C21" s="1299" t="s">
        <v>37</v>
      </c>
      <c r="D21" s="1300">
        <v>16</v>
      </c>
      <c r="E21" s="1300">
        <v>6</v>
      </c>
      <c r="F21" s="1300">
        <v>48</v>
      </c>
      <c r="G21" s="1301">
        <v>19</v>
      </c>
      <c r="H21" s="1302">
        <v>15</v>
      </c>
      <c r="I21" s="1303">
        <v>30</v>
      </c>
      <c r="J21" s="1188">
        <v>104</v>
      </c>
      <c r="K21" s="1304">
        <v>27</v>
      </c>
      <c r="L21" s="1343"/>
      <c r="M21" s="1628">
        <v>23</v>
      </c>
      <c r="N21" s="1274">
        <v>14</v>
      </c>
      <c r="O21" s="2259">
        <v>38</v>
      </c>
      <c r="P21" s="2198">
        <v>28</v>
      </c>
      <c r="Q21" s="14">
        <v>66</v>
      </c>
      <c r="R21" s="1244">
        <v>50</v>
      </c>
      <c r="S21" s="2162">
        <v>21</v>
      </c>
      <c r="T21" s="2162"/>
      <c r="U21" s="2162"/>
      <c r="V21" s="2162"/>
      <c r="W21" s="3216">
        <v>9</v>
      </c>
      <c r="X21" s="3107">
        <v>46</v>
      </c>
      <c r="Y21" s="1300">
        <v>16</v>
      </c>
      <c r="Z21" s="1300">
        <v>11</v>
      </c>
      <c r="AA21" s="1301">
        <v>23.5</v>
      </c>
      <c r="AB21" s="1301">
        <v>28</v>
      </c>
      <c r="AC21" s="1301"/>
      <c r="AD21" s="1301"/>
      <c r="AE21" s="1301"/>
      <c r="AF21" s="61"/>
      <c r="AG21" s="61"/>
      <c r="AH21" s="61"/>
      <c r="AI21" s="61"/>
      <c r="AJ21" s="61"/>
      <c r="AK21" s="61"/>
      <c r="AL21" s="14"/>
      <c r="AM21" s="61"/>
      <c r="AN21" s="61"/>
      <c r="AO21" s="61"/>
      <c r="AP21" s="61"/>
      <c r="AQ21" s="61"/>
      <c r="AR21" s="61"/>
      <c r="AS21" s="61"/>
      <c r="AT21" s="61"/>
      <c r="AU21" s="61"/>
      <c r="AV21" s="14"/>
      <c r="AW21" s="61"/>
      <c r="AX21" s="61"/>
      <c r="AY21" s="61"/>
      <c r="AZ21" s="61"/>
      <c r="BA21" s="61"/>
      <c r="BB21" s="61"/>
      <c r="BC21" s="61"/>
      <c r="BD21" s="61"/>
      <c r="BE21" s="14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14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14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</row>
    <row r="22" spans="1:127" ht="15.75" thickBot="1">
      <c r="A22" s="1318" t="s">
        <v>185</v>
      </c>
      <c r="B22" s="1319">
        <f>COUNTA(C22:C24)</f>
        <v>3</v>
      </c>
      <c r="C22" s="1308" t="s">
        <v>19</v>
      </c>
      <c r="D22" s="1309">
        <v>33</v>
      </c>
      <c r="E22" s="1309">
        <v>23</v>
      </c>
      <c r="F22" s="1309">
        <v>50</v>
      </c>
      <c r="G22" s="1310">
        <v>19</v>
      </c>
      <c r="H22" s="1311">
        <v>32</v>
      </c>
      <c r="I22" s="1312">
        <v>20</v>
      </c>
      <c r="J22" s="1193">
        <v>68</v>
      </c>
      <c r="K22" s="1313">
        <v>33</v>
      </c>
      <c r="L22" s="1364"/>
      <c r="M22" s="1633">
        <v>5</v>
      </c>
      <c r="N22" s="1365">
        <v>9</v>
      </c>
      <c r="O22" s="2260">
        <v>58</v>
      </c>
      <c r="P22" s="2199">
        <v>22</v>
      </c>
      <c r="Q22" s="14">
        <v>22</v>
      </c>
      <c r="R22" s="2165">
        <v>18</v>
      </c>
      <c r="S22" s="2166">
        <v>29</v>
      </c>
      <c r="T22" s="2166"/>
      <c r="U22" s="2166"/>
      <c r="V22" s="2166"/>
      <c r="W22" s="3217">
        <v>11</v>
      </c>
      <c r="X22" s="3141">
        <v>18</v>
      </c>
      <c r="Y22" s="1309">
        <v>21</v>
      </c>
      <c r="Z22" s="1309">
        <v>16</v>
      </c>
      <c r="AA22" s="1310">
        <v>16.5</v>
      </c>
      <c r="AB22" s="1310">
        <v>37</v>
      </c>
      <c r="AC22" s="1310"/>
      <c r="AD22" s="1310"/>
      <c r="AE22" s="1310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</row>
    <row r="23" spans="1:127">
      <c r="A23" s="1029" t="s">
        <v>132</v>
      </c>
      <c r="B23" s="1321"/>
      <c r="C23" s="1291" t="s">
        <v>30</v>
      </c>
      <c r="D23" s="1292">
        <v>21</v>
      </c>
      <c r="E23" s="1292">
        <v>55.67</v>
      </c>
      <c r="F23" s="1292">
        <v>56</v>
      </c>
      <c r="G23" s="1293">
        <v>26.33</v>
      </c>
      <c r="H23" s="1294">
        <v>19.329999999999998</v>
      </c>
      <c r="I23" s="1295">
        <v>34.33</v>
      </c>
      <c r="J23" s="1185">
        <v>19.66</v>
      </c>
      <c r="K23" s="1296">
        <v>15.66</v>
      </c>
      <c r="L23" s="1361">
        <v>24.66</v>
      </c>
      <c r="M23" s="1432">
        <v>142.66999999999999</v>
      </c>
      <c r="N23" s="1269">
        <v>59.33</v>
      </c>
      <c r="O23" s="2261">
        <v>16</v>
      </c>
      <c r="P23" s="2306">
        <v>15.33</v>
      </c>
      <c r="Q23" s="61">
        <v>15</v>
      </c>
      <c r="R23" s="2159">
        <v>13</v>
      </c>
      <c r="S23" s="2160">
        <v>21</v>
      </c>
      <c r="T23" s="2160">
        <v>10.66</v>
      </c>
      <c r="U23" s="2160">
        <v>49</v>
      </c>
      <c r="V23" s="2160">
        <v>34</v>
      </c>
      <c r="W23" s="3215">
        <v>9.67</v>
      </c>
      <c r="X23" s="3145">
        <v>11.33</v>
      </c>
      <c r="Y23" s="1292">
        <v>20.5</v>
      </c>
      <c r="Z23" s="1292">
        <v>13</v>
      </c>
      <c r="AA23" s="1293">
        <v>14.83</v>
      </c>
      <c r="AB23" s="1293">
        <v>29</v>
      </c>
      <c r="AC23" s="1293"/>
      <c r="AD23" s="1293"/>
      <c r="AE23" s="1293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</row>
    <row r="24" spans="1:127">
      <c r="A24" s="1289" t="s">
        <v>132</v>
      </c>
      <c r="B24" s="1032"/>
      <c r="C24" s="1299" t="s">
        <v>12</v>
      </c>
      <c r="D24" s="1300">
        <v>9.67</v>
      </c>
      <c r="E24" s="1300">
        <v>79.33</v>
      </c>
      <c r="F24" s="1300">
        <v>213</v>
      </c>
      <c r="G24" s="1301">
        <v>24.67</v>
      </c>
      <c r="H24" s="1302">
        <v>14.66</v>
      </c>
      <c r="I24" s="1303">
        <v>31.33</v>
      </c>
      <c r="J24" s="1188">
        <v>24</v>
      </c>
      <c r="K24" s="1304">
        <v>15</v>
      </c>
      <c r="L24" s="1343">
        <v>16.66</v>
      </c>
      <c r="M24" s="1628">
        <v>126.33</v>
      </c>
      <c r="N24" s="1274">
        <v>31</v>
      </c>
      <c r="O24" s="2259">
        <v>20.67</v>
      </c>
      <c r="P24" s="2198">
        <v>12.67</v>
      </c>
      <c r="Q24" s="61">
        <v>10.33</v>
      </c>
      <c r="R24" s="2161">
        <v>8</v>
      </c>
      <c r="S24" s="2162">
        <v>17</v>
      </c>
      <c r="T24" s="2162">
        <v>12.33</v>
      </c>
      <c r="U24" s="2162">
        <v>34</v>
      </c>
      <c r="V24" s="2162">
        <v>23</v>
      </c>
      <c r="W24" s="3216">
        <v>7.67</v>
      </c>
      <c r="X24" s="3107">
        <v>8.33</v>
      </c>
      <c r="Y24" s="1300">
        <v>20.5</v>
      </c>
      <c r="Z24" s="1300">
        <v>23.67</v>
      </c>
      <c r="AA24" s="1301">
        <v>17.13</v>
      </c>
      <c r="AB24" s="1301">
        <v>13.67</v>
      </c>
      <c r="AC24" s="1301"/>
      <c r="AD24" s="1301"/>
      <c r="AE24" s="130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</row>
    <row r="25" spans="1:127">
      <c r="A25" s="1289" t="s">
        <v>132</v>
      </c>
      <c r="B25" s="999">
        <f>COUNTA(C25:C29)</f>
        <v>5</v>
      </c>
      <c r="C25" s="1299" t="s">
        <v>20</v>
      </c>
      <c r="D25" s="1300">
        <v>10.33</v>
      </c>
      <c r="E25" s="1300">
        <v>98.33</v>
      </c>
      <c r="F25" s="1300">
        <v>78</v>
      </c>
      <c r="G25" s="1301">
        <v>214.33</v>
      </c>
      <c r="H25" s="1302">
        <v>34.659999999999997</v>
      </c>
      <c r="I25" s="1303">
        <v>19.7</v>
      </c>
      <c r="J25" s="1188">
        <v>22</v>
      </c>
      <c r="K25" s="1304">
        <v>13.66</v>
      </c>
      <c r="L25" s="1343">
        <v>19</v>
      </c>
      <c r="M25" s="1628">
        <v>61.33</v>
      </c>
      <c r="N25" s="1274">
        <v>49.33</v>
      </c>
      <c r="O25" s="2259">
        <v>18</v>
      </c>
      <c r="P25" s="2198">
        <v>10</v>
      </c>
      <c r="Q25" s="61">
        <v>16</v>
      </c>
      <c r="R25" s="2161">
        <v>10</v>
      </c>
      <c r="S25" s="2162">
        <v>17</v>
      </c>
      <c r="T25" s="2162">
        <v>16.66</v>
      </c>
      <c r="U25" s="2162">
        <v>43</v>
      </c>
      <c r="V25" s="2162">
        <v>38</v>
      </c>
      <c r="W25" s="3216">
        <v>9.33</v>
      </c>
      <c r="X25" s="3107">
        <v>12</v>
      </c>
      <c r="Y25" s="1300">
        <v>36.5</v>
      </c>
      <c r="Z25" s="1300">
        <v>29</v>
      </c>
      <c r="AA25" s="1301">
        <v>22.25</v>
      </c>
      <c r="AB25" s="1301">
        <v>27.67</v>
      </c>
      <c r="AC25" s="1301"/>
      <c r="AD25" s="1301"/>
      <c r="AE25" s="130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</row>
    <row r="26" spans="1:127">
      <c r="A26" s="1289" t="s">
        <v>132</v>
      </c>
      <c r="B26" s="1032"/>
      <c r="C26" s="1299" t="s">
        <v>26</v>
      </c>
      <c r="D26" s="1300">
        <v>12.33</v>
      </c>
      <c r="E26" s="1300">
        <v>71.33</v>
      </c>
      <c r="F26" s="1300">
        <v>74</v>
      </c>
      <c r="G26" s="1301">
        <v>41.33</v>
      </c>
      <c r="H26" s="1302">
        <v>25.33</v>
      </c>
      <c r="I26" s="1303">
        <v>22.33</v>
      </c>
      <c r="J26" s="1188">
        <v>22.66</v>
      </c>
      <c r="K26" s="1304">
        <v>12.66</v>
      </c>
      <c r="L26" s="1343">
        <v>21.33</v>
      </c>
      <c r="M26" s="1628">
        <v>59.67</v>
      </c>
      <c r="N26" s="1274">
        <v>58.66</v>
      </c>
      <c r="O26" s="2259">
        <v>14</v>
      </c>
      <c r="P26" s="2198">
        <v>13.67</v>
      </c>
      <c r="Q26" s="61">
        <v>13.33</v>
      </c>
      <c r="R26" s="2161">
        <v>15</v>
      </c>
      <c r="S26" s="2162">
        <v>17</v>
      </c>
      <c r="T26" s="2162">
        <v>13.33</v>
      </c>
      <c r="U26" s="2162">
        <v>53</v>
      </c>
      <c r="V26" s="2162">
        <v>44</v>
      </c>
      <c r="W26" s="3216">
        <v>9.67</v>
      </c>
      <c r="X26" s="3107">
        <v>10.67</v>
      </c>
      <c r="Y26" s="1300">
        <v>19.5</v>
      </c>
      <c r="Z26" s="1300">
        <v>16.670000000000002</v>
      </c>
      <c r="AA26" s="1301">
        <v>15.46</v>
      </c>
      <c r="AB26" s="1301">
        <v>28</v>
      </c>
      <c r="AC26" s="1301"/>
      <c r="AD26" s="1301"/>
      <c r="AE26" s="130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</row>
    <row r="27" spans="1:127" ht="15.75" thickBot="1">
      <c r="A27" s="1318" t="s">
        <v>132</v>
      </c>
      <c r="B27" s="1033"/>
      <c r="C27" s="1308" t="s">
        <v>22</v>
      </c>
      <c r="D27" s="1309">
        <v>17.670000000000002</v>
      </c>
      <c r="E27" s="1309">
        <v>60.67</v>
      </c>
      <c r="F27" s="1309">
        <v>53.5</v>
      </c>
      <c r="G27" s="1310">
        <v>18.670000000000002</v>
      </c>
      <c r="H27" s="1311">
        <v>10.66</v>
      </c>
      <c r="I27" s="1312">
        <v>33.700000000000003</v>
      </c>
      <c r="J27" s="1193">
        <v>22</v>
      </c>
      <c r="K27" s="1313">
        <v>14.66</v>
      </c>
      <c r="L27" s="1364">
        <v>17.66</v>
      </c>
      <c r="M27" s="1633">
        <v>22</v>
      </c>
      <c r="N27" s="1365">
        <v>65</v>
      </c>
      <c r="O27" s="2260">
        <v>21.33</v>
      </c>
      <c r="P27" s="2199">
        <v>12</v>
      </c>
      <c r="Q27" s="61">
        <v>10.67</v>
      </c>
      <c r="R27" s="2165">
        <v>16</v>
      </c>
      <c r="S27" s="2166">
        <v>11</v>
      </c>
      <c r="T27" s="2166">
        <v>12.33</v>
      </c>
      <c r="U27" s="2166">
        <v>25</v>
      </c>
      <c r="V27" s="2166">
        <v>30</v>
      </c>
      <c r="W27" s="3217">
        <v>7</v>
      </c>
      <c r="X27" s="3141">
        <v>9</v>
      </c>
      <c r="Y27" s="1309">
        <v>20.5</v>
      </c>
      <c r="Z27" s="1309">
        <v>25.33</v>
      </c>
      <c r="AA27" s="1310">
        <v>16.329999999999998</v>
      </c>
      <c r="AB27" s="1310">
        <v>17.670000000000002</v>
      </c>
      <c r="AC27" s="1310"/>
      <c r="AD27" s="1310"/>
      <c r="AE27" s="1310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</row>
    <row r="28" spans="1:127">
      <c r="A28" s="1029" t="s">
        <v>63</v>
      </c>
      <c r="B28" s="1321"/>
      <c r="C28" s="1291" t="s">
        <v>38</v>
      </c>
      <c r="D28" s="1292">
        <v>36.67</v>
      </c>
      <c r="E28" s="1292">
        <v>22.5</v>
      </c>
      <c r="F28" s="1292">
        <v>14</v>
      </c>
      <c r="G28" s="1293">
        <v>168</v>
      </c>
      <c r="H28" s="1294">
        <v>21</v>
      </c>
      <c r="I28" s="1295">
        <v>35.67</v>
      </c>
      <c r="J28" s="1185">
        <v>33</v>
      </c>
      <c r="K28" s="1296">
        <v>21</v>
      </c>
      <c r="L28" s="1361">
        <v>46.67</v>
      </c>
      <c r="M28" s="1432">
        <v>130.33000000000001</v>
      </c>
      <c r="N28" s="1269">
        <v>20</v>
      </c>
      <c r="O28" s="2261">
        <v>21.67</v>
      </c>
      <c r="P28" s="2219">
        <v>30.67</v>
      </c>
      <c r="Q28" s="61">
        <v>28</v>
      </c>
      <c r="R28" s="2159">
        <v>22</v>
      </c>
      <c r="S28" s="2160">
        <v>25</v>
      </c>
      <c r="T28" s="2160"/>
      <c r="U28" s="2160">
        <v>42</v>
      </c>
      <c r="V28" s="2160">
        <v>27</v>
      </c>
      <c r="W28" s="3215">
        <v>26.33</v>
      </c>
      <c r="X28" s="3145">
        <v>33.33</v>
      </c>
      <c r="Y28" s="1292">
        <v>22</v>
      </c>
      <c r="Z28" s="1292">
        <v>26.67</v>
      </c>
      <c r="AA28" s="1293">
        <v>27</v>
      </c>
      <c r="AB28" s="1293">
        <v>28</v>
      </c>
      <c r="AC28" s="1293"/>
      <c r="AD28" s="1293"/>
      <c r="AE28" s="1293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</row>
    <row r="29" spans="1:127">
      <c r="A29" s="1289" t="s">
        <v>63</v>
      </c>
      <c r="B29" s="1032"/>
      <c r="C29" s="1299" t="s">
        <v>34</v>
      </c>
      <c r="D29" s="1300">
        <v>13</v>
      </c>
      <c r="E29" s="1300">
        <v>18.5</v>
      </c>
      <c r="F29" s="1300">
        <v>14.33</v>
      </c>
      <c r="G29" s="1301">
        <v>18.329999999999998</v>
      </c>
      <c r="H29" s="1302">
        <v>24</v>
      </c>
      <c r="I29" s="1303">
        <v>129.66999999999999</v>
      </c>
      <c r="J29" s="1188">
        <v>41.33</v>
      </c>
      <c r="K29" s="1304">
        <v>60</v>
      </c>
      <c r="L29" s="1343">
        <v>104</v>
      </c>
      <c r="M29" s="1628">
        <v>72</v>
      </c>
      <c r="N29" s="1274">
        <v>28.66</v>
      </c>
      <c r="O29" s="2259">
        <v>26.67</v>
      </c>
      <c r="P29" s="2195">
        <v>32.33</v>
      </c>
      <c r="Q29" s="61">
        <v>14</v>
      </c>
      <c r="R29" s="2161">
        <v>16</v>
      </c>
      <c r="S29" s="2162">
        <v>16</v>
      </c>
      <c r="T29" s="2162"/>
      <c r="U29" s="2162">
        <v>25</v>
      </c>
      <c r="V29" s="2162">
        <v>21</v>
      </c>
      <c r="W29" s="3216">
        <v>18.670000000000002</v>
      </c>
      <c r="X29" s="3107">
        <v>19.670000000000002</v>
      </c>
      <c r="Y29" s="1300">
        <v>11</v>
      </c>
      <c r="Z29" s="1300">
        <v>13.67</v>
      </c>
      <c r="AA29" s="1301">
        <v>17.09</v>
      </c>
      <c r="AB29" s="1301">
        <v>21.67</v>
      </c>
      <c r="AC29" s="1301"/>
      <c r="AD29" s="1301"/>
      <c r="AE29" s="130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</row>
    <row r="30" spans="1:127">
      <c r="A30" s="1322" t="s">
        <v>63</v>
      </c>
      <c r="B30" s="1036">
        <f>COUNTA(C30:C34)</f>
        <v>5</v>
      </c>
      <c r="C30" s="1323" t="s">
        <v>20</v>
      </c>
      <c r="D30" s="1324">
        <v>79.67</v>
      </c>
      <c r="E30" s="1324">
        <v>45.5</v>
      </c>
      <c r="F30" s="1324">
        <v>18</v>
      </c>
      <c r="G30" s="1325">
        <v>52</v>
      </c>
      <c r="H30" s="1326">
        <v>43</v>
      </c>
      <c r="I30" s="1327">
        <v>461.33</v>
      </c>
      <c r="J30" s="1328">
        <v>43.33</v>
      </c>
      <c r="K30" s="1329">
        <v>47.33</v>
      </c>
      <c r="L30" s="2174">
        <v>59.3</v>
      </c>
      <c r="M30" s="2175">
        <v>62.67</v>
      </c>
      <c r="N30" s="1274">
        <v>36</v>
      </c>
      <c r="O30" s="2259">
        <v>47.67</v>
      </c>
      <c r="P30" s="2198">
        <v>38</v>
      </c>
      <c r="Q30" s="61">
        <v>77</v>
      </c>
      <c r="R30" s="2161">
        <v>16</v>
      </c>
      <c r="S30" s="2162">
        <v>26</v>
      </c>
      <c r="T30" s="2162"/>
      <c r="U30" s="2162">
        <v>34</v>
      </c>
      <c r="V30" s="2162">
        <v>22</v>
      </c>
      <c r="W30" s="3216">
        <v>23.33</v>
      </c>
      <c r="X30" s="3107">
        <v>27.67</v>
      </c>
      <c r="Y30" s="1324">
        <v>19</v>
      </c>
      <c r="Z30" s="1324">
        <v>24.33</v>
      </c>
      <c r="AA30" s="1325">
        <v>26.25</v>
      </c>
      <c r="AB30" s="1325">
        <v>59</v>
      </c>
      <c r="AC30" s="1325"/>
      <c r="AD30" s="1325"/>
      <c r="AE30" s="1325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</row>
    <row r="31" spans="1:127">
      <c r="A31" s="1289" t="s">
        <v>63</v>
      </c>
      <c r="B31" s="1032"/>
      <c r="C31" s="1299" t="s">
        <v>39</v>
      </c>
      <c r="D31" s="1300">
        <v>25.67</v>
      </c>
      <c r="E31" s="1300">
        <v>70.5</v>
      </c>
      <c r="F31" s="1300">
        <v>17</v>
      </c>
      <c r="G31" s="1301">
        <v>34.67</v>
      </c>
      <c r="H31" s="1302">
        <v>23</v>
      </c>
      <c r="I31" s="1303">
        <v>40.33</v>
      </c>
      <c r="J31" s="1188">
        <v>37.659999999999997</v>
      </c>
      <c r="K31" s="1304">
        <v>36.33</v>
      </c>
      <c r="L31" s="1343">
        <v>47</v>
      </c>
      <c r="M31" s="1628">
        <v>59.33</v>
      </c>
      <c r="N31" s="1274">
        <v>17.66</v>
      </c>
      <c r="O31" s="2259">
        <v>27.33</v>
      </c>
      <c r="P31" s="2198">
        <v>23</v>
      </c>
      <c r="Q31" s="61">
        <v>31</v>
      </c>
      <c r="R31" s="2161">
        <v>15</v>
      </c>
      <c r="S31" s="2162">
        <v>18</v>
      </c>
      <c r="T31" s="2162"/>
      <c r="U31" s="2162">
        <v>40</v>
      </c>
      <c r="V31" s="2162">
        <v>30</v>
      </c>
      <c r="W31" s="3216">
        <v>27.67</v>
      </c>
      <c r="X31" s="3107">
        <v>29</v>
      </c>
      <c r="Y31" s="1300">
        <v>28</v>
      </c>
      <c r="Z31" s="1300">
        <v>36</v>
      </c>
      <c r="AA31" s="1301">
        <v>31.38</v>
      </c>
      <c r="AB31" s="1301">
        <v>26</v>
      </c>
      <c r="AC31" s="1301"/>
      <c r="AD31" s="1301"/>
      <c r="AE31" s="130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</row>
    <row r="32" spans="1:127" ht="15.75" thickBot="1">
      <c r="A32" s="1318" t="s">
        <v>63</v>
      </c>
      <c r="B32" s="1033"/>
      <c r="C32" s="1308" t="s">
        <v>26</v>
      </c>
      <c r="D32" s="1309">
        <v>34.67</v>
      </c>
      <c r="E32" s="1309">
        <v>24.5</v>
      </c>
      <c r="F32" s="1309">
        <v>59.67</v>
      </c>
      <c r="G32" s="1310">
        <v>38.33</v>
      </c>
      <c r="H32" s="1311">
        <v>22</v>
      </c>
      <c r="I32" s="1312">
        <v>34.33</v>
      </c>
      <c r="J32" s="1193">
        <v>43.33</v>
      </c>
      <c r="K32" s="1313">
        <v>46.66</v>
      </c>
      <c r="L32" s="1364">
        <v>46.33</v>
      </c>
      <c r="M32" s="1633">
        <v>36.33</v>
      </c>
      <c r="N32" s="1365">
        <v>26.66</v>
      </c>
      <c r="O32" s="2260">
        <v>29.67</v>
      </c>
      <c r="P32" s="2196">
        <v>32.33</v>
      </c>
      <c r="Q32" s="61">
        <v>33</v>
      </c>
      <c r="R32" s="2165">
        <v>13</v>
      </c>
      <c r="S32" s="2166">
        <v>15</v>
      </c>
      <c r="T32" s="2166"/>
      <c r="U32" s="2166">
        <v>39</v>
      </c>
      <c r="V32" s="2166">
        <v>27</v>
      </c>
      <c r="W32" s="3217">
        <v>25.33</v>
      </c>
      <c r="X32" s="3141">
        <v>31.67</v>
      </c>
      <c r="Y32" s="1309">
        <v>22</v>
      </c>
      <c r="Z32" s="1309">
        <v>32.67</v>
      </c>
      <c r="AA32" s="1310">
        <v>30.21</v>
      </c>
      <c r="AB32" s="1310">
        <v>51.33</v>
      </c>
      <c r="AC32" s="1310"/>
      <c r="AD32" s="1310"/>
      <c r="AE32" s="1310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</row>
    <row r="33" spans="1:127">
      <c r="A33" s="1029" t="s">
        <v>23</v>
      </c>
      <c r="B33" s="1330">
        <f>COUNTA(C33:C35)</f>
        <v>3</v>
      </c>
      <c r="C33" s="1291" t="s">
        <v>32</v>
      </c>
      <c r="D33" s="1292">
        <v>28.67</v>
      </c>
      <c r="E33" s="1292">
        <v>34.67</v>
      </c>
      <c r="F33" s="1292">
        <v>24.67</v>
      </c>
      <c r="G33" s="1293">
        <v>63.5</v>
      </c>
      <c r="H33" s="1294">
        <v>68.66</v>
      </c>
      <c r="I33" s="1295">
        <v>76</v>
      </c>
      <c r="J33" s="1185">
        <v>22</v>
      </c>
      <c r="K33" s="1185">
        <v>39.659999999999997</v>
      </c>
      <c r="L33" s="1268">
        <v>58.67</v>
      </c>
      <c r="M33" s="1432">
        <v>44</v>
      </c>
      <c r="N33" s="1269">
        <v>28</v>
      </c>
      <c r="O33" s="2261">
        <v>9</v>
      </c>
      <c r="P33" s="2306">
        <v>47</v>
      </c>
      <c r="Q33" s="61">
        <v>26</v>
      </c>
      <c r="R33" s="2159">
        <v>25</v>
      </c>
      <c r="S33" s="2160">
        <v>12</v>
      </c>
      <c r="T33" s="2160"/>
      <c r="U33" s="2160"/>
      <c r="V33" s="2160"/>
      <c r="W33" s="3215">
        <v>21.67</v>
      </c>
      <c r="X33" s="3145">
        <v>34.33</v>
      </c>
      <c r="Y33" s="1292">
        <v>24</v>
      </c>
      <c r="Z33" s="1292">
        <v>16.670000000000002</v>
      </c>
      <c r="AA33" s="1293">
        <v>25.63</v>
      </c>
      <c r="AB33" s="1293">
        <v>53</v>
      </c>
      <c r="AC33" s="1293"/>
      <c r="AD33" s="1293"/>
      <c r="AE33" s="1293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</row>
    <row r="34" spans="1:127">
      <c r="A34" s="1289" t="s">
        <v>23</v>
      </c>
      <c r="B34" s="1032"/>
      <c r="C34" s="1299" t="s">
        <v>27</v>
      </c>
      <c r="D34" s="1300">
        <v>27.67</v>
      </c>
      <c r="E34" s="1300">
        <v>37</v>
      </c>
      <c r="F34" s="1300">
        <v>25</v>
      </c>
      <c r="G34" s="1301">
        <v>38.5</v>
      </c>
      <c r="H34" s="1302">
        <v>48.66</v>
      </c>
      <c r="I34" s="1303">
        <v>60.67</v>
      </c>
      <c r="J34" s="1188">
        <v>26.33</v>
      </c>
      <c r="K34" s="1188">
        <v>38.33</v>
      </c>
      <c r="L34" s="1273">
        <v>90.67</v>
      </c>
      <c r="M34" s="1628">
        <v>43.67</v>
      </c>
      <c r="N34" s="1274">
        <v>30</v>
      </c>
      <c r="O34" s="2259">
        <v>4.5</v>
      </c>
      <c r="P34" s="2195">
        <v>49.33</v>
      </c>
      <c r="Q34" s="61">
        <v>36</v>
      </c>
      <c r="R34" s="2161">
        <v>23</v>
      </c>
      <c r="S34" s="2162">
        <v>12</v>
      </c>
      <c r="T34" s="2162"/>
      <c r="U34" s="2162"/>
      <c r="V34" s="2162"/>
      <c r="W34" s="3216">
        <v>27.67</v>
      </c>
      <c r="X34" s="3107">
        <v>33.33</v>
      </c>
      <c r="Y34" s="1300">
        <v>20.5</v>
      </c>
      <c r="Z34" s="1300">
        <v>16</v>
      </c>
      <c r="AA34" s="1301">
        <v>31.21</v>
      </c>
      <c r="AB34" s="1301">
        <v>50.67</v>
      </c>
      <c r="AC34" s="1301"/>
      <c r="AD34" s="1301"/>
      <c r="AE34" s="130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</row>
    <row r="35" spans="1:127" ht="15.75" thickBot="1">
      <c r="A35" s="1318" t="s">
        <v>23</v>
      </c>
      <c r="B35" s="1033"/>
      <c r="C35" s="1308" t="s">
        <v>24</v>
      </c>
      <c r="D35" s="1309">
        <v>11.33</v>
      </c>
      <c r="E35" s="1309">
        <v>9.33</v>
      </c>
      <c r="F35" s="1309">
        <v>10.33</v>
      </c>
      <c r="G35" s="1310">
        <v>22.5</v>
      </c>
      <c r="H35" s="1311">
        <v>16.66</v>
      </c>
      <c r="I35" s="1312">
        <v>29</v>
      </c>
      <c r="J35" s="1193">
        <v>8.66</v>
      </c>
      <c r="K35" s="1193">
        <v>19.329999999999998</v>
      </c>
      <c r="L35" s="1613">
        <v>44.67</v>
      </c>
      <c r="M35" s="1633">
        <v>22.67</v>
      </c>
      <c r="N35" s="1365">
        <v>13</v>
      </c>
      <c r="O35" s="2260">
        <v>17</v>
      </c>
      <c r="P35" s="2199">
        <v>22</v>
      </c>
      <c r="Q35" s="61">
        <v>20</v>
      </c>
      <c r="R35" s="2165">
        <v>10</v>
      </c>
      <c r="S35" s="2166">
        <v>11</v>
      </c>
      <c r="T35" s="2166"/>
      <c r="U35" s="2166"/>
      <c r="V35" s="2166"/>
      <c r="W35" s="3217">
        <v>9</v>
      </c>
      <c r="X35" s="3141">
        <v>9.67</v>
      </c>
      <c r="Y35" s="1309">
        <v>28.5</v>
      </c>
      <c r="Z35" s="1309">
        <v>12</v>
      </c>
      <c r="AA35" s="1310">
        <v>16.670000000000002</v>
      </c>
      <c r="AB35" s="1310">
        <v>25</v>
      </c>
      <c r="AC35" s="1310"/>
      <c r="AD35" s="1310"/>
      <c r="AE35" s="1310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</row>
    <row r="36" spans="1:127" ht="15" customHeight="1">
      <c r="A36" s="1029" t="s">
        <v>6</v>
      </c>
      <c r="B36" s="1321"/>
      <c r="C36" s="1291" t="s">
        <v>20</v>
      </c>
      <c r="D36" s="1292">
        <v>49.5</v>
      </c>
      <c r="E36" s="1292">
        <v>25</v>
      </c>
      <c r="F36" s="1292">
        <v>252</v>
      </c>
      <c r="G36" s="1293">
        <v>216</v>
      </c>
      <c r="H36" s="1294">
        <v>26</v>
      </c>
      <c r="I36" s="1295">
        <v>54</v>
      </c>
      <c r="J36" s="1185">
        <v>157</v>
      </c>
      <c r="K36" s="1296">
        <v>48</v>
      </c>
      <c r="L36" s="1361">
        <v>74</v>
      </c>
      <c r="M36" s="1636">
        <v>6</v>
      </c>
      <c r="N36" s="1269">
        <v>1</v>
      </c>
      <c r="O36" s="2261"/>
      <c r="P36" s="2219"/>
      <c r="Q36" s="61"/>
      <c r="R36" s="2159"/>
      <c r="S36" s="2160">
        <v>38</v>
      </c>
      <c r="T36" s="2160"/>
      <c r="U36" s="2160"/>
      <c r="V36" s="2160"/>
      <c r="W36" s="3215">
        <v>58</v>
      </c>
      <c r="X36" s="3145">
        <v>41</v>
      </c>
      <c r="Y36" s="3247">
        <v>85</v>
      </c>
      <c r="Z36" s="1292">
        <v>55</v>
      </c>
      <c r="AA36" s="1293">
        <v>47.25</v>
      </c>
      <c r="AB36" s="1293">
        <v>133</v>
      </c>
      <c r="AC36" s="1293"/>
      <c r="AD36" s="1293"/>
      <c r="AE36" s="1293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</row>
    <row r="37" spans="1:127" ht="15" customHeight="1">
      <c r="A37" s="1289" t="s">
        <v>6</v>
      </c>
      <c r="B37" s="1032"/>
      <c r="C37" s="1299" t="s">
        <v>7</v>
      </c>
      <c r="D37" s="1300">
        <v>50</v>
      </c>
      <c r="E37" s="1300">
        <v>69</v>
      </c>
      <c r="F37" s="1300">
        <v>165</v>
      </c>
      <c r="G37" s="1301">
        <v>194</v>
      </c>
      <c r="H37" s="1302">
        <v>5</v>
      </c>
      <c r="I37" s="1303">
        <v>43</v>
      </c>
      <c r="J37" s="1188">
        <v>137</v>
      </c>
      <c r="K37" s="1304">
        <v>37</v>
      </c>
      <c r="L37" s="1343">
        <v>59</v>
      </c>
      <c r="M37" s="1637">
        <v>5</v>
      </c>
      <c r="N37" s="1274">
        <v>1</v>
      </c>
      <c r="O37" s="2259"/>
      <c r="P37" s="2195"/>
      <c r="Q37" s="61"/>
      <c r="R37" s="2161"/>
      <c r="S37" s="2162">
        <v>16</v>
      </c>
      <c r="T37" s="2162"/>
      <c r="U37" s="2162"/>
      <c r="V37" s="2162"/>
      <c r="W37" s="3216">
        <v>59</v>
      </c>
      <c r="X37" s="3107">
        <v>23</v>
      </c>
      <c r="Y37" s="3248">
        <v>99</v>
      </c>
      <c r="Z37" s="1300">
        <v>59</v>
      </c>
      <c r="AA37" s="1301">
        <v>66</v>
      </c>
      <c r="AB37" s="1301">
        <v>118</v>
      </c>
      <c r="AC37" s="1301"/>
      <c r="AD37" s="1301"/>
      <c r="AE37" s="130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</row>
    <row r="38" spans="1:127" ht="15" customHeight="1">
      <c r="A38" s="1289" t="s">
        <v>6</v>
      </c>
      <c r="B38" s="999">
        <f>COUNTA(C38:C42)</f>
        <v>5</v>
      </c>
      <c r="C38" s="1299" t="s">
        <v>10</v>
      </c>
      <c r="D38" s="1300">
        <v>67.5</v>
      </c>
      <c r="E38" s="1300">
        <v>14</v>
      </c>
      <c r="F38" s="1300">
        <v>288</v>
      </c>
      <c r="G38" s="1301">
        <v>129</v>
      </c>
      <c r="H38" s="1302">
        <v>18</v>
      </c>
      <c r="I38" s="1303">
        <v>40</v>
      </c>
      <c r="J38" s="1188">
        <v>82</v>
      </c>
      <c r="K38" s="1304">
        <v>49</v>
      </c>
      <c r="L38" s="1343">
        <v>81</v>
      </c>
      <c r="M38" s="1637">
        <v>4</v>
      </c>
      <c r="N38" s="1274">
        <v>1</v>
      </c>
      <c r="O38" s="2259"/>
      <c r="P38" s="2195"/>
      <c r="Q38" s="61"/>
      <c r="R38" s="2161"/>
      <c r="S38" s="2162">
        <v>38</v>
      </c>
      <c r="T38" s="2162"/>
      <c r="U38" s="2162"/>
      <c r="V38" s="2162"/>
      <c r="W38" s="3216">
        <v>67</v>
      </c>
      <c r="X38" s="3107">
        <v>25</v>
      </c>
      <c r="Y38" s="3248">
        <v>80</v>
      </c>
      <c r="Z38" s="1300">
        <v>45</v>
      </c>
      <c r="AA38" s="1301">
        <v>56</v>
      </c>
      <c r="AB38" s="1301">
        <v>57</v>
      </c>
      <c r="AC38" s="1301"/>
      <c r="AD38" s="1301"/>
      <c r="AE38" s="130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  <c r="DQ38" s="61"/>
      <c r="DR38" s="61"/>
      <c r="DS38" s="61"/>
      <c r="DT38" s="61"/>
      <c r="DU38" s="61"/>
      <c r="DV38" s="61"/>
      <c r="DW38" s="61"/>
    </row>
    <row r="39" spans="1:127">
      <c r="A39" s="1289" t="s">
        <v>6</v>
      </c>
      <c r="B39" s="1032"/>
      <c r="C39" s="1299" t="s">
        <v>11</v>
      </c>
      <c r="D39" s="1300">
        <v>64</v>
      </c>
      <c r="E39" s="1300">
        <v>26</v>
      </c>
      <c r="F39" s="1300">
        <v>247</v>
      </c>
      <c r="G39" s="1301">
        <v>158</v>
      </c>
      <c r="H39" s="1302">
        <v>24</v>
      </c>
      <c r="I39" s="1303">
        <v>56</v>
      </c>
      <c r="J39" s="1188">
        <v>118</v>
      </c>
      <c r="K39" s="1304">
        <v>40</v>
      </c>
      <c r="L39" s="1343">
        <v>68</v>
      </c>
      <c r="M39" s="1637">
        <v>4</v>
      </c>
      <c r="N39" s="1274">
        <v>1</v>
      </c>
      <c r="O39" s="2259"/>
      <c r="P39" s="2195"/>
      <c r="Q39" s="61"/>
      <c r="R39" s="2161"/>
      <c r="S39" s="2162">
        <v>14</v>
      </c>
      <c r="T39" s="2162"/>
      <c r="U39" s="2162"/>
      <c r="V39" s="2162"/>
      <c r="W39" s="3216">
        <v>53</v>
      </c>
      <c r="X39" s="3107">
        <v>21</v>
      </c>
      <c r="Y39" s="3248">
        <v>107</v>
      </c>
      <c r="Z39" s="1300">
        <v>63</v>
      </c>
      <c r="AA39" s="1301">
        <v>66.5</v>
      </c>
      <c r="AB39" s="1301">
        <v>102</v>
      </c>
      <c r="AC39" s="1301"/>
      <c r="AD39" s="1301"/>
      <c r="AE39" s="130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</row>
    <row r="40" spans="1:127" ht="15.75" thickBot="1">
      <c r="A40" s="1318" t="s">
        <v>6</v>
      </c>
      <c r="B40" s="1033"/>
      <c r="C40" s="1308" t="s">
        <v>14</v>
      </c>
      <c r="D40" s="1309">
        <v>35</v>
      </c>
      <c r="E40" s="1309">
        <v>13</v>
      </c>
      <c r="F40" s="1309">
        <v>293</v>
      </c>
      <c r="G40" s="1310">
        <v>226</v>
      </c>
      <c r="H40" s="1311">
        <v>24</v>
      </c>
      <c r="I40" s="1312">
        <v>46</v>
      </c>
      <c r="J40" s="1193">
        <v>179</v>
      </c>
      <c r="K40" s="1313">
        <v>40</v>
      </c>
      <c r="L40" s="1364">
        <v>69</v>
      </c>
      <c r="M40" s="1638">
        <v>4</v>
      </c>
      <c r="N40" s="1365">
        <v>2</v>
      </c>
      <c r="O40" s="2260"/>
      <c r="P40" s="2196"/>
      <c r="Q40" s="61"/>
      <c r="R40" s="2165"/>
      <c r="S40" s="2166">
        <v>40</v>
      </c>
      <c r="T40" s="2166"/>
      <c r="U40" s="2166"/>
      <c r="V40" s="2166"/>
      <c r="W40" s="3217">
        <v>59</v>
      </c>
      <c r="X40" s="3141">
        <v>26</v>
      </c>
      <c r="Y40" s="3249">
        <v>98</v>
      </c>
      <c r="Z40" s="1309">
        <v>53</v>
      </c>
      <c r="AA40" s="1310">
        <v>59.75</v>
      </c>
      <c r="AB40" s="1310">
        <v>66</v>
      </c>
      <c r="AC40" s="1310"/>
      <c r="AD40" s="1310"/>
      <c r="AE40" s="1310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</row>
    <row r="41" spans="1:127" ht="15" customHeight="1">
      <c r="A41" s="1029" t="s">
        <v>28</v>
      </c>
      <c r="B41" s="1330">
        <f>COUNTA(C41:C43)</f>
        <v>3</v>
      </c>
      <c r="C41" s="1291" t="s">
        <v>35</v>
      </c>
      <c r="D41" s="1292">
        <v>11</v>
      </c>
      <c r="E41" s="1292">
        <v>17</v>
      </c>
      <c r="F41" s="1292">
        <v>18</v>
      </c>
      <c r="G41" s="1293">
        <v>17</v>
      </c>
      <c r="H41" s="1331">
        <v>10</v>
      </c>
      <c r="I41" s="1295">
        <v>21</v>
      </c>
      <c r="J41" s="1185">
        <v>36</v>
      </c>
      <c r="K41" s="1296">
        <v>19</v>
      </c>
      <c r="L41" s="1361">
        <v>54</v>
      </c>
      <c r="M41" s="1432">
        <v>22</v>
      </c>
      <c r="N41" s="1269">
        <v>71</v>
      </c>
      <c r="O41" s="2261">
        <v>74</v>
      </c>
      <c r="P41" s="2306">
        <v>8</v>
      </c>
      <c r="Q41" s="61">
        <v>9</v>
      </c>
      <c r="R41" s="2159">
        <v>24</v>
      </c>
      <c r="S41" s="2160">
        <v>17</v>
      </c>
      <c r="T41" s="2160"/>
      <c r="U41" s="2160"/>
      <c r="V41" s="2160"/>
      <c r="W41" s="3215">
        <v>4</v>
      </c>
      <c r="X41" s="3145">
        <v>16</v>
      </c>
      <c r="Y41" s="1292">
        <v>11</v>
      </c>
      <c r="Z41" s="1292">
        <v>10</v>
      </c>
      <c r="AA41" s="1293">
        <v>11.5</v>
      </c>
      <c r="AB41" s="1293">
        <v>52</v>
      </c>
      <c r="AC41" s="1293"/>
      <c r="AD41" s="1293"/>
      <c r="AE41" s="1293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</row>
    <row r="42" spans="1:127" ht="15" customHeight="1">
      <c r="A42" s="1289" t="s">
        <v>28</v>
      </c>
      <c r="B42" s="1032"/>
      <c r="C42" s="1299" t="s">
        <v>36</v>
      </c>
      <c r="D42" s="1300">
        <v>17</v>
      </c>
      <c r="E42" s="1300">
        <v>24</v>
      </c>
      <c r="F42" s="1300">
        <v>25</v>
      </c>
      <c r="G42" s="1301">
        <v>21</v>
      </c>
      <c r="H42" s="1332">
        <v>13</v>
      </c>
      <c r="I42" s="1303">
        <v>16</v>
      </c>
      <c r="J42" s="1188">
        <v>145</v>
      </c>
      <c r="K42" s="1304">
        <v>14</v>
      </c>
      <c r="L42" s="1343">
        <v>53</v>
      </c>
      <c r="M42" s="1628">
        <v>19</v>
      </c>
      <c r="N42" s="1274">
        <v>50</v>
      </c>
      <c r="O42" s="2259">
        <v>175</v>
      </c>
      <c r="P42" s="2198">
        <v>2</v>
      </c>
      <c r="Q42" s="61">
        <v>14</v>
      </c>
      <c r="R42" s="2161">
        <v>12</v>
      </c>
      <c r="S42" s="2162">
        <v>17</v>
      </c>
      <c r="T42" s="2162"/>
      <c r="U42" s="2162"/>
      <c r="V42" s="2162"/>
      <c r="W42" s="3216">
        <v>11</v>
      </c>
      <c r="X42" s="3107">
        <v>21</v>
      </c>
      <c r="Y42" s="1300">
        <v>17</v>
      </c>
      <c r="Z42" s="1300">
        <v>90</v>
      </c>
      <c r="AA42" s="1301">
        <v>43.5</v>
      </c>
      <c r="AB42" s="1301">
        <v>7</v>
      </c>
      <c r="AC42" s="1301"/>
      <c r="AD42" s="1301"/>
      <c r="AE42" s="130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</row>
    <row r="43" spans="1:127" ht="15" customHeight="1" thickBot="1">
      <c r="A43" s="1318" t="s">
        <v>28</v>
      </c>
      <c r="B43" s="1033"/>
      <c r="C43" s="1308" t="s">
        <v>29</v>
      </c>
      <c r="D43" s="1309">
        <v>15</v>
      </c>
      <c r="E43" s="1309">
        <v>26</v>
      </c>
      <c r="F43" s="1309">
        <v>19</v>
      </c>
      <c r="G43" s="1310">
        <v>22</v>
      </c>
      <c r="H43" s="1333">
        <v>18</v>
      </c>
      <c r="I43" s="1312">
        <v>16</v>
      </c>
      <c r="J43" s="1193">
        <v>216</v>
      </c>
      <c r="K43" s="1313">
        <v>34</v>
      </c>
      <c r="L43" s="1364">
        <v>52</v>
      </c>
      <c r="M43" s="1633">
        <v>11</v>
      </c>
      <c r="N43" s="1365">
        <v>51</v>
      </c>
      <c r="O43" s="2260">
        <v>24</v>
      </c>
      <c r="P43" s="2199">
        <v>6</v>
      </c>
      <c r="Q43" s="61">
        <v>10</v>
      </c>
      <c r="R43" s="2165">
        <v>8</v>
      </c>
      <c r="S43" s="2166">
        <v>17</v>
      </c>
      <c r="T43" s="2166"/>
      <c r="U43" s="2166"/>
      <c r="V43" s="2166"/>
      <c r="W43" s="3217">
        <v>16</v>
      </c>
      <c r="X43" s="3141">
        <v>12</v>
      </c>
      <c r="Y43" s="1309">
        <v>17</v>
      </c>
      <c r="Z43" s="1309">
        <v>88</v>
      </c>
      <c r="AA43" s="1310">
        <v>38.75</v>
      </c>
      <c r="AB43" s="1310">
        <v>7</v>
      </c>
      <c r="AC43" s="1310"/>
      <c r="AD43" s="1310"/>
      <c r="AE43" s="1310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</row>
    <row r="44" spans="1:127" ht="15" customHeight="1">
      <c r="A44" s="1029" t="s">
        <v>8</v>
      </c>
      <c r="B44" s="1330">
        <f>COUNTA(C44:C46)</f>
        <v>3</v>
      </c>
      <c r="C44" s="1334" t="s">
        <v>9</v>
      </c>
      <c r="D44" s="1295"/>
      <c r="E44" s="1295"/>
      <c r="F44" s="1295">
        <v>31</v>
      </c>
      <c r="G44" s="1335">
        <v>17</v>
      </c>
      <c r="H44" s="1331">
        <v>6</v>
      </c>
      <c r="I44" s="1295">
        <v>1</v>
      </c>
      <c r="J44" s="1185">
        <v>7</v>
      </c>
      <c r="K44" s="1296">
        <v>25</v>
      </c>
      <c r="L44" s="1361">
        <v>28</v>
      </c>
      <c r="M44" s="1432">
        <v>38</v>
      </c>
      <c r="N44" s="1269">
        <v>5</v>
      </c>
      <c r="O44" s="2261">
        <v>4</v>
      </c>
      <c r="P44" s="2306">
        <v>8</v>
      </c>
      <c r="Q44" s="61">
        <v>21</v>
      </c>
      <c r="R44" s="2159">
        <v>7</v>
      </c>
      <c r="S44" s="2160">
        <v>11</v>
      </c>
      <c r="T44" s="2160"/>
      <c r="U44" s="2160"/>
      <c r="V44" s="2160"/>
      <c r="W44" s="3215">
        <v>24</v>
      </c>
      <c r="X44" s="3107">
        <v>4</v>
      </c>
      <c r="Y44" s="1295">
        <v>7</v>
      </c>
      <c r="Z44" s="1295">
        <v>16</v>
      </c>
      <c r="AA44" s="1335">
        <v>20.5</v>
      </c>
      <c r="AB44" s="1335">
        <v>34</v>
      </c>
      <c r="AC44" s="1335"/>
      <c r="AD44" s="1335"/>
      <c r="AE44" s="1335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</row>
    <row r="45" spans="1:127" ht="15" customHeight="1">
      <c r="A45" s="1289" t="s">
        <v>8</v>
      </c>
      <c r="B45" s="1032"/>
      <c r="C45" s="1336" t="s">
        <v>271</v>
      </c>
      <c r="D45" s="1303"/>
      <c r="E45" s="1303"/>
      <c r="F45" s="1303">
        <v>59</v>
      </c>
      <c r="G45" s="1337">
        <v>10</v>
      </c>
      <c r="H45" s="1332">
        <v>13</v>
      </c>
      <c r="I45" s="1303">
        <v>5</v>
      </c>
      <c r="J45" s="1188">
        <v>27</v>
      </c>
      <c r="K45" s="1304">
        <v>20</v>
      </c>
      <c r="L45" s="1343">
        <v>31</v>
      </c>
      <c r="M45" s="1628">
        <v>13</v>
      </c>
      <c r="N45" s="1274">
        <v>2</v>
      </c>
      <c r="O45" s="2259">
        <v>13</v>
      </c>
      <c r="P45" s="2198">
        <v>5</v>
      </c>
      <c r="Q45" s="61">
        <v>23</v>
      </c>
      <c r="R45" s="2161">
        <v>11</v>
      </c>
      <c r="S45" s="2162">
        <v>9</v>
      </c>
      <c r="T45" s="2162"/>
      <c r="U45" s="2162"/>
      <c r="V45" s="2162"/>
      <c r="W45" s="3216">
        <v>17</v>
      </c>
      <c r="X45" s="3107">
        <v>9</v>
      </c>
      <c r="Y45" s="1303">
        <v>32</v>
      </c>
      <c r="Z45" s="1303">
        <v>38</v>
      </c>
      <c r="AA45" s="1337">
        <v>23</v>
      </c>
      <c r="AB45" s="1337">
        <v>15</v>
      </c>
      <c r="AC45" s="1337"/>
      <c r="AD45" s="1337"/>
      <c r="AE45" s="1337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</row>
    <row r="46" spans="1:127" ht="15" customHeight="1" thickBot="1">
      <c r="A46" s="1318" t="s">
        <v>8</v>
      </c>
      <c r="B46" s="1033"/>
      <c r="C46" s="1338" t="s">
        <v>13</v>
      </c>
      <c r="D46" s="1312"/>
      <c r="E46" s="1312"/>
      <c r="F46" s="1312">
        <v>39</v>
      </c>
      <c r="G46" s="1339">
        <v>17</v>
      </c>
      <c r="H46" s="1333">
        <v>35</v>
      </c>
      <c r="I46" s="1312">
        <v>1</v>
      </c>
      <c r="J46" s="1193">
        <v>16</v>
      </c>
      <c r="K46" s="1313">
        <v>16</v>
      </c>
      <c r="L46" s="1364">
        <v>150</v>
      </c>
      <c r="M46" s="1633">
        <v>10</v>
      </c>
      <c r="N46" s="1365">
        <v>79</v>
      </c>
      <c r="O46" s="2260">
        <v>39</v>
      </c>
      <c r="P46" s="2199">
        <v>38</v>
      </c>
      <c r="Q46" s="61">
        <v>16</v>
      </c>
      <c r="R46" s="2165">
        <v>3</v>
      </c>
      <c r="S46" s="2166">
        <v>10</v>
      </c>
      <c r="T46" s="2166"/>
      <c r="U46" s="2166"/>
      <c r="V46" s="2166"/>
      <c r="W46" s="3217">
        <v>42</v>
      </c>
      <c r="X46" s="3141">
        <v>27</v>
      </c>
      <c r="Y46" s="1312">
        <v>59</v>
      </c>
      <c r="Z46" s="1312">
        <v>13</v>
      </c>
      <c r="AA46" s="1339">
        <v>29.25</v>
      </c>
      <c r="AB46" s="1339">
        <v>26</v>
      </c>
      <c r="AC46" s="1339"/>
      <c r="AD46" s="1339"/>
      <c r="AE46" s="1339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</row>
    <row r="47" spans="1:127" s="4" customFormat="1">
      <c r="A47" s="3526" t="s">
        <v>386</v>
      </c>
      <c r="B47" s="1011">
        <v>4</v>
      </c>
      <c r="C47" s="3253" t="s">
        <v>391</v>
      </c>
      <c r="D47" s="3214"/>
      <c r="E47" s="3214"/>
      <c r="F47" s="3214"/>
      <c r="G47" s="3214"/>
      <c r="H47" s="3214"/>
      <c r="I47" s="3214"/>
      <c r="J47" s="3214"/>
      <c r="K47" s="3214"/>
      <c r="L47" s="3214"/>
      <c r="M47" s="3214"/>
      <c r="N47" s="3214"/>
      <c r="O47" s="3214"/>
      <c r="P47" s="3214"/>
      <c r="Q47" s="3214"/>
      <c r="R47" s="3214"/>
      <c r="S47" s="3214"/>
      <c r="T47" s="3214"/>
      <c r="U47" s="3214"/>
      <c r="V47" s="3214"/>
      <c r="W47" s="3214"/>
      <c r="X47" s="2926"/>
      <c r="Y47" s="3256" t="s">
        <v>336</v>
      </c>
      <c r="Z47" s="2926">
        <v>103</v>
      </c>
      <c r="AA47" s="2861">
        <v>75</v>
      </c>
      <c r="AB47" s="2861">
        <v>94</v>
      </c>
      <c r="AC47" s="2861"/>
      <c r="AD47" s="2861"/>
      <c r="AE47" s="2861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</row>
    <row r="48" spans="1:127" s="4" customFormat="1">
      <c r="A48" s="3527"/>
      <c r="B48" s="1108"/>
      <c r="C48" s="3254" t="s">
        <v>392</v>
      </c>
      <c r="D48" s="3214"/>
      <c r="E48" s="3214"/>
      <c r="F48" s="3214"/>
      <c r="G48" s="3214"/>
      <c r="H48" s="3214"/>
      <c r="I48" s="3214"/>
      <c r="J48" s="3214"/>
      <c r="K48" s="3214"/>
      <c r="L48" s="3214"/>
      <c r="M48" s="3214"/>
      <c r="N48" s="3214"/>
      <c r="O48" s="3214"/>
      <c r="P48" s="3214"/>
      <c r="Q48" s="3214"/>
      <c r="R48" s="3214"/>
      <c r="S48" s="3214"/>
      <c r="T48" s="3214"/>
      <c r="U48" s="3214"/>
      <c r="V48" s="3214"/>
      <c r="W48" s="3214"/>
      <c r="X48" s="2927"/>
      <c r="Y48" s="3257" t="s">
        <v>336</v>
      </c>
      <c r="Z48" s="2927">
        <v>48</v>
      </c>
      <c r="AA48" s="2863">
        <v>42</v>
      </c>
      <c r="AB48" s="2863">
        <v>50</v>
      </c>
      <c r="AC48" s="2863"/>
      <c r="AD48" s="2863"/>
      <c r="AE48" s="2863"/>
      <c r="BB48" s="83"/>
      <c r="BC48" s="83"/>
      <c r="BD48" s="83"/>
      <c r="BE48" s="83"/>
      <c r="BF48" s="83"/>
      <c r="BG48" s="83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CE48" s="83"/>
      <c r="CF48" s="83"/>
      <c r="CG48" s="83"/>
      <c r="CH48" s="83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3"/>
      <c r="CW48" s="83"/>
      <c r="CX48" s="83"/>
      <c r="CY48" s="83"/>
      <c r="CZ48" s="83"/>
      <c r="DA48" s="83"/>
    </row>
    <row r="49" spans="1:127" s="4" customFormat="1">
      <c r="A49" s="3527"/>
      <c r="B49" s="1108"/>
      <c r="C49" s="3254" t="s">
        <v>393</v>
      </c>
      <c r="D49" s="3214"/>
      <c r="E49" s="3214"/>
      <c r="F49" s="3214"/>
      <c r="G49" s="3214"/>
      <c r="H49" s="3214"/>
      <c r="I49" s="3214"/>
      <c r="J49" s="3214"/>
      <c r="K49" s="3214"/>
      <c r="L49" s="3214"/>
      <c r="M49" s="3214"/>
      <c r="N49" s="3214"/>
      <c r="O49" s="3214"/>
      <c r="P49" s="3214"/>
      <c r="Q49" s="3214"/>
      <c r="R49" s="3214"/>
      <c r="S49" s="3214"/>
      <c r="T49" s="3214"/>
      <c r="U49" s="3214"/>
      <c r="V49" s="3214"/>
      <c r="W49" s="3214"/>
      <c r="X49" s="2927"/>
      <c r="Y49" s="3257" t="s">
        <v>336</v>
      </c>
      <c r="Z49" s="2927">
        <v>36</v>
      </c>
      <c r="AA49" s="2863">
        <v>38</v>
      </c>
      <c r="AB49" s="2863">
        <v>89</v>
      </c>
      <c r="AC49" s="2863"/>
      <c r="AD49" s="2863"/>
      <c r="AE49" s="286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</row>
    <row r="50" spans="1:127" s="4" customFormat="1" ht="15.75" thickBot="1">
      <c r="A50" s="3528"/>
      <c r="B50" s="1110"/>
      <c r="C50" s="3255" t="s">
        <v>394</v>
      </c>
      <c r="D50" s="3214"/>
      <c r="E50" s="3214"/>
      <c r="F50" s="3214"/>
      <c r="G50" s="3214"/>
      <c r="H50" s="3214"/>
      <c r="I50" s="3214"/>
      <c r="J50" s="3214"/>
      <c r="K50" s="3214"/>
      <c r="L50" s="3214"/>
      <c r="M50" s="3214"/>
      <c r="N50" s="3214"/>
      <c r="O50" s="3214"/>
      <c r="P50" s="3214"/>
      <c r="Q50" s="3214"/>
      <c r="R50" s="3214"/>
      <c r="S50" s="3214"/>
      <c r="T50" s="3214"/>
      <c r="U50" s="3214"/>
      <c r="V50" s="3214"/>
      <c r="W50" s="3214"/>
      <c r="X50" s="2928"/>
      <c r="Y50" s="3258" t="s">
        <v>336</v>
      </c>
      <c r="Z50" s="2928">
        <v>39</v>
      </c>
      <c r="AA50" s="2866">
        <v>44</v>
      </c>
      <c r="AB50" s="2866">
        <v>45</v>
      </c>
      <c r="AC50" s="2866"/>
      <c r="AD50" s="2866"/>
      <c r="AE50" s="2866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B50" s="50"/>
      <c r="BC50" s="50"/>
      <c r="BD50" s="50"/>
      <c r="BE50" s="83"/>
      <c r="BF50" s="83"/>
      <c r="BG50" s="83"/>
      <c r="BH50" s="83"/>
      <c r="BI50" s="83"/>
      <c r="BJ50" s="83"/>
      <c r="BK50" s="83"/>
      <c r="BL50" s="83"/>
      <c r="BM50" s="83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</row>
    <row r="51" spans="1:127" ht="15" customHeight="1">
      <c r="A51" s="3526" t="s">
        <v>387</v>
      </c>
      <c r="B51" s="1011">
        <v>3</v>
      </c>
      <c r="C51" s="3253" t="s">
        <v>395</v>
      </c>
      <c r="D51" s="3214"/>
      <c r="E51" s="3214"/>
      <c r="F51" s="3214"/>
      <c r="G51" s="3214"/>
      <c r="H51" s="3214"/>
      <c r="I51" s="3214"/>
      <c r="J51" s="3214"/>
      <c r="K51" s="3214"/>
      <c r="L51" s="3214"/>
      <c r="M51" s="3214"/>
      <c r="N51" s="3214"/>
      <c r="O51" s="3214"/>
      <c r="P51" s="3214"/>
      <c r="Q51" s="3214"/>
      <c r="R51" s="3214"/>
      <c r="S51" s="3214"/>
      <c r="T51" s="3214"/>
      <c r="U51" s="3214"/>
      <c r="V51" s="3214"/>
      <c r="W51" s="3214"/>
      <c r="X51" s="2859"/>
      <c r="Y51" s="2926">
        <v>5</v>
      </c>
      <c r="Z51" s="2861">
        <v>112</v>
      </c>
      <c r="AA51" s="2861">
        <v>42.33</v>
      </c>
      <c r="AB51" s="2861"/>
      <c r="AC51" s="2861"/>
      <c r="AD51" s="2861"/>
      <c r="AE51" s="28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</row>
    <row r="52" spans="1:127" ht="15.75" customHeight="1">
      <c r="A52" s="3527"/>
      <c r="B52" s="1108"/>
      <c r="C52" s="3254" t="s">
        <v>396</v>
      </c>
      <c r="D52" s="3214"/>
      <c r="E52" s="3214"/>
      <c r="F52" s="3214"/>
      <c r="G52" s="3214"/>
      <c r="H52" s="3214"/>
      <c r="I52" s="3214"/>
      <c r="J52" s="3214"/>
      <c r="K52" s="3214"/>
      <c r="L52" s="3214"/>
      <c r="M52" s="3214"/>
      <c r="N52" s="3214"/>
      <c r="O52" s="3214"/>
      <c r="P52" s="3214"/>
      <c r="Q52" s="3214"/>
      <c r="R52" s="3214"/>
      <c r="S52" s="3214"/>
      <c r="T52" s="3214"/>
      <c r="U52" s="3214"/>
      <c r="V52" s="3214"/>
      <c r="W52" s="3214"/>
      <c r="X52" s="2862"/>
      <c r="Y52" s="2927">
        <v>7</v>
      </c>
      <c r="Z52" s="2863">
        <v>108</v>
      </c>
      <c r="AA52" s="2863">
        <v>43.67</v>
      </c>
      <c r="AB52" s="2863"/>
      <c r="AC52" s="2863"/>
      <c r="AD52" s="2863"/>
      <c r="AE52" s="2863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</row>
    <row r="53" spans="1:127" ht="15" customHeight="1" thickBot="1">
      <c r="A53" s="3528"/>
      <c r="B53" s="1110"/>
      <c r="C53" s="3255" t="s">
        <v>397</v>
      </c>
      <c r="D53" s="3214"/>
      <c r="E53" s="3214"/>
      <c r="F53" s="3214"/>
      <c r="G53" s="3214"/>
      <c r="H53" s="3214"/>
      <c r="I53" s="3214"/>
      <c r="J53" s="3214"/>
      <c r="K53" s="3214"/>
      <c r="L53" s="3214"/>
      <c r="M53" s="3214"/>
      <c r="N53" s="3214"/>
      <c r="O53" s="3214"/>
      <c r="P53" s="3214"/>
      <c r="Q53" s="3214"/>
      <c r="R53" s="3214"/>
      <c r="S53" s="3214"/>
      <c r="T53" s="3214"/>
      <c r="U53" s="3214"/>
      <c r="V53" s="3214"/>
      <c r="W53" s="3214"/>
      <c r="X53" s="2864"/>
      <c r="Y53" s="2928">
        <v>22</v>
      </c>
      <c r="Z53" s="2866">
        <v>113</v>
      </c>
      <c r="AA53" s="2866">
        <v>51</v>
      </c>
      <c r="AB53" s="2866"/>
      <c r="AC53" s="2866"/>
      <c r="AD53" s="2866"/>
      <c r="AE53" s="2866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</row>
    <row r="54" spans="1:127">
      <c r="A54" s="3526" t="s">
        <v>388</v>
      </c>
      <c r="B54" s="1011">
        <v>3</v>
      </c>
      <c r="C54" s="3253" t="s">
        <v>398</v>
      </c>
      <c r="D54" s="3214"/>
      <c r="E54" s="3214"/>
      <c r="F54" s="3214"/>
      <c r="G54" s="3214"/>
      <c r="H54" s="3214"/>
      <c r="I54" s="3214"/>
      <c r="J54" s="3214"/>
      <c r="K54" s="3214"/>
      <c r="L54" s="3214"/>
      <c r="M54" s="3214"/>
      <c r="N54" s="3214"/>
      <c r="O54" s="3214"/>
      <c r="P54" s="3214"/>
      <c r="Q54" s="3214"/>
      <c r="R54" s="3214"/>
      <c r="S54" s="3214"/>
      <c r="T54" s="3214"/>
      <c r="U54" s="3214"/>
      <c r="V54" s="3214"/>
      <c r="W54" s="3214"/>
      <c r="X54" s="2926"/>
      <c r="Y54" s="2862">
        <v>6.5</v>
      </c>
      <c r="Z54" s="2926">
        <v>34.33</v>
      </c>
      <c r="AA54" s="2861">
        <v>23.79</v>
      </c>
      <c r="AB54" s="2861">
        <v>40.67</v>
      </c>
      <c r="AC54" s="2861"/>
      <c r="AD54" s="2861"/>
      <c r="AE54" s="28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</row>
    <row r="55" spans="1:127">
      <c r="A55" s="3527"/>
      <c r="B55" s="1108"/>
      <c r="C55" s="3254" t="s">
        <v>399</v>
      </c>
      <c r="D55" s="3214"/>
      <c r="E55" s="3214"/>
      <c r="F55" s="3214"/>
      <c r="G55" s="3214"/>
      <c r="H55" s="3214"/>
      <c r="I55" s="3214"/>
      <c r="J55" s="3214"/>
      <c r="K55" s="3214"/>
      <c r="L55" s="3214"/>
      <c r="M55" s="3214"/>
      <c r="N55" s="3214"/>
      <c r="O55" s="3214"/>
      <c r="P55" s="3214"/>
      <c r="Q55" s="3214"/>
      <c r="R55" s="3214"/>
      <c r="S55" s="3214"/>
      <c r="T55" s="3214"/>
      <c r="U55" s="3214"/>
      <c r="V55" s="3214"/>
      <c r="W55" s="3214"/>
      <c r="X55" s="2927"/>
      <c r="Y55" s="2862">
        <v>7.5</v>
      </c>
      <c r="Z55" s="2927">
        <v>18</v>
      </c>
      <c r="AA55" s="2863">
        <v>20.63</v>
      </c>
      <c r="AB55" s="2863">
        <v>35</v>
      </c>
      <c r="AC55" s="2863"/>
      <c r="AD55" s="2863"/>
      <c r="AE55" s="2863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1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1"/>
      <c r="DJ55" s="61"/>
      <c r="DK55" s="61"/>
      <c r="DL55" s="61"/>
      <c r="DM55" s="61"/>
      <c r="DN55" s="61"/>
      <c r="DO55" s="61"/>
      <c r="DP55" s="61"/>
      <c r="DQ55" s="61"/>
      <c r="DR55" s="61"/>
      <c r="DS55" s="61"/>
      <c r="DT55" s="61"/>
      <c r="DU55" s="61"/>
      <c r="DV55" s="61"/>
      <c r="DW55" s="61"/>
    </row>
    <row r="56" spans="1:127" ht="15.75" thickBot="1">
      <c r="A56" s="3528"/>
      <c r="B56" s="1110"/>
      <c r="C56" s="3255" t="s">
        <v>400</v>
      </c>
      <c r="D56" s="3214"/>
      <c r="E56" s="3214"/>
      <c r="F56" s="3214"/>
      <c r="G56" s="3214"/>
      <c r="H56" s="3214"/>
      <c r="I56" s="3214"/>
      <c r="J56" s="3214"/>
      <c r="K56" s="3214"/>
      <c r="L56" s="3214"/>
      <c r="M56" s="3214"/>
      <c r="N56" s="3214"/>
      <c r="O56" s="3214"/>
      <c r="P56" s="3214"/>
      <c r="Q56" s="3214"/>
      <c r="R56" s="3214"/>
      <c r="S56" s="3214"/>
      <c r="T56" s="3214"/>
      <c r="U56" s="3214"/>
      <c r="V56" s="3214"/>
      <c r="W56" s="3214"/>
      <c r="X56" s="2928"/>
      <c r="Y56" s="2864">
        <v>34</v>
      </c>
      <c r="Z56" s="2928">
        <v>22.33</v>
      </c>
      <c r="AA56" s="2866">
        <v>23.5</v>
      </c>
      <c r="AB56" s="2866">
        <v>16.329999999999998</v>
      </c>
      <c r="AC56" s="2866"/>
      <c r="AD56" s="2866"/>
      <c r="AE56" s="2866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/>
      <c r="CQ56" s="61"/>
      <c r="CR56" s="61"/>
      <c r="CS56" s="61"/>
      <c r="CT56" s="61"/>
      <c r="CU56" s="61"/>
      <c r="CV56" s="61"/>
      <c r="CW56" s="61"/>
      <c r="CX56" s="61"/>
      <c r="CY56" s="61"/>
      <c r="CZ56" s="61"/>
      <c r="DA56" s="61"/>
      <c r="DB56" s="61"/>
      <c r="DC56" s="61"/>
      <c r="DD56" s="61"/>
      <c r="DE56" s="61"/>
      <c r="DF56" s="61"/>
      <c r="DG56" s="61"/>
      <c r="DH56" s="61"/>
      <c r="DI56" s="61"/>
      <c r="DJ56" s="61"/>
      <c r="DK56" s="61"/>
      <c r="DL56" s="61"/>
      <c r="DM56" s="61"/>
      <c r="DN56" s="61"/>
      <c r="DO56" s="61"/>
      <c r="DP56" s="61"/>
      <c r="DQ56" s="61"/>
      <c r="DR56" s="61"/>
      <c r="DS56" s="61"/>
      <c r="DT56" s="61"/>
      <c r="DU56" s="61"/>
      <c r="DV56" s="61"/>
      <c r="DW56" s="61"/>
    </row>
    <row r="57" spans="1:127">
      <c r="A57" s="3526" t="s">
        <v>389</v>
      </c>
      <c r="B57" s="1011">
        <v>3</v>
      </c>
      <c r="C57" s="3253" t="s">
        <v>17</v>
      </c>
      <c r="D57" s="3214"/>
      <c r="E57" s="3214"/>
      <c r="F57" s="3214"/>
      <c r="G57" s="3214"/>
      <c r="H57" s="3214"/>
      <c r="I57" s="3214"/>
      <c r="J57" s="3214"/>
      <c r="K57" s="3214"/>
      <c r="L57" s="3214"/>
      <c r="M57" s="3214"/>
      <c r="N57" s="3214"/>
      <c r="O57" s="3214"/>
      <c r="P57" s="3214"/>
      <c r="Q57" s="3214"/>
      <c r="R57" s="3214"/>
      <c r="S57" s="3214"/>
      <c r="T57" s="3214"/>
      <c r="U57" s="3214"/>
      <c r="V57" s="3214"/>
      <c r="W57" s="3214"/>
      <c r="X57" s="2926"/>
      <c r="Y57" s="2859">
        <v>9</v>
      </c>
      <c r="Z57" s="2926">
        <v>49.33</v>
      </c>
      <c r="AA57" s="2861">
        <v>35.58</v>
      </c>
      <c r="AB57" s="2861">
        <v>16</v>
      </c>
      <c r="AC57" s="2861"/>
      <c r="AD57" s="2861"/>
      <c r="AE57" s="28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1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1"/>
      <c r="DJ57" s="61"/>
      <c r="DK57" s="61"/>
      <c r="DL57" s="61"/>
      <c r="DM57" s="61"/>
      <c r="DN57" s="61"/>
      <c r="DO57" s="61"/>
      <c r="DP57" s="61"/>
      <c r="DQ57" s="61"/>
      <c r="DR57" s="61"/>
      <c r="DS57" s="61"/>
      <c r="DT57" s="61"/>
      <c r="DU57" s="61"/>
      <c r="DV57" s="61"/>
      <c r="DW57" s="61"/>
    </row>
    <row r="58" spans="1:127">
      <c r="A58" s="3527"/>
      <c r="B58" s="1108"/>
      <c r="C58" s="3254" t="s">
        <v>401</v>
      </c>
      <c r="D58" s="3214"/>
      <c r="E58" s="3214"/>
      <c r="F58" s="3214"/>
      <c r="G58" s="3214"/>
      <c r="H58" s="3214"/>
      <c r="I58" s="3214"/>
      <c r="J58" s="3214"/>
      <c r="K58" s="3214"/>
      <c r="L58" s="3214"/>
      <c r="M58" s="3214"/>
      <c r="N58" s="3214"/>
      <c r="O58" s="3214"/>
      <c r="P58" s="3214"/>
      <c r="Q58" s="3214"/>
      <c r="R58" s="3214"/>
      <c r="S58" s="3214"/>
      <c r="T58" s="3214"/>
      <c r="U58" s="3214"/>
      <c r="V58" s="3214"/>
      <c r="W58" s="3214"/>
      <c r="X58" s="2927"/>
      <c r="Y58" s="3262">
        <v>12.5</v>
      </c>
      <c r="Z58" s="2927">
        <v>26.33</v>
      </c>
      <c r="AA58" s="2863">
        <v>27.54</v>
      </c>
      <c r="AB58" s="2863">
        <v>20.329999999999998</v>
      </c>
      <c r="AC58" s="2863"/>
      <c r="AD58" s="2863"/>
      <c r="AE58" s="2863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/>
      <c r="CQ58" s="61"/>
      <c r="CR58" s="61"/>
      <c r="CS58" s="61"/>
      <c r="CT58" s="61"/>
      <c r="CU58" s="61"/>
      <c r="CV58" s="61"/>
      <c r="CW58" s="61"/>
      <c r="CX58" s="61"/>
      <c r="CY58" s="61"/>
      <c r="CZ58" s="61"/>
      <c r="DA58" s="61"/>
      <c r="DB58" s="61"/>
      <c r="DC58" s="61"/>
      <c r="DD58" s="61"/>
      <c r="DE58" s="61"/>
      <c r="DF58" s="61"/>
      <c r="DG58" s="61"/>
      <c r="DH58" s="61"/>
      <c r="DI58" s="61"/>
      <c r="DJ58" s="61"/>
      <c r="DK58" s="61"/>
      <c r="DL58" s="61"/>
      <c r="DM58" s="61"/>
      <c r="DN58" s="61"/>
      <c r="DO58" s="61"/>
      <c r="DP58" s="61"/>
      <c r="DQ58" s="61"/>
      <c r="DR58" s="61"/>
      <c r="DS58" s="61"/>
      <c r="DT58" s="61"/>
      <c r="DU58" s="61"/>
      <c r="DV58" s="61"/>
      <c r="DW58" s="61"/>
    </row>
    <row r="59" spans="1:127" ht="15" customHeight="1" thickBot="1">
      <c r="A59" s="3528"/>
      <c r="B59" s="1110"/>
      <c r="C59" s="3255" t="s">
        <v>402</v>
      </c>
      <c r="D59" s="3214"/>
      <c r="E59" s="3214"/>
      <c r="F59" s="3214"/>
      <c r="G59" s="3214"/>
      <c r="H59" s="3214"/>
      <c r="I59" s="3214"/>
      <c r="J59" s="3214"/>
      <c r="K59" s="3214"/>
      <c r="L59" s="3214"/>
      <c r="M59" s="3214"/>
      <c r="N59" s="3214"/>
      <c r="O59" s="3214"/>
      <c r="P59" s="3214"/>
      <c r="Q59" s="3214"/>
      <c r="R59" s="3214"/>
      <c r="S59" s="3214"/>
      <c r="T59" s="3214"/>
      <c r="U59" s="3214"/>
      <c r="V59" s="3214"/>
      <c r="W59" s="3214"/>
      <c r="X59" s="2928"/>
      <c r="Y59" s="2864">
        <v>6</v>
      </c>
      <c r="Z59" s="2928">
        <v>29</v>
      </c>
      <c r="AA59" s="2866">
        <v>25.5</v>
      </c>
      <c r="AB59" s="2866">
        <v>14</v>
      </c>
      <c r="AC59" s="2866"/>
      <c r="AD59" s="2866"/>
      <c r="AE59" s="2866"/>
      <c r="AF59" s="61"/>
      <c r="AG59" s="61"/>
      <c r="AH59" s="61"/>
      <c r="AI59" s="61"/>
      <c r="AJ59" s="150"/>
      <c r="AK59" s="150"/>
      <c r="AL59" s="150"/>
      <c r="AM59" s="13"/>
      <c r="AN59" s="61"/>
      <c r="AO59" s="61"/>
      <c r="AP59" s="61"/>
      <c r="AQ59" s="61"/>
      <c r="AR59" s="61"/>
      <c r="AS59" s="150"/>
      <c r="AT59" s="150"/>
      <c r="AU59" s="150"/>
      <c r="AV59" s="13"/>
      <c r="AW59" s="61"/>
      <c r="AX59" s="61"/>
      <c r="AY59" s="61"/>
      <c r="AZ59" s="61"/>
      <c r="BA59" s="61"/>
      <c r="BB59" s="150"/>
      <c r="BC59" s="150"/>
      <c r="BD59" s="150"/>
      <c r="BE59" s="13"/>
      <c r="BF59" s="61"/>
      <c r="BG59" s="61"/>
      <c r="BH59" s="61"/>
      <c r="BI59" s="61"/>
      <c r="BJ59" s="61"/>
      <c r="BK59" s="61"/>
      <c r="BL59" s="149"/>
      <c r="BM59" s="149"/>
      <c r="BN59" s="149"/>
      <c r="BO59" s="149"/>
      <c r="BP59" s="13"/>
      <c r="BQ59" s="61"/>
      <c r="BR59" s="61"/>
      <c r="BS59" s="61"/>
      <c r="BT59" s="61"/>
      <c r="BU59" s="150"/>
      <c r="BV59" s="150"/>
      <c r="BW59" s="150"/>
      <c r="BX59" s="13"/>
      <c r="BY59" s="61"/>
      <c r="BZ59" s="61"/>
      <c r="CA59" s="61"/>
      <c r="CB59" s="61"/>
      <c r="CC59" s="61"/>
      <c r="CD59" s="149"/>
      <c r="CE59" s="149"/>
      <c r="CF59" s="149"/>
      <c r="CG59" s="13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</row>
    <row r="60" spans="1:127">
      <c r="A60" s="3526" t="s">
        <v>390</v>
      </c>
      <c r="B60" s="1108">
        <v>3</v>
      </c>
      <c r="C60" s="3254" t="s">
        <v>393</v>
      </c>
      <c r="D60" s="3214"/>
      <c r="E60" s="3214"/>
      <c r="F60" s="3214"/>
      <c r="G60" s="3214"/>
      <c r="H60" s="3214"/>
      <c r="I60" s="3214"/>
      <c r="J60" s="3214"/>
      <c r="K60" s="3214"/>
      <c r="L60" s="3214"/>
      <c r="M60" s="3214"/>
      <c r="N60" s="3214"/>
      <c r="O60" s="3214"/>
      <c r="P60" s="3214"/>
      <c r="Q60" s="3214"/>
      <c r="R60" s="3214"/>
      <c r="S60" s="3214"/>
      <c r="T60" s="3214"/>
      <c r="U60" s="3214"/>
      <c r="V60" s="3214"/>
      <c r="W60" s="3214"/>
      <c r="X60" s="2927"/>
      <c r="Y60" s="3257" t="s">
        <v>336</v>
      </c>
      <c r="Z60" s="2927">
        <v>166</v>
      </c>
      <c r="AA60" s="2926">
        <v>67</v>
      </c>
      <c r="AB60" s="2926"/>
      <c r="AC60" s="2926"/>
      <c r="AD60" s="2926"/>
      <c r="AE60" s="2926"/>
      <c r="AF60" s="61"/>
      <c r="AG60" s="61"/>
      <c r="AH60" s="61"/>
      <c r="AI60" s="28"/>
      <c r="AJ60" s="151"/>
      <c r="AK60" s="151"/>
      <c r="AL60" s="151"/>
      <c r="AM60" s="14"/>
      <c r="AN60" s="61"/>
      <c r="AO60" s="61"/>
      <c r="AP60" s="61"/>
      <c r="AQ60" s="61"/>
      <c r="AR60" s="28"/>
      <c r="AS60" s="151"/>
      <c r="AT60" s="151"/>
      <c r="AU60" s="151"/>
      <c r="AV60" s="14"/>
      <c r="AW60" s="61"/>
      <c r="AX60" s="61"/>
      <c r="AY60" s="61"/>
      <c r="AZ60" s="61"/>
      <c r="BA60" s="28"/>
      <c r="BB60" s="151"/>
      <c r="BC60" s="151"/>
      <c r="BD60" s="151"/>
      <c r="BE60" s="14"/>
      <c r="BF60" s="61"/>
      <c r="BG60" s="61"/>
      <c r="BH60" s="61"/>
      <c r="BI60" s="61"/>
      <c r="BJ60" s="61"/>
      <c r="BK60" s="28"/>
      <c r="BL60" s="151"/>
      <c r="BM60" s="151"/>
      <c r="BN60" s="151"/>
      <c r="BO60" s="151"/>
      <c r="BP60" s="14"/>
      <c r="BQ60" s="61"/>
      <c r="BR60" s="61"/>
      <c r="BS60" s="61"/>
      <c r="BT60" s="28"/>
      <c r="BU60" s="151"/>
      <c r="BV60" s="151"/>
      <c r="BW60" s="151"/>
      <c r="BX60" s="14"/>
      <c r="BY60" s="61"/>
      <c r="BZ60" s="61"/>
      <c r="CA60" s="61"/>
      <c r="CB60" s="61"/>
      <c r="CC60" s="28"/>
      <c r="CD60" s="151"/>
      <c r="CE60" s="151"/>
      <c r="CF60" s="151"/>
      <c r="CG60" s="14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</row>
    <row r="61" spans="1:127">
      <c r="A61" s="3527"/>
      <c r="B61" s="1108"/>
      <c r="C61" s="3254" t="s">
        <v>403</v>
      </c>
      <c r="D61" s="3214"/>
      <c r="E61" s="3214"/>
      <c r="F61" s="3214"/>
      <c r="G61" s="3214"/>
      <c r="H61" s="3214"/>
      <c r="I61" s="3214"/>
      <c r="J61" s="3214"/>
      <c r="K61" s="3214"/>
      <c r="L61" s="3214"/>
      <c r="M61" s="3214"/>
      <c r="N61" s="3214"/>
      <c r="O61" s="3214"/>
      <c r="P61" s="3214"/>
      <c r="Q61" s="3214"/>
      <c r="R61" s="3214"/>
      <c r="S61" s="3214"/>
      <c r="T61" s="3214"/>
      <c r="U61" s="3214"/>
      <c r="V61" s="3214"/>
      <c r="W61" s="3214"/>
      <c r="X61" s="2927"/>
      <c r="Y61" s="3257" t="s">
        <v>336</v>
      </c>
      <c r="Z61" s="2927">
        <v>183</v>
      </c>
      <c r="AA61" s="2927">
        <v>70</v>
      </c>
      <c r="AB61" s="2927"/>
      <c r="AC61" s="2927"/>
      <c r="AD61" s="2927"/>
      <c r="AE61" s="2927"/>
      <c r="AF61" s="61"/>
      <c r="AG61" s="61"/>
      <c r="AH61" s="61"/>
      <c r="AI61" s="61"/>
      <c r="AJ61" s="153"/>
      <c r="AK61" s="153"/>
      <c r="AL61" s="153"/>
      <c r="AM61" s="14"/>
      <c r="AN61" s="61"/>
      <c r="AO61" s="61"/>
      <c r="AP61" s="61"/>
      <c r="AQ61" s="61"/>
      <c r="AR61" s="61"/>
      <c r="AS61" s="153"/>
      <c r="AT61" s="153"/>
      <c r="AU61" s="153"/>
      <c r="AV61" s="14"/>
      <c r="AW61" s="61"/>
      <c r="AX61" s="61"/>
      <c r="AY61" s="61"/>
      <c r="AZ61" s="61"/>
      <c r="BA61" s="61"/>
      <c r="BB61" s="153"/>
      <c r="BC61" s="153"/>
      <c r="BD61" s="153"/>
      <c r="BE61" s="14"/>
      <c r="BF61" s="61"/>
      <c r="BG61" s="61"/>
      <c r="BH61" s="61"/>
      <c r="BI61" s="61"/>
      <c r="BJ61" s="61"/>
      <c r="BK61" s="61"/>
      <c r="BL61" s="153"/>
      <c r="BM61" s="153"/>
      <c r="BN61" s="153"/>
      <c r="BO61" s="153"/>
      <c r="BP61" s="14"/>
      <c r="BQ61" s="61"/>
      <c r="BR61" s="61"/>
      <c r="BS61" s="61"/>
      <c r="BT61" s="61"/>
      <c r="BU61" s="153"/>
      <c r="BV61" s="153"/>
      <c r="BW61" s="153"/>
      <c r="BX61" s="14"/>
      <c r="BY61" s="61"/>
      <c r="BZ61" s="61"/>
      <c r="CA61" s="61"/>
      <c r="CB61" s="61"/>
      <c r="CC61" s="61"/>
      <c r="CD61" s="153"/>
      <c r="CE61" s="153"/>
      <c r="CF61" s="153"/>
      <c r="CG61" s="14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</row>
    <row r="62" spans="1:127" ht="15.75" thickBot="1">
      <c r="A62" s="3528"/>
      <c r="B62" s="1110"/>
      <c r="C62" s="3255" t="s">
        <v>404</v>
      </c>
      <c r="D62" s="3214"/>
      <c r="E62" s="3214"/>
      <c r="F62" s="3214"/>
      <c r="G62" s="3214"/>
      <c r="H62" s="3214"/>
      <c r="I62" s="3214"/>
      <c r="J62" s="3214"/>
      <c r="K62" s="3214"/>
      <c r="L62" s="3214"/>
      <c r="M62" s="3214"/>
      <c r="N62" s="3214"/>
      <c r="O62" s="3214"/>
      <c r="P62" s="3214"/>
      <c r="Q62" s="3214"/>
      <c r="R62" s="3214"/>
      <c r="S62" s="3214"/>
      <c r="T62" s="3214"/>
      <c r="U62" s="3214"/>
      <c r="V62" s="3214"/>
      <c r="W62" s="3214"/>
      <c r="X62" s="2928"/>
      <c r="Y62" s="3258" t="s">
        <v>336</v>
      </c>
      <c r="Z62" s="2928">
        <v>71</v>
      </c>
      <c r="AA62" s="2928">
        <v>34</v>
      </c>
      <c r="AB62" s="2928"/>
      <c r="AC62" s="2928"/>
      <c r="AD62" s="2928"/>
      <c r="AE62" s="2928"/>
      <c r="AF62" s="61"/>
      <c r="AG62" s="61"/>
      <c r="AH62" s="61"/>
      <c r="AI62" s="61"/>
      <c r="AJ62" s="153"/>
      <c r="AK62" s="153"/>
      <c r="AL62" s="153"/>
      <c r="AM62" s="14"/>
      <c r="AN62" s="61"/>
      <c r="AO62" s="61"/>
      <c r="AP62" s="61"/>
      <c r="AQ62" s="61"/>
      <c r="AR62" s="61"/>
      <c r="AS62" s="153"/>
      <c r="AT62" s="153"/>
      <c r="AU62" s="153"/>
      <c r="AV62" s="14"/>
      <c r="AW62" s="61"/>
      <c r="AX62" s="61"/>
      <c r="AY62" s="61"/>
      <c r="AZ62" s="61"/>
      <c r="BA62" s="61"/>
      <c r="BB62" s="153"/>
      <c r="BC62" s="153"/>
      <c r="BD62" s="153"/>
      <c r="BE62" s="14"/>
      <c r="BF62" s="61"/>
      <c r="BG62" s="61"/>
      <c r="BH62" s="61"/>
      <c r="BI62" s="61"/>
      <c r="BJ62" s="61"/>
      <c r="BK62" s="61"/>
      <c r="BL62" s="153"/>
      <c r="BM62" s="153"/>
      <c r="BN62" s="153"/>
      <c r="BO62" s="153"/>
      <c r="BP62" s="14"/>
      <c r="BQ62" s="61"/>
      <c r="BR62" s="61"/>
      <c r="BS62" s="61"/>
      <c r="BT62" s="61"/>
      <c r="BU62" s="153"/>
      <c r="BV62" s="153"/>
      <c r="BW62" s="153"/>
      <c r="BX62" s="14"/>
      <c r="BY62" s="61"/>
      <c r="BZ62" s="61"/>
      <c r="CA62" s="61"/>
      <c r="CB62" s="61"/>
      <c r="CC62" s="61"/>
      <c r="CD62" s="153"/>
      <c r="CE62" s="153"/>
      <c r="CF62" s="153"/>
      <c r="CG62" s="14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/>
      <c r="DA62" s="61"/>
      <c r="DB62" s="61"/>
      <c r="DC62" s="61"/>
      <c r="DD62" s="61"/>
      <c r="DE62" s="61"/>
      <c r="DF62" s="61"/>
      <c r="DG62" s="61"/>
      <c r="DH62" s="61"/>
      <c r="DI62" s="61"/>
      <c r="DJ62" s="61"/>
      <c r="DK62" s="61"/>
      <c r="DL62" s="61"/>
      <c r="DM62" s="61"/>
      <c r="DN62" s="61"/>
      <c r="DO62" s="61"/>
      <c r="DP62" s="61"/>
      <c r="DQ62" s="61"/>
      <c r="DR62" s="61"/>
      <c r="DS62" s="61"/>
      <c r="DT62" s="61"/>
      <c r="DU62" s="61"/>
      <c r="DV62" s="61"/>
      <c r="DW62" s="61"/>
    </row>
    <row r="63" spans="1:127">
      <c r="A63" s="114"/>
      <c r="B63" s="114">
        <f>SUM(B13:B62)</f>
        <v>50</v>
      </c>
      <c r="C63" s="775" t="s">
        <v>285</v>
      </c>
      <c r="D63" s="1025">
        <f>COUNTIF(D13:D46,"&lt;=50")</f>
        <v>28</v>
      </c>
      <c r="E63" s="1025">
        <f t="shared" ref="E63:X63" si="0">COUNTIF(E13:E46,"&lt;=50")</f>
        <v>24</v>
      </c>
      <c r="F63" s="1025">
        <f t="shared" si="0"/>
        <v>21</v>
      </c>
      <c r="G63" s="1025">
        <f t="shared" si="0"/>
        <v>25</v>
      </c>
      <c r="H63" s="1025">
        <f t="shared" si="0"/>
        <v>32</v>
      </c>
      <c r="I63" s="1025">
        <f t="shared" si="0"/>
        <v>28</v>
      </c>
      <c r="J63" s="1025">
        <f t="shared" si="0"/>
        <v>21</v>
      </c>
      <c r="K63" s="1025">
        <f t="shared" si="0"/>
        <v>33</v>
      </c>
      <c r="L63" s="1025">
        <f t="shared" si="0"/>
        <v>17</v>
      </c>
      <c r="M63" s="1025">
        <f t="shared" si="0"/>
        <v>25</v>
      </c>
      <c r="N63" s="1025">
        <f t="shared" si="0"/>
        <v>24</v>
      </c>
      <c r="O63" s="2262">
        <f t="shared" si="0"/>
        <v>25</v>
      </c>
      <c r="P63" s="1025">
        <f t="shared" si="0"/>
        <v>29</v>
      </c>
      <c r="Q63" s="1025">
        <f t="shared" si="0"/>
        <v>25</v>
      </c>
      <c r="R63" s="1025">
        <f t="shared" si="0"/>
        <v>29</v>
      </c>
      <c r="S63" s="1025">
        <f t="shared" si="0"/>
        <v>34</v>
      </c>
      <c r="T63" s="1025">
        <f t="shared" si="0"/>
        <v>8</v>
      </c>
      <c r="U63" s="1025">
        <f t="shared" si="0"/>
        <v>12</v>
      </c>
      <c r="V63" s="1025">
        <f t="shared" si="0"/>
        <v>13</v>
      </c>
      <c r="W63" s="1025">
        <f t="shared" si="0"/>
        <v>29</v>
      </c>
      <c r="X63" s="1025">
        <f t="shared" si="0"/>
        <v>33</v>
      </c>
      <c r="Y63" s="1025">
        <f>COUNTIF(Y13:Y62,"&lt;=50")</f>
        <v>36</v>
      </c>
      <c r="Z63" s="1025">
        <f>COUNTIF(Z13:Z46,"&lt;=80")</f>
        <v>31</v>
      </c>
      <c r="AA63" s="1025">
        <f>COUNTIF(AA13:AA46,"&lt;=80")</f>
        <v>33</v>
      </c>
      <c r="AB63" s="1025">
        <f t="shared" ref="AB63:AE63" si="1">COUNTIF(AB13:AB46,"&lt;=80")</f>
        <v>30</v>
      </c>
      <c r="AC63" s="1025">
        <f t="shared" si="1"/>
        <v>0</v>
      </c>
      <c r="AD63" s="1025">
        <f t="shared" si="1"/>
        <v>0</v>
      </c>
      <c r="AE63" s="1025">
        <f t="shared" si="1"/>
        <v>0</v>
      </c>
      <c r="AF63" s="61"/>
      <c r="AG63" s="61"/>
      <c r="AH63" s="61"/>
      <c r="AI63" s="61"/>
      <c r="AJ63" s="153"/>
      <c r="AK63" s="153"/>
      <c r="AL63" s="153"/>
      <c r="AM63" s="14"/>
      <c r="AN63" s="61"/>
      <c r="AO63" s="61"/>
      <c r="AP63" s="61"/>
      <c r="AQ63" s="61"/>
      <c r="AR63" s="61"/>
      <c r="AS63" s="153"/>
      <c r="AT63" s="153"/>
      <c r="AU63" s="153"/>
      <c r="AV63" s="14"/>
      <c r="AW63" s="61"/>
      <c r="AX63" s="61"/>
      <c r="AY63" s="61"/>
      <c r="AZ63" s="61"/>
      <c r="BA63" s="61"/>
      <c r="BB63" s="153"/>
      <c r="BC63" s="153"/>
      <c r="BD63" s="153"/>
      <c r="BE63" s="14"/>
      <c r="BF63" s="61"/>
      <c r="BG63" s="61"/>
      <c r="BH63" s="61"/>
      <c r="BI63" s="61"/>
      <c r="BJ63" s="61"/>
      <c r="BK63" s="61"/>
      <c r="BL63" s="153"/>
      <c r="BM63" s="153"/>
      <c r="BN63" s="153"/>
      <c r="BO63" s="153"/>
      <c r="BP63" s="14"/>
      <c r="BQ63" s="61"/>
      <c r="BR63" s="61"/>
      <c r="BS63" s="61"/>
      <c r="BT63" s="61"/>
      <c r="BU63" s="153"/>
      <c r="BV63" s="153"/>
      <c r="BW63" s="153"/>
      <c r="BX63" s="14"/>
      <c r="BY63" s="61"/>
      <c r="BZ63" s="61"/>
      <c r="CA63" s="61"/>
      <c r="CB63" s="61"/>
      <c r="CC63" s="61"/>
      <c r="CD63" s="153"/>
      <c r="CE63" s="153"/>
      <c r="CF63" s="153"/>
      <c r="CG63" s="14"/>
      <c r="CH63" s="61"/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1"/>
      <c r="DJ63" s="61"/>
      <c r="DK63" s="61"/>
      <c r="DL63" s="61"/>
      <c r="DM63" s="61"/>
      <c r="DN63" s="61"/>
      <c r="DO63" s="61"/>
      <c r="DP63" s="61"/>
      <c r="DQ63" s="61"/>
      <c r="DR63" s="61"/>
      <c r="DS63" s="61"/>
      <c r="DT63" s="61"/>
      <c r="DU63" s="61"/>
      <c r="DV63" s="61"/>
      <c r="DW63" s="61"/>
    </row>
    <row r="64" spans="1:127">
      <c r="A64" s="114"/>
      <c r="B64" s="114"/>
      <c r="C64" s="775" t="s">
        <v>287</v>
      </c>
      <c r="D64" s="1027">
        <f>COUNT(D13:D46)</f>
        <v>31</v>
      </c>
      <c r="E64" s="1027">
        <f t="shared" ref="E64:AA64" si="2">COUNT(E13:E46)</f>
        <v>31</v>
      </c>
      <c r="F64" s="1027">
        <f t="shared" si="2"/>
        <v>34</v>
      </c>
      <c r="G64" s="1027">
        <f t="shared" si="2"/>
        <v>34</v>
      </c>
      <c r="H64" s="1027">
        <f t="shared" si="2"/>
        <v>34</v>
      </c>
      <c r="I64" s="1027">
        <f t="shared" si="2"/>
        <v>34</v>
      </c>
      <c r="J64" s="1027">
        <f t="shared" si="2"/>
        <v>34</v>
      </c>
      <c r="K64" s="1027">
        <f t="shared" si="2"/>
        <v>34</v>
      </c>
      <c r="L64" s="1027">
        <f t="shared" si="2"/>
        <v>31</v>
      </c>
      <c r="M64" s="1027">
        <f t="shared" si="2"/>
        <v>34</v>
      </c>
      <c r="N64" s="1027">
        <f t="shared" si="2"/>
        <v>34</v>
      </c>
      <c r="O64" s="2263">
        <f t="shared" si="2"/>
        <v>29</v>
      </c>
      <c r="P64" s="1027">
        <f t="shared" si="2"/>
        <v>29</v>
      </c>
      <c r="Q64" s="1027">
        <f t="shared" si="2"/>
        <v>29</v>
      </c>
      <c r="R64" s="1027">
        <f t="shared" si="2"/>
        <v>29</v>
      </c>
      <c r="S64" s="1027">
        <f t="shared" si="2"/>
        <v>34</v>
      </c>
      <c r="T64" s="1027">
        <f t="shared" si="2"/>
        <v>8</v>
      </c>
      <c r="U64" s="1027">
        <f t="shared" si="2"/>
        <v>13</v>
      </c>
      <c r="V64" s="1027">
        <f t="shared" si="2"/>
        <v>13</v>
      </c>
      <c r="W64" s="1027">
        <f t="shared" si="2"/>
        <v>34</v>
      </c>
      <c r="X64" s="1027">
        <f t="shared" si="2"/>
        <v>33</v>
      </c>
      <c r="Y64" s="1027">
        <f t="shared" si="2"/>
        <v>33</v>
      </c>
      <c r="Z64" s="1027">
        <f t="shared" si="2"/>
        <v>33</v>
      </c>
      <c r="AA64" s="1027">
        <f t="shared" si="2"/>
        <v>33</v>
      </c>
      <c r="AB64" s="1027">
        <f t="shared" ref="AB64:AE64" si="3">COUNT(AB13:AB46)</f>
        <v>33</v>
      </c>
      <c r="AC64" s="1027">
        <f t="shared" si="3"/>
        <v>0</v>
      </c>
      <c r="AD64" s="1027">
        <f t="shared" si="3"/>
        <v>0</v>
      </c>
      <c r="AE64" s="1027">
        <f t="shared" si="3"/>
        <v>0</v>
      </c>
      <c r="AF64" s="61"/>
      <c r="AG64" s="61"/>
      <c r="AH64" s="61"/>
      <c r="AI64" s="61"/>
      <c r="AJ64" s="153"/>
      <c r="AK64" s="153"/>
      <c r="AL64" s="153"/>
      <c r="AM64" s="14"/>
      <c r="AN64" s="61"/>
      <c r="AO64" s="61"/>
      <c r="AP64" s="61"/>
      <c r="AQ64" s="61"/>
      <c r="AR64" s="61"/>
      <c r="AS64" s="153"/>
      <c r="AT64" s="153"/>
      <c r="AU64" s="153"/>
      <c r="AV64" s="14"/>
      <c r="AW64" s="61"/>
      <c r="AX64" s="61"/>
      <c r="AY64" s="61"/>
      <c r="AZ64" s="61"/>
      <c r="BA64" s="61"/>
      <c r="BB64" s="153"/>
      <c r="BC64" s="153"/>
      <c r="BD64" s="153"/>
      <c r="BE64" s="14"/>
      <c r="BF64" s="61"/>
      <c r="BG64" s="61"/>
      <c r="BH64" s="61"/>
      <c r="BI64" s="61"/>
      <c r="BJ64" s="61"/>
      <c r="BK64" s="61"/>
      <c r="BL64" s="153"/>
      <c r="BM64" s="153"/>
      <c r="BN64" s="153"/>
      <c r="BO64" s="153"/>
      <c r="BP64" s="14"/>
      <c r="BQ64" s="61"/>
      <c r="BR64" s="61"/>
      <c r="BS64" s="61"/>
      <c r="BT64" s="61"/>
      <c r="BU64" s="153"/>
      <c r="BV64" s="153"/>
      <c r="BW64" s="153"/>
      <c r="BX64" s="14"/>
      <c r="BY64" s="61"/>
      <c r="BZ64" s="61"/>
      <c r="CA64" s="61"/>
      <c r="CB64" s="61"/>
      <c r="CC64" s="61"/>
      <c r="CD64" s="153"/>
      <c r="CE64" s="153"/>
      <c r="CF64" s="153"/>
      <c r="CG64" s="14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/>
      <c r="CZ64" s="61"/>
      <c r="DA64" s="61"/>
      <c r="DB64" s="61"/>
      <c r="DC64" s="61"/>
      <c r="DD64" s="61"/>
      <c r="DE64" s="61"/>
      <c r="DF64" s="61"/>
      <c r="DG64" s="61"/>
      <c r="DH64" s="61"/>
      <c r="DI64" s="61"/>
      <c r="DJ64" s="61"/>
      <c r="DK64" s="61"/>
      <c r="DL64" s="61"/>
      <c r="DM64" s="61"/>
      <c r="DN64" s="61"/>
      <c r="DO64" s="61"/>
      <c r="DP64" s="61"/>
      <c r="DQ64" s="61"/>
      <c r="DR64" s="61"/>
      <c r="DS64" s="61"/>
      <c r="DT64" s="61"/>
      <c r="DU64" s="61"/>
      <c r="DV64" s="61"/>
      <c r="DW64" s="61"/>
    </row>
    <row r="65" spans="1:127">
      <c r="A65" s="114"/>
      <c r="B65" s="114"/>
      <c r="C65" s="775" t="s">
        <v>286</v>
      </c>
      <c r="D65" s="1026">
        <f>D63/D64</f>
        <v>0.90322580645161288</v>
      </c>
      <c r="E65" s="1026">
        <f t="shared" ref="E65:AA65" si="4">E63/E64</f>
        <v>0.77419354838709675</v>
      </c>
      <c r="F65" s="1026">
        <f t="shared" si="4"/>
        <v>0.61764705882352944</v>
      </c>
      <c r="G65" s="1026">
        <f t="shared" si="4"/>
        <v>0.73529411764705888</v>
      </c>
      <c r="H65" s="1026">
        <f t="shared" si="4"/>
        <v>0.94117647058823528</v>
      </c>
      <c r="I65" s="1026">
        <f t="shared" si="4"/>
        <v>0.82352941176470584</v>
      </c>
      <c r="J65" s="1026">
        <f t="shared" si="4"/>
        <v>0.61764705882352944</v>
      </c>
      <c r="K65" s="1026">
        <f t="shared" si="4"/>
        <v>0.97058823529411764</v>
      </c>
      <c r="L65" s="1026">
        <f t="shared" si="4"/>
        <v>0.54838709677419351</v>
      </c>
      <c r="M65" s="1026">
        <f t="shared" si="4"/>
        <v>0.73529411764705888</v>
      </c>
      <c r="N65" s="1026">
        <f t="shared" si="4"/>
        <v>0.70588235294117652</v>
      </c>
      <c r="O65" s="2264">
        <f t="shared" si="4"/>
        <v>0.86206896551724133</v>
      </c>
      <c r="P65" s="1026">
        <f t="shared" si="4"/>
        <v>1</v>
      </c>
      <c r="Q65" s="1026">
        <f t="shared" si="4"/>
        <v>0.86206896551724133</v>
      </c>
      <c r="R65" s="1026">
        <f t="shared" si="4"/>
        <v>1</v>
      </c>
      <c r="S65" s="1026">
        <f t="shared" si="4"/>
        <v>1</v>
      </c>
      <c r="T65" s="1026">
        <f t="shared" si="4"/>
        <v>1</v>
      </c>
      <c r="U65" s="1026">
        <f t="shared" si="4"/>
        <v>0.92307692307692313</v>
      </c>
      <c r="V65" s="1026">
        <f t="shared" si="4"/>
        <v>1</v>
      </c>
      <c r="W65" s="1026">
        <f t="shared" si="4"/>
        <v>0.8529411764705882</v>
      </c>
      <c r="X65" s="1026">
        <f t="shared" si="4"/>
        <v>1</v>
      </c>
      <c r="Y65" s="1026">
        <f t="shared" si="4"/>
        <v>1.0909090909090908</v>
      </c>
      <c r="Z65" s="1026">
        <f t="shared" si="4"/>
        <v>0.93939393939393945</v>
      </c>
      <c r="AA65" s="1026">
        <f t="shared" si="4"/>
        <v>1</v>
      </c>
      <c r="AB65" s="1026">
        <f t="shared" ref="AB65:AE65" si="5">AB63/AB64</f>
        <v>0.90909090909090906</v>
      </c>
      <c r="AC65" s="1026" t="e">
        <f t="shared" si="5"/>
        <v>#DIV/0!</v>
      </c>
      <c r="AD65" s="1026" t="e">
        <f t="shared" si="5"/>
        <v>#DIV/0!</v>
      </c>
      <c r="AE65" s="1026" t="e">
        <f t="shared" si="5"/>
        <v>#DIV/0!</v>
      </c>
      <c r="AF65" s="61"/>
      <c r="AG65" s="61"/>
      <c r="AH65" s="61"/>
      <c r="AI65" s="61"/>
      <c r="AJ65" s="154"/>
      <c r="AK65" s="154"/>
      <c r="AL65" s="154"/>
      <c r="AM65" s="14"/>
      <c r="AN65" s="61"/>
      <c r="AO65" s="61"/>
      <c r="AP65" s="61"/>
      <c r="AQ65" s="61"/>
      <c r="AR65" s="61"/>
      <c r="AS65" s="154"/>
      <c r="AT65" s="154"/>
      <c r="AU65" s="154"/>
      <c r="AV65" s="14"/>
      <c r="AW65" s="61"/>
      <c r="AX65" s="61"/>
      <c r="AY65" s="61"/>
      <c r="AZ65" s="61"/>
      <c r="BA65" s="61"/>
      <c r="BB65" s="154"/>
      <c r="BC65" s="154"/>
      <c r="BD65" s="154"/>
      <c r="BE65" s="14"/>
      <c r="BF65" s="61"/>
      <c r="BG65" s="61"/>
      <c r="BH65" s="61"/>
      <c r="BI65" s="61"/>
      <c r="BJ65" s="61"/>
      <c r="BK65" s="61"/>
      <c r="BL65" s="154"/>
      <c r="BM65" s="154"/>
      <c r="BN65" s="154"/>
      <c r="BO65" s="154"/>
      <c r="BP65" s="14"/>
      <c r="BQ65" s="61"/>
      <c r="BR65" s="61"/>
      <c r="BS65" s="61"/>
      <c r="BT65" s="61"/>
      <c r="BU65" s="154"/>
      <c r="BV65" s="154"/>
      <c r="BW65" s="154"/>
      <c r="BX65" s="14"/>
      <c r="BY65" s="61"/>
      <c r="BZ65" s="61"/>
      <c r="CA65" s="61"/>
      <c r="CB65" s="61"/>
      <c r="CC65" s="61"/>
      <c r="CD65" s="154"/>
      <c r="CE65" s="154"/>
      <c r="CF65" s="154"/>
      <c r="CG65" s="14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1"/>
      <c r="DJ65" s="61"/>
      <c r="DK65" s="61"/>
      <c r="DL65" s="61"/>
      <c r="DM65" s="61"/>
      <c r="DN65" s="61"/>
      <c r="DO65" s="61"/>
      <c r="DP65" s="61"/>
      <c r="DQ65" s="61"/>
      <c r="DR65" s="61"/>
      <c r="DS65" s="61"/>
      <c r="DT65" s="61"/>
      <c r="DU65" s="61"/>
      <c r="DV65" s="61"/>
      <c r="DW65" s="61"/>
    </row>
    <row r="66" spans="1:127">
      <c r="A66" s="776"/>
      <c r="B66" s="1090"/>
      <c r="C66" s="1088" t="s">
        <v>296</v>
      </c>
      <c r="D66" s="1059">
        <f>COUNTA(C13:C46)</f>
        <v>34</v>
      </c>
      <c r="E66" s="1091"/>
      <c r="F66" s="1091"/>
      <c r="G66" s="1091"/>
      <c r="H66" s="1091"/>
      <c r="I66" s="1092"/>
      <c r="J66" s="1091"/>
      <c r="K66" s="1093"/>
      <c r="L66" s="776"/>
      <c r="M66" s="776"/>
      <c r="N66" s="776"/>
      <c r="O66" s="2265"/>
      <c r="P66" s="2242"/>
      <c r="Q66" s="776"/>
      <c r="R66" s="776"/>
      <c r="S66" s="776"/>
      <c r="T66" s="776"/>
      <c r="U66" s="776"/>
      <c r="V66" s="776"/>
      <c r="W66" s="776"/>
      <c r="X66" s="770"/>
      <c r="Y66" s="4"/>
      <c r="Z66" s="4"/>
      <c r="AA66" s="50"/>
      <c r="AB66" s="155"/>
      <c r="AC66" s="155"/>
      <c r="AD66" s="14"/>
      <c r="AE66" s="61"/>
      <c r="AF66" s="61"/>
      <c r="AG66" s="61"/>
      <c r="AH66" s="61"/>
      <c r="AI66" s="61"/>
      <c r="AJ66" s="155"/>
      <c r="AK66" s="155"/>
      <c r="AL66" s="155"/>
      <c r="AM66" s="14"/>
      <c r="AN66" s="61"/>
      <c r="AO66" s="61"/>
      <c r="AP66" s="61"/>
      <c r="AQ66" s="61"/>
      <c r="AR66" s="61"/>
      <c r="AS66" s="155"/>
      <c r="AT66" s="155"/>
      <c r="AU66" s="155"/>
      <c r="AV66" s="14"/>
      <c r="AW66" s="61"/>
      <c r="AX66" s="61"/>
      <c r="AY66" s="61"/>
      <c r="AZ66" s="61"/>
      <c r="BA66" s="61"/>
      <c r="BB66" s="155"/>
      <c r="BC66" s="155"/>
      <c r="BD66" s="155"/>
      <c r="BE66" s="14"/>
      <c r="BF66" s="61"/>
      <c r="BG66" s="61"/>
      <c r="BH66" s="61"/>
      <c r="BI66" s="61"/>
      <c r="BJ66" s="61"/>
      <c r="BK66" s="61"/>
      <c r="BL66" s="155"/>
      <c r="BM66" s="155"/>
      <c r="BN66" s="155"/>
      <c r="BO66" s="155"/>
      <c r="BP66" s="14"/>
      <c r="BQ66" s="61"/>
      <c r="BR66" s="61"/>
      <c r="BS66" s="61"/>
      <c r="BT66" s="61"/>
      <c r="BU66" s="155"/>
      <c r="BV66" s="155"/>
      <c r="BW66" s="155"/>
      <c r="BX66" s="14"/>
      <c r="BY66" s="61"/>
      <c r="BZ66" s="61"/>
      <c r="CA66" s="61"/>
      <c r="CB66" s="61"/>
      <c r="CC66" s="61"/>
      <c r="CD66" s="155"/>
      <c r="CE66" s="155"/>
      <c r="CF66" s="155"/>
      <c r="CG66" s="14"/>
      <c r="CH66" s="61"/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  <c r="CY66" s="61"/>
      <c r="CZ66" s="61"/>
      <c r="DA66" s="61"/>
      <c r="DB66" s="61"/>
      <c r="DC66" s="61"/>
      <c r="DD66" s="61"/>
      <c r="DE66" s="61"/>
      <c r="DF66" s="61"/>
      <c r="DG66" s="61"/>
      <c r="DH66" s="61"/>
      <c r="DI66" s="61"/>
      <c r="DJ66" s="61"/>
      <c r="DK66" s="61"/>
      <c r="DL66" s="61"/>
      <c r="DM66" s="61"/>
      <c r="DN66" s="61"/>
      <c r="DO66" s="61"/>
      <c r="DP66" s="61"/>
      <c r="DQ66" s="61"/>
      <c r="DR66" s="61"/>
      <c r="DS66" s="61"/>
      <c r="DT66" s="61"/>
      <c r="DU66" s="61"/>
      <c r="DV66" s="61"/>
      <c r="DW66" s="61"/>
    </row>
    <row r="67" spans="1:127" ht="15.75" thickBot="1">
      <c r="A67" s="120"/>
      <c r="B67" s="1020"/>
      <c r="C67" s="204"/>
      <c r="D67" s="205"/>
      <c r="E67" s="205"/>
      <c r="F67" s="205"/>
      <c r="G67" s="205"/>
      <c r="H67" s="205"/>
      <c r="I67" s="205"/>
      <c r="J67" s="206"/>
      <c r="K67" s="206"/>
      <c r="L67" s="116"/>
      <c r="M67" s="121"/>
      <c r="N67" s="121"/>
      <c r="O67" s="535"/>
      <c r="P67" s="228"/>
      <c r="Q67" s="121"/>
      <c r="R67" s="121"/>
      <c r="S67" s="121"/>
      <c r="T67" s="121"/>
      <c r="U67" s="121"/>
      <c r="V67" s="121"/>
      <c r="W67" s="121"/>
      <c r="X67" s="789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1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1"/>
      <c r="DU67" s="61"/>
      <c r="DV67" s="61"/>
      <c r="DW67" s="61"/>
    </row>
    <row r="68" spans="1:127" ht="15.75" thickBot="1">
      <c r="A68" s="1366" t="s">
        <v>126</v>
      </c>
      <c r="B68" s="1367"/>
      <c r="C68" s="542" t="s">
        <v>168</v>
      </c>
      <c r="D68" s="355">
        <v>50</v>
      </c>
      <c r="E68" s="355">
        <v>50</v>
      </c>
      <c r="F68" s="355">
        <v>50</v>
      </c>
      <c r="G68" s="543">
        <v>50</v>
      </c>
      <c r="H68" s="360">
        <v>50</v>
      </c>
      <c r="I68" s="355">
        <v>50</v>
      </c>
      <c r="J68" s="355">
        <v>50</v>
      </c>
      <c r="K68" s="356">
        <v>50</v>
      </c>
      <c r="L68" s="360">
        <v>50</v>
      </c>
      <c r="M68" s="355">
        <v>50</v>
      </c>
      <c r="N68" s="355">
        <v>50</v>
      </c>
      <c r="O68" s="2276">
        <v>50</v>
      </c>
      <c r="P68" s="547">
        <v>50</v>
      </c>
      <c r="Q68" s="355">
        <v>50</v>
      </c>
      <c r="R68" s="355">
        <v>50</v>
      </c>
      <c r="S68" s="428">
        <v>50</v>
      </c>
      <c r="T68" s="2888">
        <v>50</v>
      </c>
      <c r="U68" s="274">
        <v>50</v>
      </c>
      <c r="V68" s="274">
        <v>50</v>
      </c>
      <c r="W68" s="274">
        <v>50</v>
      </c>
      <c r="X68" s="274">
        <v>50</v>
      </c>
      <c r="Y68" s="274">
        <v>50</v>
      </c>
      <c r="Z68" s="274">
        <v>80</v>
      </c>
      <c r="AA68" s="274">
        <v>80</v>
      </c>
      <c r="AB68" s="274">
        <v>80</v>
      </c>
      <c r="AC68" s="274">
        <v>80</v>
      </c>
      <c r="AD68" s="274">
        <v>80</v>
      </c>
      <c r="AE68" s="274">
        <v>80</v>
      </c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  <c r="CY68" s="61"/>
      <c r="CZ68" s="61"/>
      <c r="DA68" s="61"/>
      <c r="DB68" s="61"/>
      <c r="DC68" s="61"/>
      <c r="DD68" s="61"/>
      <c r="DE68" s="61"/>
      <c r="DF68" s="61"/>
      <c r="DG68" s="61"/>
      <c r="DH68" s="61"/>
      <c r="DI68" s="61"/>
      <c r="DJ68" s="61"/>
      <c r="DK68" s="61"/>
      <c r="DL68" s="61"/>
      <c r="DM68" s="61"/>
      <c r="DN68" s="61"/>
      <c r="DO68" s="61"/>
      <c r="DP68" s="61"/>
      <c r="DQ68" s="61"/>
      <c r="DR68" s="61"/>
      <c r="DS68" s="61"/>
      <c r="DT68" s="61"/>
      <c r="DU68" s="61"/>
      <c r="DV68" s="61"/>
      <c r="DW68" s="61"/>
    </row>
    <row r="69" spans="1:127">
      <c r="A69" s="1029" t="s">
        <v>42</v>
      </c>
      <c r="B69" s="1330">
        <f>COUNTA(C69:C75)</f>
        <v>7</v>
      </c>
      <c r="C69" s="1334" t="s">
        <v>53</v>
      </c>
      <c r="D69" s="1292">
        <v>23.33</v>
      </c>
      <c r="E69" s="1295">
        <v>20</v>
      </c>
      <c r="F69" s="1295">
        <v>20</v>
      </c>
      <c r="G69" s="1335">
        <v>13</v>
      </c>
      <c r="H69" s="1331">
        <v>20</v>
      </c>
      <c r="I69" s="1295">
        <v>30</v>
      </c>
      <c r="J69" s="1185">
        <v>10</v>
      </c>
      <c r="K69" s="1296">
        <v>30</v>
      </c>
      <c r="L69" s="1361">
        <v>26.67</v>
      </c>
      <c r="M69" s="1269">
        <v>40</v>
      </c>
      <c r="N69" s="1432">
        <v>20</v>
      </c>
      <c r="O69" s="2261"/>
      <c r="P69" s="2306">
        <v>27.67</v>
      </c>
      <c r="Q69" s="2159">
        <v>20</v>
      </c>
      <c r="R69" s="2159">
        <v>33.299999999999997</v>
      </c>
      <c r="S69" s="2160">
        <v>73.3</v>
      </c>
      <c r="T69" s="2937">
        <v>20</v>
      </c>
      <c r="U69" s="2159">
        <v>36.67</v>
      </c>
      <c r="V69" s="2159">
        <v>53.33</v>
      </c>
      <c r="W69" s="2934">
        <v>36.67</v>
      </c>
      <c r="X69" s="3145">
        <v>16.670000000000002</v>
      </c>
      <c r="Y69" s="2926">
        <v>23.33</v>
      </c>
      <c r="Z69" s="2926">
        <v>13</v>
      </c>
      <c r="AA69" s="2926">
        <v>18</v>
      </c>
      <c r="AB69" s="2926">
        <v>12</v>
      </c>
      <c r="AC69" s="2926"/>
      <c r="AD69" s="2926"/>
      <c r="AE69" s="2926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  <c r="CY69" s="61"/>
      <c r="CZ69" s="61"/>
      <c r="DA69" s="61"/>
      <c r="DB69" s="61"/>
      <c r="DC69" s="61"/>
      <c r="DD69" s="61"/>
      <c r="DE69" s="61"/>
      <c r="DF69" s="61"/>
      <c r="DG69" s="61"/>
      <c r="DH69" s="61"/>
      <c r="DI69" s="61"/>
      <c r="DJ69" s="61"/>
      <c r="DK69" s="61"/>
      <c r="DL69" s="61"/>
      <c r="DM69" s="61"/>
      <c r="DN69" s="61"/>
      <c r="DO69" s="61"/>
      <c r="DP69" s="61"/>
      <c r="DQ69" s="61"/>
      <c r="DR69" s="61"/>
      <c r="DS69" s="61"/>
      <c r="DT69" s="61"/>
      <c r="DU69" s="61"/>
      <c r="DV69" s="61"/>
      <c r="DW69" s="61"/>
    </row>
    <row r="70" spans="1:127">
      <c r="A70" s="1289" t="s">
        <v>42</v>
      </c>
      <c r="B70" s="1032"/>
      <c r="C70" s="1336" t="s">
        <v>377</v>
      </c>
      <c r="D70" s="1300" t="s">
        <v>66</v>
      </c>
      <c r="E70" s="1303">
        <v>35</v>
      </c>
      <c r="F70" s="1303">
        <v>42</v>
      </c>
      <c r="G70" s="1337">
        <v>30</v>
      </c>
      <c r="H70" s="1332">
        <v>25</v>
      </c>
      <c r="I70" s="1303">
        <v>87</v>
      </c>
      <c r="J70" s="1188">
        <v>43.33</v>
      </c>
      <c r="K70" s="1304">
        <v>50</v>
      </c>
      <c r="L70" s="1343"/>
      <c r="M70" s="1274">
        <v>46.7</v>
      </c>
      <c r="N70" s="1628">
        <v>43.33</v>
      </c>
      <c r="O70" s="2259"/>
      <c r="P70" s="2198">
        <v>73.33</v>
      </c>
      <c r="Q70" s="2161">
        <v>73.33</v>
      </c>
      <c r="R70" s="2161">
        <v>50</v>
      </c>
      <c r="S70" s="2162">
        <v>96.6</v>
      </c>
      <c r="T70" s="2938">
        <v>105</v>
      </c>
      <c r="U70" s="1127" t="s">
        <v>109</v>
      </c>
      <c r="V70" s="2161">
        <v>110</v>
      </c>
      <c r="W70" s="2935">
        <v>120</v>
      </c>
      <c r="X70" s="3107">
        <v>43.33</v>
      </c>
      <c r="Y70" s="2927">
        <v>26.67</v>
      </c>
      <c r="Z70" s="2927">
        <v>26.67</v>
      </c>
      <c r="AA70" s="2927">
        <v>56.67</v>
      </c>
      <c r="AB70" s="2927">
        <v>56</v>
      </c>
      <c r="AC70" s="2927"/>
      <c r="AD70" s="2927"/>
      <c r="AE70" s="2927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</row>
    <row r="71" spans="1:127">
      <c r="A71" s="1289" t="s">
        <v>42</v>
      </c>
      <c r="B71" s="1032"/>
      <c r="C71" s="1336" t="s">
        <v>64</v>
      </c>
      <c r="D71" s="1300">
        <v>40</v>
      </c>
      <c r="E71" s="1303">
        <v>27</v>
      </c>
      <c r="F71" s="1303">
        <v>17</v>
      </c>
      <c r="G71" s="1337">
        <v>10</v>
      </c>
      <c r="H71" s="1332">
        <v>25</v>
      </c>
      <c r="I71" s="1303">
        <v>33.33</v>
      </c>
      <c r="J71" s="1188">
        <v>30</v>
      </c>
      <c r="K71" s="1304">
        <v>30</v>
      </c>
      <c r="L71" s="1343">
        <v>43.33</v>
      </c>
      <c r="M71" s="1274">
        <v>23.3</v>
      </c>
      <c r="N71" s="1628">
        <v>20</v>
      </c>
      <c r="O71" s="2259"/>
      <c r="P71" s="2198">
        <v>3</v>
      </c>
      <c r="Q71" s="2161">
        <v>33.33</v>
      </c>
      <c r="R71" s="2161">
        <v>40</v>
      </c>
      <c r="S71" s="2162">
        <v>33.299999999999997</v>
      </c>
      <c r="T71" s="2938">
        <v>33.33</v>
      </c>
      <c r="U71" s="2161">
        <v>40</v>
      </c>
      <c r="V71" s="2161">
        <v>40</v>
      </c>
      <c r="W71" s="2935">
        <v>43.33</v>
      </c>
      <c r="X71" s="3107">
        <v>30</v>
      </c>
      <c r="Y71" s="2927">
        <v>46.67</v>
      </c>
      <c r="Z71" s="2927">
        <v>11.33</v>
      </c>
      <c r="AA71" s="2927">
        <v>12.67</v>
      </c>
      <c r="AB71" s="2927">
        <v>26.33</v>
      </c>
      <c r="AC71" s="2927"/>
      <c r="AD71" s="2927"/>
      <c r="AE71" s="2927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</row>
    <row r="72" spans="1:127">
      <c r="A72" s="1289" t="s">
        <v>42</v>
      </c>
      <c r="B72" s="1032"/>
      <c r="C72" s="1336" t="s">
        <v>63</v>
      </c>
      <c r="D72" s="1300">
        <v>30</v>
      </c>
      <c r="E72" s="1303">
        <v>20</v>
      </c>
      <c r="F72" s="1303">
        <v>20</v>
      </c>
      <c r="G72" s="1337">
        <v>20</v>
      </c>
      <c r="H72" s="1332">
        <v>20</v>
      </c>
      <c r="I72" s="1303">
        <v>30</v>
      </c>
      <c r="J72" s="1188">
        <v>23.33</v>
      </c>
      <c r="K72" s="1304">
        <v>30</v>
      </c>
      <c r="L72" s="1343">
        <v>43.33</v>
      </c>
      <c r="M72" s="1274">
        <v>40</v>
      </c>
      <c r="N72" s="1628">
        <v>30</v>
      </c>
      <c r="O72" s="2259"/>
      <c r="P72" s="2198">
        <v>66.67</v>
      </c>
      <c r="Q72" s="2161">
        <v>40</v>
      </c>
      <c r="R72" s="2161">
        <v>40</v>
      </c>
      <c r="S72" s="2162">
        <v>73.3</v>
      </c>
      <c r="T72" s="2938">
        <v>63.33</v>
      </c>
      <c r="U72" s="2161">
        <v>70</v>
      </c>
      <c r="V72" s="2161">
        <v>56.67</v>
      </c>
      <c r="W72" s="2935">
        <v>86.67</v>
      </c>
      <c r="X72" s="3107">
        <v>40</v>
      </c>
      <c r="Y72" s="2927">
        <v>20</v>
      </c>
      <c r="Z72" s="2927">
        <v>7.33</v>
      </c>
      <c r="AA72" s="2927">
        <v>25</v>
      </c>
      <c r="AB72" s="2927">
        <v>31.33</v>
      </c>
      <c r="AC72" s="2927"/>
      <c r="AD72" s="2927"/>
      <c r="AE72" s="2927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  <c r="CY72" s="61"/>
      <c r="CZ72" s="61"/>
      <c r="DA72" s="61"/>
      <c r="DB72" s="61"/>
      <c r="DC72" s="61"/>
      <c r="DD72" s="61"/>
      <c r="DE72" s="61"/>
      <c r="DF72" s="61"/>
      <c r="DG72" s="61"/>
      <c r="DH72" s="61"/>
      <c r="DI72" s="61"/>
      <c r="DJ72" s="61"/>
      <c r="DK72" s="61"/>
      <c r="DL72" s="61"/>
      <c r="DM72" s="61"/>
      <c r="DN72" s="61"/>
      <c r="DO72" s="61"/>
      <c r="DP72" s="61"/>
      <c r="DQ72" s="61"/>
      <c r="DR72" s="61"/>
      <c r="DS72" s="61"/>
      <c r="DT72" s="61"/>
      <c r="DU72" s="61"/>
      <c r="DV72" s="61"/>
      <c r="DW72" s="61"/>
    </row>
    <row r="73" spans="1:127">
      <c r="A73" s="1289" t="s">
        <v>42</v>
      </c>
      <c r="B73" s="1032"/>
      <c r="C73" s="1336" t="s">
        <v>62</v>
      </c>
      <c r="D73" s="1300">
        <v>30</v>
      </c>
      <c r="E73" s="1303">
        <v>20</v>
      </c>
      <c r="F73" s="1303">
        <v>20</v>
      </c>
      <c r="G73" s="1337">
        <v>20</v>
      </c>
      <c r="H73" s="1332">
        <v>35</v>
      </c>
      <c r="I73" s="1303">
        <v>27</v>
      </c>
      <c r="J73" s="1188">
        <v>15</v>
      </c>
      <c r="K73" s="1304">
        <v>20</v>
      </c>
      <c r="L73" s="1343">
        <v>26.67</v>
      </c>
      <c r="M73" s="1274">
        <v>32.5</v>
      </c>
      <c r="N73" s="1628">
        <v>23.33</v>
      </c>
      <c r="O73" s="2259"/>
      <c r="P73" s="2198">
        <v>3</v>
      </c>
      <c r="Q73" s="2161">
        <v>30</v>
      </c>
      <c r="R73" s="2161">
        <v>30</v>
      </c>
      <c r="S73" s="2162">
        <v>23.3</v>
      </c>
      <c r="T73" s="2938">
        <v>26.66</v>
      </c>
      <c r="U73" s="2161">
        <v>40</v>
      </c>
      <c r="V73" s="2161">
        <v>36.67</v>
      </c>
      <c r="W73" s="2935">
        <v>33.33</v>
      </c>
      <c r="X73" s="3107">
        <v>16.670000000000002</v>
      </c>
      <c r="Y73" s="2927">
        <v>26.67</v>
      </c>
      <c r="Z73" s="2927">
        <v>14.33</v>
      </c>
      <c r="AA73" s="2927">
        <v>12.5</v>
      </c>
      <c r="AB73" s="2927">
        <v>10.67</v>
      </c>
      <c r="AC73" s="2927"/>
      <c r="AD73" s="2927"/>
      <c r="AE73" s="2927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  <c r="CY73" s="61"/>
      <c r="CZ73" s="61"/>
      <c r="DA73" s="61"/>
      <c r="DB73" s="61"/>
      <c r="DC73" s="61"/>
      <c r="DD73" s="61"/>
      <c r="DE73" s="61"/>
      <c r="DF73" s="61"/>
      <c r="DG73" s="61"/>
      <c r="DH73" s="61"/>
      <c r="DI73" s="61"/>
      <c r="DJ73" s="61"/>
      <c r="DK73" s="61"/>
      <c r="DL73" s="61"/>
      <c r="DM73" s="61"/>
      <c r="DN73" s="61"/>
      <c r="DO73" s="61"/>
      <c r="DP73" s="61"/>
      <c r="DQ73" s="61"/>
      <c r="DR73" s="61"/>
      <c r="DS73" s="61"/>
      <c r="DT73" s="61"/>
      <c r="DU73" s="61"/>
      <c r="DV73" s="61"/>
      <c r="DW73" s="61"/>
    </row>
    <row r="74" spans="1:127">
      <c r="A74" s="1289" t="s">
        <v>42</v>
      </c>
      <c r="B74" s="1032"/>
      <c r="C74" s="1336" t="s">
        <v>43</v>
      </c>
      <c r="D74" s="1300">
        <v>26.67</v>
      </c>
      <c r="E74" s="1303">
        <v>23</v>
      </c>
      <c r="F74" s="1303">
        <v>20</v>
      </c>
      <c r="G74" s="1337">
        <v>13</v>
      </c>
      <c r="H74" s="1332">
        <v>25</v>
      </c>
      <c r="I74" s="1303">
        <v>23</v>
      </c>
      <c r="J74" s="1188">
        <v>20</v>
      </c>
      <c r="K74" s="1304">
        <v>16.66</v>
      </c>
      <c r="L74" s="1343">
        <v>30</v>
      </c>
      <c r="M74" s="1274">
        <v>23.3</v>
      </c>
      <c r="N74" s="1628">
        <v>20</v>
      </c>
      <c r="O74" s="2259"/>
      <c r="P74" s="2198">
        <v>30</v>
      </c>
      <c r="Q74" s="2161">
        <v>20</v>
      </c>
      <c r="R74" s="2161">
        <v>36.6</v>
      </c>
      <c r="S74" s="2162">
        <v>33.299999999999997</v>
      </c>
      <c r="T74" s="2938">
        <v>26.66</v>
      </c>
      <c r="U74" s="2161">
        <v>30</v>
      </c>
      <c r="V74" s="2161">
        <v>26.67</v>
      </c>
      <c r="W74" s="2935">
        <v>33.33</v>
      </c>
      <c r="X74" s="3107">
        <v>16.670000000000002</v>
      </c>
      <c r="Y74" s="2927">
        <v>43.33</v>
      </c>
      <c r="Z74" s="2927">
        <v>18</v>
      </c>
      <c r="AA74" s="2927">
        <v>14.33</v>
      </c>
      <c r="AB74" s="2927">
        <v>13</v>
      </c>
      <c r="AC74" s="2927"/>
      <c r="AD74" s="2927"/>
      <c r="AE74" s="2927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  <c r="CY74" s="61"/>
      <c r="CZ74" s="61"/>
      <c r="DA74" s="61"/>
      <c r="DB74" s="61"/>
      <c r="DC74" s="61"/>
      <c r="DD74" s="61"/>
      <c r="DE74" s="61"/>
      <c r="DF74" s="61"/>
      <c r="DG74" s="61"/>
      <c r="DH74" s="61"/>
      <c r="DI74" s="61"/>
      <c r="DJ74" s="61"/>
      <c r="DK74" s="61"/>
      <c r="DL74" s="61"/>
      <c r="DM74" s="61"/>
      <c r="DN74" s="61"/>
      <c r="DO74" s="61"/>
      <c r="DP74" s="61"/>
      <c r="DQ74" s="61"/>
      <c r="DR74" s="61"/>
      <c r="DS74" s="61"/>
      <c r="DT74" s="61"/>
      <c r="DU74" s="61"/>
      <c r="DV74" s="61"/>
      <c r="DW74" s="61"/>
    </row>
    <row r="75" spans="1:127" ht="15.75" thickBot="1">
      <c r="A75" s="1318" t="s">
        <v>42</v>
      </c>
      <c r="B75" s="1033"/>
      <c r="C75" s="1338" t="s">
        <v>65</v>
      </c>
      <c r="D75" s="1309">
        <v>43.33</v>
      </c>
      <c r="E75" s="1312">
        <v>47</v>
      </c>
      <c r="F75" s="1312">
        <v>27</v>
      </c>
      <c r="G75" s="1339">
        <v>33.33</v>
      </c>
      <c r="H75" s="1333">
        <v>30</v>
      </c>
      <c r="I75" s="1312">
        <v>43</v>
      </c>
      <c r="J75" s="1193">
        <v>26.66</v>
      </c>
      <c r="K75" s="1313">
        <v>40</v>
      </c>
      <c r="L75" s="1364">
        <v>53.33</v>
      </c>
      <c r="M75" s="1365">
        <v>56.7</v>
      </c>
      <c r="N75" s="1629">
        <v>43.33</v>
      </c>
      <c r="O75" s="2176"/>
      <c r="P75" s="2307">
        <v>86.67</v>
      </c>
      <c r="Q75" s="2177"/>
      <c r="R75" s="1340">
        <v>66.599999999999994</v>
      </c>
      <c r="S75" s="2166">
        <v>80</v>
      </c>
      <c r="T75" s="2939">
        <v>110</v>
      </c>
      <c r="U75" s="2165">
        <v>70</v>
      </c>
      <c r="V75" s="2165">
        <v>83.33</v>
      </c>
      <c r="W75" s="2936">
        <v>106.67</v>
      </c>
      <c r="X75" s="3141">
        <v>46.67</v>
      </c>
      <c r="Y75" s="2928">
        <v>10</v>
      </c>
      <c r="Z75" s="2928">
        <v>20</v>
      </c>
      <c r="AA75" s="2928">
        <v>63.33</v>
      </c>
      <c r="AB75" s="2928">
        <v>49</v>
      </c>
      <c r="AC75" s="2928"/>
      <c r="AD75" s="2928"/>
      <c r="AE75" s="2928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1"/>
      <c r="DQ75" s="61"/>
      <c r="DR75" s="61"/>
      <c r="DS75" s="61"/>
      <c r="DT75" s="61"/>
      <c r="DU75" s="61"/>
      <c r="DV75" s="61"/>
      <c r="DW75" s="61"/>
    </row>
    <row r="76" spans="1:127" s="4" customFormat="1">
      <c r="A76" s="1029" t="s">
        <v>49</v>
      </c>
      <c r="B76" s="1330">
        <f>COUNTA(C76:C84)</f>
        <v>9</v>
      </c>
      <c r="C76" s="1334" t="s">
        <v>59</v>
      </c>
      <c r="D76" s="1292">
        <v>30</v>
      </c>
      <c r="E76" s="1295">
        <v>20</v>
      </c>
      <c r="F76" s="1295">
        <v>17</v>
      </c>
      <c r="G76" s="1335">
        <v>15</v>
      </c>
      <c r="H76" s="1331">
        <v>30</v>
      </c>
      <c r="I76" s="1295">
        <v>30</v>
      </c>
      <c r="J76" s="1185">
        <v>23.33</v>
      </c>
      <c r="K76" s="1296">
        <v>20</v>
      </c>
      <c r="L76" s="2043">
        <v>36.67</v>
      </c>
      <c r="M76" s="1269">
        <v>47</v>
      </c>
      <c r="N76" s="1625">
        <v>9.6</v>
      </c>
      <c r="O76" s="2254"/>
      <c r="P76" s="2200">
        <v>46.67</v>
      </c>
      <c r="Q76" s="2173">
        <v>43.33</v>
      </c>
      <c r="R76" s="1210">
        <v>33.299999999999997</v>
      </c>
      <c r="S76" s="2160">
        <v>30</v>
      </c>
      <c r="T76" s="2937">
        <v>26.67</v>
      </c>
      <c r="U76" s="2159">
        <v>26.67</v>
      </c>
      <c r="V76" s="2159">
        <v>43.33</v>
      </c>
      <c r="W76" s="2934">
        <v>40</v>
      </c>
      <c r="X76" s="3145">
        <v>26.67</v>
      </c>
      <c r="Y76" s="2926">
        <v>33.33</v>
      </c>
      <c r="Z76" s="2926">
        <v>33.33</v>
      </c>
      <c r="AA76" s="2926">
        <v>29.67</v>
      </c>
      <c r="AB76" s="2926">
        <v>21</v>
      </c>
      <c r="AC76" s="2926"/>
      <c r="AD76" s="2926"/>
      <c r="AE76" s="2926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83"/>
      <c r="BG76" s="83"/>
      <c r="BH76" s="83"/>
      <c r="BI76" s="83"/>
      <c r="BJ76" s="83"/>
      <c r="BK76" s="83"/>
      <c r="BL76" s="83"/>
      <c r="BM76" s="83"/>
      <c r="BN76" s="83"/>
      <c r="BO76" s="83"/>
      <c r="BP76" s="83"/>
      <c r="BQ76" s="83"/>
      <c r="BR76" s="83"/>
      <c r="BS76" s="83"/>
      <c r="BT76" s="83"/>
      <c r="BU76" s="83"/>
      <c r="BV76" s="83"/>
      <c r="BW76" s="83"/>
      <c r="BX76" s="83"/>
      <c r="BY76" s="83"/>
      <c r="BZ76" s="83"/>
      <c r="CA76" s="83"/>
      <c r="CB76" s="83"/>
      <c r="CC76" s="83"/>
      <c r="CD76" s="83"/>
      <c r="CE76" s="83"/>
      <c r="CF76" s="83"/>
      <c r="CG76" s="83"/>
      <c r="CH76" s="83"/>
      <c r="CI76" s="83"/>
      <c r="CJ76" s="83"/>
      <c r="CK76" s="83"/>
      <c r="CL76" s="83"/>
      <c r="CM76" s="83"/>
      <c r="CN76" s="83"/>
      <c r="CO76" s="83"/>
      <c r="CP76" s="83"/>
      <c r="CQ76" s="83"/>
      <c r="CR76" s="83"/>
      <c r="CS76" s="83"/>
      <c r="CT76" s="83"/>
      <c r="CU76" s="83"/>
      <c r="CV76" s="83"/>
      <c r="CW76" s="83"/>
      <c r="CX76" s="83"/>
      <c r="CY76" s="83"/>
      <c r="CZ76" s="83"/>
      <c r="DA76" s="83"/>
      <c r="DB76" s="83"/>
      <c r="DC76" s="83"/>
      <c r="DD76" s="83"/>
      <c r="DE76" s="83"/>
      <c r="DF76" s="83"/>
      <c r="DG76" s="83"/>
      <c r="DH76" s="83"/>
      <c r="DI76" s="83"/>
      <c r="DJ76" s="83"/>
      <c r="DK76" s="83"/>
      <c r="DL76" s="83"/>
      <c r="DM76" s="83"/>
      <c r="DN76" s="83"/>
      <c r="DO76" s="83"/>
      <c r="DP76" s="83"/>
      <c r="DQ76" s="83"/>
      <c r="DR76" s="83"/>
      <c r="DS76" s="83"/>
      <c r="DT76" s="83"/>
      <c r="DU76" s="83"/>
      <c r="DV76" s="83"/>
      <c r="DW76" s="83"/>
    </row>
    <row r="77" spans="1:127" ht="15" customHeight="1">
      <c r="A77" s="1289" t="s">
        <v>49</v>
      </c>
      <c r="B77" s="1032"/>
      <c r="C77" s="1336" t="s">
        <v>61</v>
      </c>
      <c r="D77" s="1300">
        <v>26.67</v>
      </c>
      <c r="E77" s="1303">
        <v>20</v>
      </c>
      <c r="F77" s="1303">
        <v>17</v>
      </c>
      <c r="G77" s="1337">
        <v>20</v>
      </c>
      <c r="H77" s="1332">
        <v>35</v>
      </c>
      <c r="I77" s="1303">
        <v>20</v>
      </c>
      <c r="J77" s="1188">
        <v>20</v>
      </c>
      <c r="K77" s="1304">
        <v>20</v>
      </c>
      <c r="L77" s="2044">
        <v>33.33</v>
      </c>
      <c r="M77" s="1274">
        <v>47</v>
      </c>
      <c r="N77" s="1626">
        <v>9.0299999999999994</v>
      </c>
      <c r="O77" s="2266"/>
      <c r="P77" s="2201">
        <v>30</v>
      </c>
      <c r="Q77" s="2178">
        <v>43.33</v>
      </c>
      <c r="R77" s="1244">
        <v>36.6</v>
      </c>
      <c r="S77" s="2162">
        <v>26.66</v>
      </c>
      <c r="T77" s="2938">
        <v>30</v>
      </c>
      <c r="U77" s="2161">
        <v>30</v>
      </c>
      <c r="V77" s="2161">
        <v>36.67</v>
      </c>
      <c r="W77" s="2935">
        <v>26.67</v>
      </c>
      <c r="X77" s="3107">
        <v>30</v>
      </c>
      <c r="Y77" s="2927">
        <v>23.33</v>
      </c>
      <c r="Z77" s="2927">
        <v>23.33</v>
      </c>
      <c r="AA77" s="2927">
        <v>20</v>
      </c>
      <c r="AB77" s="2927">
        <v>22.33</v>
      </c>
      <c r="AC77" s="2927"/>
      <c r="AD77" s="2927"/>
      <c r="AE77" s="2927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  <c r="DV77" s="61"/>
      <c r="DW77" s="61"/>
    </row>
    <row r="78" spans="1:127">
      <c r="A78" s="1289" t="s">
        <v>49</v>
      </c>
      <c r="B78" s="1032"/>
      <c r="C78" s="1336" t="s">
        <v>52</v>
      </c>
      <c r="D78" s="1300">
        <v>23.33</v>
      </c>
      <c r="E78" s="1303">
        <v>30</v>
      </c>
      <c r="F78" s="1303">
        <v>20</v>
      </c>
      <c r="G78" s="1337">
        <v>10</v>
      </c>
      <c r="H78" s="1332">
        <v>35</v>
      </c>
      <c r="I78" s="1303">
        <v>30</v>
      </c>
      <c r="J78" s="1188">
        <v>20</v>
      </c>
      <c r="K78" s="1304">
        <v>20</v>
      </c>
      <c r="L78" s="2044">
        <v>26.67</v>
      </c>
      <c r="M78" s="1274">
        <v>30</v>
      </c>
      <c r="N78" s="1626">
        <v>9.1300000000000008</v>
      </c>
      <c r="O78" s="2266"/>
      <c r="P78" s="2201">
        <v>36.67</v>
      </c>
      <c r="Q78" s="2178">
        <v>43.33</v>
      </c>
      <c r="R78" s="1244">
        <v>30</v>
      </c>
      <c r="S78" s="2162">
        <v>20</v>
      </c>
      <c r="T78" s="2938">
        <v>30</v>
      </c>
      <c r="U78" s="2161">
        <v>20</v>
      </c>
      <c r="V78" s="2161">
        <v>30</v>
      </c>
      <c r="W78" s="2935">
        <v>33.33</v>
      </c>
      <c r="X78" s="3107">
        <v>16.670000000000002</v>
      </c>
      <c r="Y78" s="2927">
        <v>16.670000000000002</v>
      </c>
      <c r="Z78" s="2927">
        <v>20</v>
      </c>
      <c r="AA78" s="2927">
        <v>88.33</v>
      </c>
      <c r="AB78" s="2927">
        <v>12.33</v>
      </c>
      <c r="AC78" s="2927"/>
      <c r="AD78" s="2927"/>
      <c r="AE78" s="2927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  <c r="DV78" s="61"/>
      <c r="DW78" s="61"/>
    </row>
    <row r="79" spans="1:127" s="4" customFormat="1">
      <c r="A79" s="1289" t="s">
        <v>49</v>
      </c>
      <c r="B79" s="1032"/>
      <c r="C79" s="1336" t="s">
        <v>193</v>
      </c>
      <c r="D79" s="1300">
        <v>36.67</v>
      </c>
      <c r="E79" s="1303">
        <v>27</v>
      </c>
      <c r="F79" s="1303">
        <v>20</v>
      </c>
      <c r="G79" s="1337">
        <v>20</v>
      </c>
      <c r="H79" s="1332">
        <v>30</v>
      </c>
      <c r="I79" s="1303">
        <v>40</v>
      </c>
      <c r="J79" s="1188">
        <v>23.33</v>
      </c>
      <c r="K79" s="1304">
        <v>33.33</v>
      </c>
      <c r="L79" s="2044">
        <v>36.67</v>
      </c>
      <c r="M79" s="1274">
        <v>37</v>
      </c>
      <c r="N79" s="1626">
        <v>10</v>
      </c>
      <c r="O79" s="2266"/>
      <c r="P79" s="2201">
        <v>53.33</v>
      </c>
      <c r="Q79" s="2178">
        <v>43.33</v>
      </c>
      <c r="R79" s="1244">
        <v>30</v>
      </c>
      <c r="S79" s="2162">
        <v>34.6</v>
      </c>
      <c r="T79" s="2938">
        <v>50</v>
      </c>
      <c r="U79" s="2161">
        <v>40</v>
      </c>
      <c r="V79" s="2161">
        <v>33.33</v>
      </c>
      <c r="W79" s="2935">
        <v>36.67</v>
      </c>
      <c r="X79" s="3107">
        <v>40</v>
      </c>
      <c r="Y79" s="2927">
        <v>26.67</v>
      </c>
      <c r="Z79" s="2927">
        <v>33.33</v>
      </c>
      <c r="AA79" s="2927">
        <v>31.67</v>
      </c>
      <c r="AB79" s="2927">
        <v>17.329999999999998</v>
      </c>
      <c r="AC79" s="2927"/>
      <c r="AD79" s="2927"/>
      <c r="AE79" s="2927"/>
      <c r="BB79" s="83"/>
      <c r="BC79" s="83"/>
      <c r="BD79" s="83"/>
      <c r="BE79" s="83"/>
      <c r="BF79" s="83"/>
      <c r="BG79" s="83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  <c r="CE79" s="83"/>
      <c r="CF79" s="83"/>
      <c r="CG79" s="83"/>
      <c r="CH79" s="83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3"/>
      <c r="CW79" s="83"/>
      <c r="CX79" s="83"/>
      <c r="CY79" s="83"/>
      <c r="CZ79" s="83"/>
      <c r="DA79" s="83"/>
    </row>
    <row r="80" spans="1:127" s="4" customFormat="1">
      <c r="A80" s="1289" t="s">
        <v>49</v>
      </c>
      <c r="B80" s="1032"/>
      <c r="C80" s="1336" t="s">
        <v>50</v>
      </c>
      <c r="D80" s="1300">
        <v>26.67</v>
      </c>
      <c r="E80" s="1303">
        <v>20</v>
      </c>
      <c r="F80" s="1303">
        <v>17</v>
      </c>
      <c r="G80" s="1337">
        <v>25</v>
      </c>
      <c r="H80" s="1332">
        <v>50</v>
      </c>
      <c r="I80" s="1303">
        <v>40</v>
      </c>
      <c r="J80" s="1188">
        <v>20</v>
      </c>
      <c r="K80" s="1304">
        <v>23.33</v>
      </c>
      <c r="L80" s="2044">
        <v>40</v>
      </c>
      <c r="M80" s="1274">
        <v>40</v>
      </c>
      <c r="N80" s="1626">
        <v>10.3</v>
      </c>
      <c r="O80" s="2266"/>
      <c r="P80" s="2201">
        <v>40</v>
      </c>
      <c r="Q80" s="2178">
        <v>36.67</v>
      </c>
      <c r="R80" s="1244">
        <v>30</v>
      </c>
      <c r="S80" s="2162">
        <v>30</v>
      </c>
      <c r="T80" s="2938">
        <v>30</v>
      </c>
      <c r="U80" s="2161">
        <v>23.33</v>
      </c>
      <c r="V80" s="2161">
        <v>36.67</v>
      </c>
      <c r="W80" s="2935">
        <v>33.33</v>
      </c>
      <c r="X80" s="3107">
        <v>16.670000000000002</v>
      </c>
      <c r="Y80" s="2927">
        <v>23.33</v>
      </c>
      <c r="Z80" s="2927">
        <v>28.33</v>
      </c>
      <c r="AA80" s="2927">
        <v>19</v>
      </c>
      <c r="AB80" s="2927">
        <v>13</v>
      </c>
      <c r="AC80" s="2927"/>
      <c r="AD80" s="2927"/>
      <c r="AE80" s="2927"/>
      <c r="BB80" s="83"/>
      <c r="BC80" s="83"/>
      <c r="BD80" s="83"/>
      <c r="BE80" s="83"/>
      <c r="BF80" s="83"/>
      <c r="BG80" s="83"/>
      <c r="BH80" s="83"/>
      <c r="BI80" s="83"/>
      <c r="BJ80" s="83"/>
      <c r="BK80" s="83"/>
      <c r="BL80" s="83"/>
      <c r="BM80" s="83"/>
      <c r="BN80" s="83"/>
      <c r="BO80" s="83"/>
      <c r="BP80" s="83"/>
      <c r="BQ80" s="83"/>
      <c r="BR80" s="83"/>
      <c r="BS80" s="83"/>
      <c r="BT80" s="83"/>
      <c r="BU80" s="83"/>
      <c r="BV80" s="83"/>
      <c r="CE80" s="83"/>
      <c r="CF80" s="83"/>
      <c r="CG80" s="83"/>
      <c r="CH80" s="83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3"/>
      <c r="CW80" s="83"/>
      <c r="CX80" s="83"/>
      <c r="CY80" s="83"/>
      <c r="CZ80" s="83"/>
      <c r="DA80" s="83"/>
    </row>
    <row r="81" spans="1:127" s="4" customFormat="1">
      <c r="A81" s="1289" t="s">
        <v>49</v>
      </c>
      <c r="B81" s="1032"/>
      <c r="C81" s="1336" t="s">
        <v>57</v>
      </c>
      <c r="D81" s="1300">
        <v>33.33</v>
      </c>
      <c r="E81" s="1303">
        <v>20</v>
      </c>
      <c r="F81" s="1303">
        <v>23</v>
      </c>
      <c r="G81" s="1337">
        <v>10</v>
      </c>
      <c r="H81" s="1332">
        <v>25</v>
      </c>
      <c r="I81" s="1303">
        <v>20</v>
      </c>
      <c r="J81" s="1188">
        <v>20</v>
      </c>
      <c r="K81" s="1304">
        <v>26.67</v>
      </c>
      <c r="L81" s="2044">
        <v>36.67</v>
      </c>
      <c r="M81" s="1274">
        <v>33</v>
      </c>
      <c r="N81" s="1627">
        <v>9.4700000000000006</v>
      </c>
      <c r="O81" s="2267"/>
      <c r="P81" s="2202">
        <v>36.67</v>
      </c>
      <c r="Q81" s="2171">
        <v>40</v>
      </c>
      <c r="R81" s="1244">
        <v>33.299999999999997</v>
      </c>
      <c r="S81" s="2162">
        <v>25</v>
      </c>
      <c r="T81" s="2938">
        <v>30</v>
      </c>
      <c r="U81" s="2161">
        <v>30</v>
      </c>
      <c r="V81" s="2161">
        <v>43.33</v>
      </c>
      <c r="W81" s="2935">
        <v>36.67</v>
      </c>
      <c r="X81" s="3107">
        <v>20</v>
      </c>
      <c r="Y81" s="2927">
        <v>20</v>
      </c>
      <c r="Z81" s="2927">
        <v>26.67</v>
      </c>
      <c r="AA81" s="2927">
        <v>24.67</v>
      </c>
      <c r="AB81" s="2927">
        <v>12</v>
      </c>
      <c r="AC81" s="2927"/>
      <c r="AD81" s="2927"/>
      <c r="AE81" s="2927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</row>
    <row r="82" spans="1:127" s="4" customFormat="1">
      <c r="A82" s="1289" t="s">
        <v>49</v>
      </c>
      <c r="B82" s="1032"/>
      <c r="C82" s="1336" t="s">
        <v>58</v>
      </c>
      <c r="D82" s="1300">
        <v>40</v>
      </c>
      <c r="E82" s="1303">
        <v>27</v>
      </c>
      <c r="F82" s="1303">
        <v>23</v>
      </c>
      <c r="G82" s="1337">
        <v>30</v>
      </c>
      <c r="H82" s="1332">
        <v>40</v>
      </c>
      <c r="I82" s="1303">
        <v>30</v>
      </c>
      <c r="J82" s="1188">
        <v>30</v>
      </c>
      <c r="K82" s="1304">
        <v>36.67</v>
      </c>
      <c r="L82" s="2044">
        <v>43.33</v>
      </c>
      <c r="M82" s="1274">
        <v>47</v>
      </c>
      <c r="N82" s="1630">
        <v>10.5</v>
      </c>
      <c r="O82" s="2268"/>
      <c r="P82" s="2203">
        <v>50</v>
      </c>
      <c r="Q82" s="1342">
        <v>46.67</v>
      </c>
      <c r="R82" s="1244">
        <v>46.6</v>
      </c>
      <c r="S82" s="2162">
        <v>46.66</v>
      </c>
      <c r="T82" s="2938">
        <v>56.67</v>
      </c>
      <c r="U82" s="2161">
        <v>50</v>
      </c>
      <c r="V82" s="2161">
        <v>33.33</v>
      </c>
      <c r="W82" s="2935">
        <v>56.67</v>
      </c>
      <c r="X82" s="3107">
        <v>26.67</v>
      </c>
      <c r="Y82" s="2927">
        <v>30</v>
      </c>
      <c r="Z82" s="2927">
        <v>30</v>
      </c>
      <c r="AA82" s="2927">
        <v>41</v>
      </c>
      <c r="AB82" s="2927">
        <v>22.33</v>
      </c>
      <c r="AC82" s="2927"/>
      <c r="AD82" s="2927"/>
      <c r="AE82" s="2927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B82" s="50"/>
      <c r="BC82" s="50"/>
      <c r="BD82" s="50"/>
      <c r="BE82" s="83"/>
      <c r="BF82" s="83"/>
      <c r="BG82" s="83"/>
      <c r="BH82" s="83"/>
      <c r="BI82" s="83"/>
      <c r="BJ82" s="83"/>
      <c r="BK82" s="83"/>
      <c r="BL82" s="83"/>
      <c r="BM82" s="83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</row>
    <row r="83" spans="1:127" s="4" customFormat="1">
      <c r="A83" s="1289" t="s">
        <v>49</v>
      </c>
      <c r="B83" s="1032"/>
      <c r="C83" s="1336" t="s">
        <v>194</v>
      </c>
      <c r="D83" s="1300">
        <v>46.67</v>
      </c>
      <c r="E83" s="1303">
        <v>30</v>
      </c>
      <c r="F83" s="1303">
        <v>23</v>
      </c>
      <c r="G83" s="1337">
        <v>20</v>
      </c>
      <c r="H83" s="1332">
        <v>40</v>
      </c>
      <c r="I83" s="1303">
        <v>40</v>
      </c>
      <c r="J83" s="1188">
        <v>26.66</v>
      </c>
      <c r="K83" s="1304">
        <v>33.33</v>
      </c>
      <c r="L83" s="2044">
        <v>50</v>
      </c>
      <c r="M83" s="1274">
        <v>53</v>
      </c>
      <c r="N83" s="1631">
        <v>10.33</v>
      </c>
      <c r="O83" s="2259"/>
      <c r="P83" s="2198">
        <v>43.33</v>
      </c>
      <c r="Q83" s="2161">
        <v>46.67</v>
      </c>
      <c r="R83" s="2161">
        <v>36.6</v>
      </c>
      <c r="S83" s="2162">
        <v>40</v>
      </c>
      <c r="T83" s="2938">
        <v>40</v>
      </c>
      <c r="U83" s="2161">
        <v>40</v>
      </c>
      <c r="V83" s="2161">
        <v>36.67</v>
      </c>
      <c r="W83" s="2935">
        <v>46.67</v>
      </c>
      <c r="X83" s="3107">
        <v>26.67</v>
      </c>
      <c r="Y83" s="2927">
        <v>33.33</v>
      </c>
      <c r="Z83" s="2927">
        <v>26.67</v>
      </c>
      <c r="AA83" s="2927">
        <v>25.67</v>
      </c>
      <c r="AB83" s="2927">
        <v>32</v>
      </c>
      <c r="AC83" s="2927"/>
      <c r="AD83" s="2927"/>
      <c r="AE83" s="2927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B83" s="50"/>
      <c r="BC83" s="50"/>
      <c r="BD83" s="50"/>
      <c r="BE83" s="83"/>
      <c r="BF83" s="83"/>
      <c r="BG83" s="83"/>
      <c r="BH83" s="83"/>
      <c r="BI83" s="83"/>
      <c r="BJ83" s="83"/>
      <c r="BK83" s="83"/>
      <c r="BL83" s="83"/>
      <c r="BM83" s="83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</row>
    <row r="84" spans="1:127" ht="15.75" thickBot="1">
      <c r="A84" s="1318" t="s">
        <v>49</v>
      </c>
      <c r="B84" s="1033"/>
      <c r="C84" s="1338" t="s">
        <v>60</v>
      </c>
      <c r="D84" s="1309">
        <v>36.67</v>
      </c>
      <c r="E84" s="1312">
        <v>25</v>
      </c>
      <c r="F84" s="1312">
        <v>27</v>
      </c>
      <c r="G84" s="1339">
        <v>20</v>
      </c>
      <c r="H84" s="1333">
        <v>35</v>
      </c>
      <c r="I84" s="1312">
        <v>30</v>
      </c>
      <c r="J84" s="1193">
        <v>23.33</v>
      </c>
      <c r="K84" s="1313">
        <v>26.67</v>
      </c>
      <c r="L84" s="2179">
        <v>36.67</v>
      </c>
      <c r="M84" s="1365">
        <v>30</v>
      </c>
      <c r="N84" s="1632">
        <v>9.73</v>
      </c>
      <c r="O84" s="2260"/>
      <c r="P84" s="2199">
        <v>43.33</v>
      </c>
      <c r="Q84" s="2165">
        <v>33.33</v>
      </c>
      <c r="R84" s="2165">
        <v>43.3</v>
      </c>
      <c r="S84" s="2166">
        <v>33.33</v>
      </c>
      <c r="T84" s="2939">
        <v>33.33</v>
      </c>
      <c r="U84" s="2165">
        <v>33.33</v>
      </c>
      <c r="V84" s="2165">
        <v>50</v>
      </c>
      <c r="W84" s="2936">
        <v>30</v>
      </c>
      <c r="X84" s="3141">
        <v>20</v>
      </c>
      <c r="Y84" s="2928">
        <v>20</v>
      </c>
      <c r="Z84" s="2927">
        <v>23.33</v>
      </c>
      <c r="AA84" s="2928">
        <v>22.33</v>
      </c>
      <c r="AB84" s="2928">
        <v>14.67</v>
      </c>
      <c r="AC84" s="2928"/>
      <c r="AD84" s="2928"/>
      <c r="AE84" s="2928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  <c r="DV84" s="61"/>
      <c r="DW84" s="61"/>
    </row>
    <row r="85" spans="1:127">
      <c r="A85" s="1029" t="s">
        <v>40</v>
      </c>
      <c r="B85" s="1330">
        <f>COUNTA(C85:C94)</f>
        <v>10</v>
      </c>
      <c r="C85" s="1334" t="s">
        <v>41</v>
      </c>
      <c r="D85" s="1292">
        <v>30</v>
      </c>
      <c r="E85" s="1295">
        <v>30</v>
      </c>
      <c r="F85" s="1295">
        <v>35</v>
      </c>
      <c r="G85" s="1335">
        <v>30</v>
      </c>
      <c r="H85" s="1331">
        <v>30</v>
      </c>
      <c r="I85" s="1295">
        <v>45</v>
      </c>
      <c r="J85" s="1185">
        <v>46.66</v>
      </c>
      <c r="K85" s="1296">
        <v>30</v>
      </c>
      <c r="L85" s="1361">
        <v>40</v>
      </c>
      <c r="M85" s="1269">
        <v>33</v>
      </c>
      <c r="N85" s="1432">
        <v>26.33</v>
      </c>
      <c r="O85" s="2261"/>
      <c r="P85" s="2306">
        <v>43.33</v>
      </c>
      <c r="Q85" s="2159">
        <v>66.67</v>
      </c>
      <c r="R85" s="2159">
        <v>43.33</v>
      </c>
      <c r="S85" s="2160">
        <v>38.299999999999997</v>
      </c>
      <c r="T85" s="2937">
        <v>46.6</v>
      </c>
      <c r="U85" s="2159">
        <v>36.67</v>
      </c>
      <c r="V85" s="2159">
        <v>30</v>
      </c>
      <c r="W85" s="2934">
        <v>33.33</v>
      </c>
      <c r="X85" s="3145">
        <v>20</v>
      </c>
      <c r="Y85" s="2926">
        <v>13.67</v>
      </c>
      <c r="Z85" s="2926">
        <v>26.67</v>
      </c>
      <c r="AA85" s="2926"/>
      <c r="AB85" s="2926">
        <v>14.33</v>
      </c>
      <c r="AC85" s="2926"/>
      <c r="AD85" s="2926"/>
      <c r="AE85" s="2926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  <c r="DV85" s="61"/>
      <c r="DW85" s="61"/>
    </row>
    <row r="86" spans="1:127">
      <c r="A86" s="1289" t="s">
        <v>40</v>
      </c>
      <c r="B86" s="1034"/>
      <c r="C86" s="1336" t="s">
        <v>48</v>
      </c>
      <c r="D86" s="1300">
        <v>25</v>
      </c>
      <c r="E86" s="1303">
        <v>30</v>
      </c>
      <c r="F86" s="1303">
        <v>37</v>
      </c>
      <c r="G86" s="1337">
        <v>33.299999999999997</v>
      </c>
      <c r="H86" s="1332">
        <v>40</v>
      </c>
      <c r="I86" s="1303">
        <v>45</v>
      </c>
      <c r="J86" s="1188">
        <v>43.33</v>
      </c>
      <c r="K86" s="1304">
        <v>30</v>
      </c>
      <c r="L86" s="1343">
        <v>47</v>
      </c>
      <c r="M86" s="1274">
        <v>40</v>
      </c>
      <c r="N86" s="1628">
        <v>53.33</v>
      </c>
      <c r="O86" s="2259"/>
      <c r="P86" s="2198">
        <v>70</v>
      </c>
      <c r="Q86" s="2161">
        <v>56.67</v>
      </c>
      <c r="R86" s="2161">
        <v>53.33</v>
      </c>
      <c r="S86" s="2162">
        <v>43.33</v>
      </c>
      <c r="T86" s="2938">
        <v>50</v>
      </c>
      <c r="U86" s="2161">
        <v>46.67</v>
      </c>
      <c r="V86" s="2161">
        <v>33.33</v>
      </c>
      <c r="W86" s="2935">
        <v>60</v>
      </c>
      <c r="X86" s="3107">
        <v>60</v>
      </c>
      <c r="Y86" s="2927">
        <v>52.67</v>
      </c>
      <c r="Z86" s="2927">
        <v>32.33</v>
      </c>
      <c r="AA86" s="2927"/>
      <c r="AB86" s="2927">
        <v>34.33</v>
      </c>
      <c r="AC86" s="2927"/>
      <c r="AD86" s="2927"/>
      <c r="AE86" s="2927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  <c r="DV86" s="61"/>
      <c r="DW86" s="61"/>
    </row>
    <row r="87" spans="1:127">
      <c r="A87" s="1289" t="s">
        <v>40</v>
      </c>
      <c r="B87" s="1034"/>
      <c r="C87" s="1299" t="s">
        <v>46</v>
      </c>
      <c r="D87" s="1300">
        <v>40</v>
      </c>
      <c r="E87" s="1303">
        <v>30</v>
      </c>
      <c r="F87" s="1303">
        <v>23</v>
      </c>
      <c r="G87" s="1337">
        <v>30</v>
      </c>
      <c r="H87" s="1332">
        <v>30</v>
      </c>
      <c r="I87" s="1303">
        <v>40</v>
      </c>
      <c r="J87" s="1188">
        <v>40</v>
      </c>
      <c r="K87" s="1304">
        <v>33</v>
      </c>
      <c r="L87" s="1343">
        <v>43</v>
      </c>
      <c r="M87" s="1274">
        <v>30</v>
      </c>
      <c r="N87" s="1628">
        <v>36.659999999999997</v>
      </c>
      <c r="O87" s="2259"/>
      <c r="P87" s="2198">
        <v>60</v>
      </c>
      <c r="Q87" s="2161">
        <v>60</v>
      </c>
      <c r="R87" s="2161">
        <v>40</v>
      </c>
      <c r="S87" s="2162">
        <v>56.66</v>
      </c>
      <c r="T87" s="2938">
        <v>46.6</v>
      </c>
      <c r="U87" s="2161">
        <v>46.67</v>
      </c>
      <c r="V87" s="2161">
        <v>33.33</v>
      </c>
      <c r="W87" s="2935">
        <v>63.33</v>
      </c>
      <c r="X87" s="3107">
        <v>26.67</v>
      </c>
      <c r="Y87" s="2927">
        <v>37.33</v>
      </c>
      <c r="Z87" s="2927">
        <v>30.33</v>
      </c>
      <c r="AA87" s="2927"/>
      <c r="AB87" s="2927">
        <v>28.67</v>
      </c>
      <c r="AC87" s="2927"/>
      <c r="AD87" s="2927"/>
      <c r="AE87" s="2927"/>
      <c r="AF87" s="61"/>
      <c r="AG87" s="61"/>
      <c r="AH87" s="61"/>
      <c r="AI87" s="61"/>
      <c r="AJ87" s="304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  <c r="DV87" s="61"/>
      <c r="DW87" s="61"/>
    </row>
    <row r="88" spans="1:127">
      <c r="A88" s="1289" t="s">
        <v>40</v>
      </c>
      <c r="B88" s="1034"/>
      <c r="C88" s="1336" t="s">
        <v>45</v>
      </c>
      <c r="D88" s="1300">
        <v>40</v>
      </c>
      <c r="E88" s="1303">
        <v>30</v>
      </c>
      <c r="F88" s="1303">
        <v>33</v>
      </c>
      <c r="G88" s="1337">
        <v>20</v>
      </c>
      <c r="H88" s="1332">
        <v>30</v>
      </c>
      <c r="I88" s="1303">
        <v>40</v>
      </c>
      <c r="J88" s="1188">
        <v>36.33</v>
      </c>
      <c r="K88" s="1304">
        <v>27</v>
      </c>
      <c r="L88" s="1343">
        <v>43</v>
      </c>
      <c r="M88" s="1274">
        <v>43</v>
      </c>
      <c r="N88" s="1628">
        <v>35</v>
      </c>
      <c r="O88" s="2259"/>
      <c r="P88" s="2198">
        <v>60</v>
      </c>
      <c r="Q88" s="2161">
        <v>43.33</v>
      </c>
      <c r="R88" s="2161">
        <v>50</v>
      </c>
      <c r="S88" s="2162">
        <v>60</v>
      </c>
      <c r="T88" s="2938">
        <v>63.3</v>
      </c>
      <c r="U88" s="2161">
        <v>63.33</v>
      </c>
      <c r="V88" s="2161">
        <v>60</v>
      </c>
      <c r="W88" s="2935">
        <v>76.67</v>
      </c>
      <c r="X88" s="3107">
        <v>33.33</v>
      </c>
      <c r="Y88" s="2927">
        <v>51.33</v>
      </c>
      <c r="Z88" s="2927">
        <v>38.67</v>
      </c>
      <c r="AA88" s="2927"/>
      <c r="AB88" s="2927">
        <v>22</v>
      </c>
      <c r="AC88" s="2927"/>
      <c r="AD88" s="2927"/>
      <c r="AE88" s="2927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  <c r="DV88" s="61"/>
      <c r="DW88" s="61"/>
    </row>
    <row r="89" spans="1:127">
      <c r="A89" s="1289" t="s">
        <v>40</v>
      </c>
      <c r="B89" s="1034"/>
      <c r="C89" s="1299" t="s">
        <v>55</v>
      </c>
      <c r="D89" s="1300">
        <v>30</v>
      </c>
      <c r="E89" s="1303">
        <v>30</v>
      </c>
      <c r="F89" s="1303">
        <v>30</v>
      </c>
      <c r="G89" s="1337">
        <v>30</v>
      </c>
      <c r="H89" s="1332">
        <v>30</v>
      </c>
      <c r="I89" s="1303">
        <v>35</v>
      </c>
      <c r="J89" s="1188">
        <v>36.659999999999997</v>
      </c>
      <c r="K89" s="1304">
        <v>23</v>
      </c>
      <c r="L89" s="1343">
        <v>37</v>
      </c>
      <c r="M89" s="1274">
        <v>30</v>
      </c>
      <c r="N89" s="1628">
        <v>36.659999999999997</v>
      </c>
      <c r="O89" s="2259"/>
      <c r="P89" s="2198">
        <v>57.67</v>
      </c>
      <c r="Q89" s="2161">
        <v>43.33</v>
      </c>
      <c r="R89" s="2161">
        <v>46.66</v>
      </c>
      <c r="S89" s="2162">
        <v>46.66</v>
      </c>
      <c r="T89" s="2938">
        <v>46.6</v>
      </c>
      <c r="U89" s="2161">
        <v>40</v>
      </c>
      <c r="V89" s="2161">
        <v>33.33</v>
      </c>
      <c r="W89" s="2935">
        <v>60</v>
      </c>
      <c r="X89" s="3107">
        <v>26.7</v>
      </c>
      <c r="Y89" s="2927">
        <v>25</v>
      </c>
      <c r="Z89" s="2927">
        <v>29</v>
      </c>
      <c r="AA89" s="2927"/>
      <c r="AB89" s="2927">
        <v>19.670000000000002</v>
      </c>
      <c r="AC89" s="2927"/>
      <c r="AD89" s="2927"/>
      <c r="AE89" s="2927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  <c r="DV89" s="61"/>
      <c r="DW89" s="61"/>
    </row>
    <row r="90" spans="1:127">
      <c r="A90" s="1289" t="s">
        <v>40</v>
      </c>
      <c r="B90" s="1034"/>
      <c r="C90" s="1299" t="s">
        <v>54</v>
      </c>
      <c r="D90" s="1300">
        <v>30</v>
      </c>
      <c r="E90" s="1303">
        <v>30</v>
      </c>
      <c r="F90" s="1303">
        <v>27</v>
      </c>
      <c r="G90" s="1337">
        <v>36.700000000000003</v>
      </c>
      <c r="H90" s="1332">
        <v>25</v>
      </c>
      <c r="I90" s="1303">
        <v>60</v>
      </c>
      <c r="J90" s="1188">
        <v>43.33</v>
      </c>
      <c r="K90" s="1304">
        <v>30</v>
      </c>
      <c r="L90" s="1343">
        <v>47</v>
      </c>
      <c r="M90" s="1274">
        <v>10.199999999999999</v>
      </c>
      <c r="N90" s="1628">
        <v>43.33</v>
      </c>
      <c r="O90" s="2259"/>
      <c r="P90" s="2198">
        <v>53.33</v>
      </c>
      <c r="Q90" s="2161">
        <v>50</v>
      </c>
      <c r="R90" s="2161">
        <v>43.33</v>
      </c>
      <c r="S90" s="2162">
        <v>50</v>
      </c>
      <c r="T90" s="2938">
        <v>66.599999999999994</v>
      </c>
      <c r="U90" s="2161">
        <v>56.67</v>
      </c>
      <c r="V90" s="2161">
        <v>46.67</v>
      </c>
      <c r="W90" s="2935">
        <v>63.33</v>
      </c>
      <c r="X90" s="3107">
        <v>33.33</v>
      </c>
      <c r="Y90" s="2927">
        <v>58</v>
      </c>
      <c r="Z90" s="2927">
        <v>43.33</v>
      </c>
      <c r="AA90" s="2927"/>
      <c r="AB90" s="2927">
        <v>27</v>
      </c>
      <c r="AC90" s="2927"/>
      <c r="AD90" s="2927"/>
      <c r="AE90" s="2927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  <c r="DV90" s="61"/>
      <c r="DW90" s="61"/>
    </row>
    <row r="91" spans="1:127">
      <c r="A91" s="1289" t="s">
        <v>40</v>
      </c>
      <c r="B91" s="1034"/>
      <c r="C91" s="1299" t="s">
        <v>56</v>
      </c>
      <c r="D91" s="1300">
        <v>35</v>
      </c>
      <c r="E91" s="1303">
        <v>23.3</v>
      </c>
      <c r="F91" s="1303">
        <v>30</v>
      </c>
      <c r="G91" s="1337">
        <v>30</v>
      </c>
      <c r="H91" s="1332">
        <v>20</v>
      </c>
      <c r="I91" s="1303">
        <v>40</v>
      </c>
      <c r="J91" s="1188">
        <v>36.33</v>
      </c>
      <c r="K91" s="1304">
        <v>33</v>
      </c>
      <c r="L91" s="1343">
        <v>40</v>
      </c>
      <c r="M91" s="1274">
        <v>40</v>
      </c>
      <c r="N91" s="1628">
        <v>43.33</v>
      </c>
      <c r="O91" s="2259"/>
      <c r="P91" s="2198">
        <v>60</v>
      </c>
      <c r="Q91" s="2161">
        <v>60</v>
      </c>
      <c r="R91" s="2161">
        <v>53.33</v>
      </c>
      <c r="S91" s="2162">
        <v>60</v>
      </c>
      <c r="T91" s="2938">
        <v>56.6</v>
      </c>
      <c r="U91" s="2161">
        <v>39.369999999999997</v>
      </c>
      <c r="V91" s="2161">
        <v>53.33</v>
      </c>
      <c r="W91" s="2935">
        <v>66.67</v>
      </c>
      <c r="X91" s="3107">
        <v>43.33</v>
      </c>
      <c r="Y91" s="2927">
        <v>30</v>
      </c>
      <c r="Z91" s="2927">
        <v>35.33</v>
      </c>
      <c r="AA91" s="2927"/>
      <c r="AB91" s="2927">
        <v>22</v>
      </c>
      <c r="AC91" s="2927"/>
      <c r="AD91" s="2927"/>
      <c r="AE91" s="2927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  <c r="DV91" s="61"/>
      <c r="DW91" s="61"/>
    </row>
    <row r="92" spans="1:127">
      <c r="A92" s="1289" t="s">
        <v>40</v>
      </c>
      <c r="B92" s="1034"/>
      <c r="C92" s="1299" t="s">
        <v>44</v>
      </c>
      <c r="D92" s="1300">
        <v>30</v>
      </c>
      <c r="E92" s="1303">
        <v>26.7</v>
      </c>
      <c r="F92" s="1303">
        <v>27</v>
      </c>
      <c r="G92" s="1337">
        <v>43.3</v>
      </c>
      <c r="H92" s="1332">
        <v>30</v>
      </c>
      <c r="I92" s="1303">
        <v>55</v>
      </c>
      <c r="J92" s="1188">
        <v>50</v>
      </c>
      <c r="K92" s="1304">
        <v>33</v>
      </c>
      <c r="L92" s="1343">
        <v>57</v>
      </c>
      <c r="M92" s="1274">
        <v>63</v>
      </c>
      <c r="N92" s="1628">
        <v>53.33</v>
      </c>
      <c r="O92" s="2269"/>
      <c r="P92" s="2198">
        <v>60</v>
      </c>
      <c r="Q92" s="2161">
        <v>63.33</v>
      </c>
      <c r="R92" s="2161">
        <v>50</v>
      </c>
      <c r="S92" s="2162">
        <v>46.66</v>
      </c>
      <c r="T92" s="2938">
        <v>43.3</v>
      </c>
      <c r="U92" s="2161">
        <v>53.33</v>
      </c>
      <c r="V92" s="2161">
        <v>56.67</v>
      </c>
      <c r="W92" s="2935">
        <v>83.33</v>
      </c>
      <c r="X92" s="3107">
        <v>23.33</v>
      </c>
      <c r="Y92" s="3021">
        <v>45</v>
      </c>
      <c r="Z92" s="3021">
        <v>45</v>
      </c>
      <c r="AA92" s="3152"/>
      <c r="AB92" s="3152">
        <v>33</v>
      </c>
      <c r="AC92" s="3152"/>
      <c r="AD92" s="3152"/>
      <c r="AE92" s="3152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  <c r="DV92" s="61"/>
      <c r="DW92" s="61"/>
    </row>
    <row r="93" spans="1:127">
      <c r="A93" s="1289" t="s">
        <v>40</v>
      </c>
      <c r="B93" s="1034"/>
      <c r="C93" s="1299" t="s">
        <v>51</v>
      </c>
      <c r="D93" s="1300">
        <v>35</v>
      </c>
      <c r="E93" s="1303">
        <v>26.7</v>
      </c>
      <c r="F93" s="1303">
        <v>23</v>
      </c>
      <c r="G93" s="1337">
        <v>33.299999999999997</v>
      </c>
      <c r="H93" s="1332">
        <v>40</v>
      </c>
      <c r="I93" s="1303">
        <v>35</v>
      </c>
      <c r="J93" s="1188">
        <v>50</v>
      </c>
      <c r="K93" s="1304">
        <v>27</v>
      </c>
      <c r="L93" s="1343">
        <v>40</v>
      </c>
      <c r="M93" s="1274">
        <v>30</v>
      </c>
      <c r="N93" s="1628">
        <v>36.659999999999997</v>
      </c>
      <c r="O93" s="2259"/>
      <c r="P93" s="2198">
        <v>50</v>
      </c>
      <c r="Q93" s="2161">
        <v>50</v>
      </c>
      <c r="R93" s="2161">
        <v>40</v>
      </c>
      <c r="S93" s="2162">
        <v>60</v>
      </c>
      <c r="T93" s="2938">
        <v>56.6</v>
      </c>
      <c r="U93" s="2161">
        <v>53.33</v>
      </c>
      <c r="V93" s="2161">
        <v>63.33</v>
      </c>
      <c r="W93" s="2935">
        <v>53.33</v>
      </c>
      <c r="X93" s="3107">
        <v>26.67</v>
      </c>
      <c r="Y93" s="2927">
        <v>23.33</v>
      </c>
      <c r="Z93" s="2927">
        <v>32.67</v>
      </c>
      <c r="AA93" s="2927"/>
      <c r="AB93" s="2927">
        <v>29.33</v>
      </c>
      <c r="AC93" s="2927"/>
      <c r="AD93" s="2927"/>
      <c r="AE93" s="2927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  <c r="DV93" s="61"/>
      <c r="DW93" s="61"/>
    </row>
    <row r="94" spans="1:127" ht="15.75" thickBot="1">
      <c r="A94" s="1318" t="s">
        <v>40</v>
      </c>
      <c r="B94" s="1035"/>
      <c r="C94" s="1308" t="s">
        <v>47</v>
      </c>
      <c r="D94" s="1309">
        <v>40</v>
      </c>
      <c r="E94" s="1312">
        <v>23.3</v>
      </c>
      <c r="F94" s="1312">
        <v>23</v>
      </c>
      <c r="G94" s="1339">
        <v>23.3</v>
      </c>
      <c r="H94" s="1333">
        <v>16.350000000000001</v>
      </c>
      <c r="I94" s="1312">
        <v>55</v>
      </c>
      <c r="J94" s="1193">
        <v>46.66</v>
      </c>
      <c r="K94" s="1313">
        <v>33</v>
      </c>
      <c r="L94" s="1364">
        <v>43</v>
      </c>
      <c r="M94" s="1365">
        <v>43</v>
      </c>
      <c r="N94" s="1633">
        <v>53.33</v>
      </c>
      <c r="O94" s="2260"/>
      <c r="P94" s="2199">
        <v>56.67</v>
      </c>
      <c r="Q94" s="2165">
        <v>46.67</v>
      </c>
      <c r="R94" s="2165">
        <v>43.33</v>
      </c>
      <c r="S94" s="2166">
        <v>53.33</v>
      </c>
      <c r="T94" s="2939">
        <v>40</v>
      </c>
      <c r="U94" s="2165">
        <v>53.33</v>
      </c>
      <c r="V94" s="2165">
        <v>50</v>
      </c>
      <c r="W94" s="2936">
        <v>50</v>
      </c>
      <c r="X94" s="3141">
        <v>63</v>
      </c>
      <c r="Y94" s="2928">
        <v>80</v>
      </c>
      <c r="Z94" s="2928">
        <v>57.33</v>
      </c>
      <c r="AA94" s="2928"/>
      <c r="AB94" s="2928">
        <v>21.67</v>
      </c>
      <c r="AC94" s="2928"/>
      <c r="AD94" s="2928"/>
      <c r="AE94" s="2928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  <c r="DV94" s="61"/>
      <c r="DW94" s="61"/>
    </row>
    <row r="95" spans="1:127">
      <c r="A95" s="114"/>
      <c r="B95" s="114">
        <f>SUM(B69:B94)</f>
        <v>26</v>
      </c>
      <c r="C95" s="775" t="s">
        <v>285</v>
      </c>
      <c r="D95" s="1025">
        <f>COUNTIF(D69:D94,"&lt;=50")</f>
        <v>25</v>
      </c>
      <c r="E95" s="1025">
        <f t="shared" ref="E95:S95" si="6">COUNTIF(E69:E94,"&lt;=50")</f>
        <v>26</v>
      </c>
      <c r="F95" s="1025">
        <f t="shared" si="6"/>
        <v>26</v>
      </c>
      <c r="G95" s="1025">
        <f t="shared" si="6"/>
        <v>26</v>
      </c>
      <c r="H95" s="1025">
        <f t="shared" si="6"/>
        <v>26</v>
      </c>
      <c r="I95" s="1025">
        <f t="shared" si="6"/>
        <v>22</v>
      </c>
      <c r="J95" s="1025">
        <f t="shared" si="6"/>
        <v>26</v>
      </c>
      <c r="K95" s="1025">
        <f t="shared" si="6"/>
        <v>26</v>
      </c>
      <c r="L95" s="1025">
        <f t="shared" si="6"/>
        <v>23</v>
      </c>
      <c r="M95" s="1025">
        <f t="shared" si="6"/>
        <v>23</v>
      </c>
      <c r="N95" s="1025">
        <f t="shared" si="6"/>
        <v>23</v>
      </c>
      <c r="O95" s="2262">
        <f t="shared" si="6"/>
        <v>0</v>
      </c>
      <c r="P95" s="1025">
        <f t="shared" si="6"/>
        <v>14</v>
      </c>
      <c r="Q95" s="1025">
        <f t="shared" si="6"/>
        <v>19</v>
      </c>
      <c r="R95" s="1025">
        <f t="shared" si="6"/>
        <v>23</v>
      </c>
      <c r="S95" s="1025">
        <f t="shared" si="6"/>
        <v>17</v>
      </c>
      <c r="T95" s="1025">
        <f t="shared" ref="T95:W95" si="7">COUNTIF(T69:T94,"&lt;=50")</f>
        <v>18</v>
      </c>
      <c r="U95" s="1025">
        <f t="shared" si="7"/>
        <v>18</v>
      </c>
      <c r="V95" s="1025">
        <f t="shared" si="7"/>
        <v>18</v>
      </c>
      <c r="W95" s="1025">
        <f t="shared" si="7"/>
        <v>14</v>
      </c>
      <c r="X95" s="1025">
        <f t="shared" ref="X95:Y95" si="8">COUNTIF(X69:X94,"&lt;=50")</f>
        <v>24</v>
      </c>
      <c r="Y95" s="1025">
        <f t="shared" si="8"/>
        <v>22</v>
      </c>
      <c r="Z95" s="1025">
        <f>COUNTIF(Z69:Z94,"&lt;=80")</f>
        <v>26</v>
      </c>
      <c r="AA95" s="1025">
        <f>COUNTIF(AA69:AA94,"&lt;=80")</f>
        <v>15</v>
      </c>
      <c r="AB95" s="1025">
        <f t="shared" ref="AB95:AE95" si="9">COUNTIF(AB69:AB94,"&lt;=80")</f>
        <v>26</v>
      </c>
      <c r="AC95" s="1025">
        <f t="shared" si="9"/>
        <v>0</v>
      </c>
      <c r="AD95" s="1025">
        <f t="shared" si="9"/>
        <v>0</v>
      </c>
      <c r="AE95" s="1025">
        <f t="shared" si="9"/>
        <v>0</v>
      </c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  <c r="DV95" s="61"/>
      <c r="DW95" s="61"/>
    </row>
    <row r="96" spans="1:127">
      <c r="A96" s="114"/>
      <c r="B96" s="114"/>
      <c r="C96" s="775" t="s">
        <v>287</v>
      </c>
      <c r="D96" s="1027">
        <f>COUNT(D69:D94)</f>
        <v>25</v>
      </c>
      <c r="E96" s="1027">
        <f t="shared" ref="E96:S96" si="10">COUNT(E69:E94)</f>
        <v>26</v>
      </c>
      <c r="F96" s="1027">
        <f t="shared" si="10"/>
        <v>26</v>
      </c>
      <c r="G96" s="1027">
        <f t="shared" si="10"/>
        <v>26</v>
      </c>
      <c r="H96" s="1027">
        <f t="shared" si="10"/>
        <v>26</v>
      </c>
      <c r="I96" s="1027">
        <f t="shared" si="10"/>
        <v>26</v>
      </c>
      <c r="J96" s="1027">
        <f t="shared" si="10"/>
        <v>26</v>
      </c>
      <c r="K96" s="1027">
        <f t="shared" si="10"/>
        <v>26</v>
      </c>
      <c r="L96" s="1027">
        <f t="shared" si="10"/>
        <v>25</v>
      </c>
      <c r="M96" s="1027">
        <f t="shared" si="10"/>
        <v>26</v>
      </c>
      <c r="N96" s="1027">
        <f t="shared" si="10"/>
        <v>26</v>
      </c>
      <c r="O96" s="2263">
        <f t="shared" si="10"/>
        <v>0</v>
      </c>
      <c r="P96" s="1027">
        <f t="shared" si="10"/>
        <v>26</v>
      </c>
      <c r="Q96" s="1027">
        <f t="shared" si="10"/>
        <v>25</v>
      </c>
      <c r="R96" s="1027">
        <f t="shared" si="10"/>
        <v>26</v>
      </c>
      <c r="S96" s="1027">
        <f t="shared" si="10"/>
        <v>26</v>
      </c>
      <c r="T96" s="1027">
        <f t="shared" ref="T96:W96" si="11">COUNT(T69:T94)</f>
        <v>26</v>
      </c>
      <c r="U96" s="1027">
        <f t="shared" si="11"/>
        <v>25</v>
      </c>
      <c r="V96" s="1027">
        <f t="shared" si="11"/>
        <v>26</v>
      </c>
      <c r="W96" s="1027">
        <f t="shared" si="11"/>
        <v>26</v>
      </c>
      <c r="X96" s="1027">
        <f t="shared" ref="X96:Y96" si="12">COUNT(X69:X94)</f>
        <v>26</v>
      </c>
      <c r="Y96" s="1027">
        <f t="shared" si="12"/>
        <v>26</v>
      </c>
      <c r="Z96" s="1027">
        <f t="shared" ref="Z96:AA96" si="13">COUNT(Z69:Z94)</f>
        <v>26</v>
      </c>
      <c r="AA96" s="1027">
        <f t="shared" si="13"/>
        <v>16</v>
      </c>
      <c r="AB96" s="1027">
        <f t="shared" ref="AB96:AE96" si="14">COUNT(AB69:AB94)</f>
        <v>26</v>
      </c>
      <c r="AC96" s="1027">
        <f t="shared" si="14"/>
        <v>0</v>
      </c>
      <c r="AD96" s="1027">
        <f t="shared" si="14"/>
        <v>0</v>
      </c>
      <c r="AE96" s="1027">
        <f t="shared" si="14"/>
        <v>0</v>
      </c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  <c r="DV96" s="61"/>
      <c r="DW96" s="61"/>
    </row>
    <row r="97" spans="1:127">
      <c r="A97" s="114"/>
      <c r="B97" s="114"/>
      <c r="C97" s="775" t="s">
        <v>286</v>
      </c>
      <c r="D97" s="1026">
        <f>D95/D96</f>
        <v>1</v>
      </c>
      <c r="E97" s="1026">
        <f t="shared" ref="E97:S97" si="15">E95/E96</f>
        <v>1</v>
      </c>
      <c r="F97" s="1026">
        <f t="shared" si="15"/>
        <v>1</v>
      </c>
      <c r="G97" s="1026">
        <f t="shared" si="15"/>
        <v>1</v>
      </c>
      <c r="H97" s="1026">
        <f t="shared" si="15"/>
        <v>1</v>
      </c>
      <c r="I97" s="1026">
        <f t="shared" si="15"/>
        <v>0.84615384615384615</v>
      </c>
      <c r="J97" s="1026">
        <f t="shared" si="15"/>
        <v>1</v>
      </c>
      <c r="K97" s="1026">
        <f t="shared" si="15"/>
        <v>1</v>
      </c>
      <c r="L97" s="1026">
        <f t="shared" si="15"/>
        <v>0.92</v>
      </c>
      <c r="M97" s="1026">
        <f t="shared" si="15"/>
        <v>0.88461538461538458</v>
      </c>
      <c r="N97" s="1026">
        <f t="shared" si="15"/>
        <v>0.88461538461538458</v>
      </c>
      <c r="O97" s="2264" t="e">
        <f t="shared" si="15"/>
        <v>#DIV/0!</v>
      </c>
      <c r="P97" s="1026">
        <f t="shared" si="15"/>
        <v>0.53846153846153844</v>
      </c>
      <c r="Q97" s="1026">
        <f t="shared" si="15"/>
        <v>0.76</v>
      </c>
      <c r="R97" s="1026">
        <f t="shared" si="15"/>
        <v>0.88461538461538458</v>
      </c>
      <c r="S97" s="1026">
        <f t="shared" si="15"/>
        <v>0.65384615384615385</v>
      </c>
      <c r="T97" s="1026">
        <f t="shared" ref="T97:W97" si="16">T95/T96</f>
        <v>0.69230769230769229</v>
      </c>
      <c r="U97" s="1026">
        <f t="shared" si="16"/>
        <v>0.72</v>
      </c>
      <c r="V97" s="1026">
        <f t="shared" si="16"/>
        <v>0.69230769230769229</v>
      </c>
      <c r="W97" s="1026">
        <f t="shared" si="16"/>
        <v>0.53846153846153844</v>
      </c>
      <c r="X97" s="1026">
        <f t="shared" ref="X97:Y97" si="17">X95/X96</f>
        <v>0.92307692307692313</v>
      </c>
      <c r="Y97" s="1026">
        <f t="shared" si="17"/>
        <v>0.84615384615384615</v>
      </c>
      <c r="Z97" s="1026">
        <f t="shared" ref="Z97:AA97" si="18">Z95/Z96</f>
        <v>1</v>
      </c>
      <c r="AA97" s="1026">
        <f t="shared" si="18"/>
        <v>0.9375</v>
      </c>
      <c r="AB97" s="1026">
        <f t="shared" ref="AB97:AE97" si="19">AB95/AB96</f>
        <v>1</v>
      </c>
      <c r="AC97" s="1026" t="e">
        <f t="shared" si="19"/>
        <v>#DIV/0!</v>
      </c>
      <c r="AD97" s="1026" t="e">
        <f t="shared" si="19"/>
        <v>#DIV/0!</v>
      </c>
      <c r="AE97" s="1026" t="e">
        <f t="shared" si="19"/>
        <v>#DIV/0!</v>
      </c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  <c r="DV97" s="61"/>
      <c r="DW97" s="61"/>
    </row>
    <row r="98" spans="1:127">
      <c r="A98" s="776"/>
      <c r="B98" s="1090"/>
      <c r="C98" s="1088" t="s">
        <v>296</v>
      </c>
      <c r="D98" s="1059">
        <f>COUNTA(C69:C94)</f>
        <v>26</v>
      </c>
      <c r="E98" s="1091"/>
      <c r="F98" s="1091"/>
      <c r="G98" s="1091"/>
      <c r="H98" s="1091"/>
      <c r="I98" s="1092"/>
      <c r="J98" s="1091"/>
      <c r="K98" s="1093"/>
      <c r="L98" s="776"/>
      <c r="M98" s="776"/>
      <c r="N98" s="776"/>
      <c r="O98" s="2265"/>
      <c r="P98" s="2242"/>
      <c r="Q98" s="776"/>
      <c r="R98" s="776"/>
      <c r="S98" s="776"/>
      <c r="T98" s="776"/>
      <c r="U98" s="776"/>
      <c r="V98" s="776"/>
      <c r="W98" s="776"/>
      <c r="X98" s="770"/>
      <c r="Y98" s="4"/>
      <c r="Z98" s="4"/>
      <c r="AA98" s="50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  <c r="DV98" s="61"/>
      <c r="DW98" s="61"/>
    </row>
    <row r="99" spans="1:127" ht="15" customHeight="1" thickBot="1">
      <c r="A99" s="776"/>
      <c r="B99" s="1090"/>
      <c r="C99" s="1088"/>
      <c r="D99" s="1059"/>
      <c r="E99" s="1091"/>
      <c r="F99" s="1091"/>
      <c r="G99" s="1091"/>
      <c r="H99" s="1091"/>
      <c r="I99" s="1092"/>
      <c r="J99" s="1091"/>
      <c r="K99" s="1093"/>
      <c r="L99" s="776"/>
      <c r="M99" s="776"/>
      <c r="N99" s="776"/>
      <c r="O99" s="2265"/>
      <c r="P99" s="2242"/>
      <c r="Q99" s="776"/>
      <c r="R99" s="776"/>
      <c r="S99" s="776"/>
      <c r="T99" s="776"/>
      <c r="U99" s="776"/>
      <c r="V99" s="776"/>
      <c r="W99" s="776"/>
      <c r="X99" s="770"/>
      <c r="Y99" s="4"/>
      <c r="Z99" s="4"/>
      <c r="AA99" s="50"/>
      <c r="AB99" s="156"/>
      <c r="AC99" s="156"/>
      <c r="AD99" s="156"/>
      <c r="AE99" s="13"/>
      <c r="AF99" s="61"/>
      <c r="AG99" s="61"/>
      <c r="AH99" s="61"/>
      <c r="AI99" s="61"/>
      <c r="AJ99" s="61"/>
      <c r="AK99" s="156"/>
      <c r="AL99" s="156"/>
      <c r="AM99" s="13"/>
      <c r="AN99" s="61"/>
      <c r="AO99" s="61"/>
      <c r="AP99" s="61"/>
      <c r="AQ99" s="61"/>
      <c r="AR99" s="61"/>
      <c r="AS99" s="61"/>
      <c r="AT99" s="150"/>
      <c r="AU99" s="150"/>
      <c r="AV99" s="150"/>
      <c r="AW99" s="13"/>
      <c r="AX99" s="61"/>
      <c r="AY99" s="61"/>
      <c r="AZ99" s="61"/>
      <c r="BA99" s="61"/>
      <c r="BB99" s="61"/>
      <c r="BC99" s="150"/>
      <c r="BD99" s="150"/>
      <c r="BE99" s="150"/>
      <c r="BF99" s="13"/>
      <c r="BG99" s="61"/>
      <c r="BH99" s="61"/>
      <c r="BI99" s="61"/>
      <c r="BJ99" s="61"/>
      <c r="BK99" s="61"/>
      <c r="BL99" s="150"/>
      <c r="BM99" s="150"/>
      <c r="BN99" s="150"/>
      <c r="BO99" s="13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  <c r="DV99" s="61"/>
      <c r="DW99" s="61"/>
    </row>
    <row r="100" spans="1:127" ht="15.75" thickBot="1">
      <c r="A100" s="1368" t="s">
        <v>300</v>
      </c>
      <c r="B100" s="1369"/>
      <c r="C100" s="542" t="s">
        <v>168</v>
      </c>
      <c r="D100" s="355">
        <v>50</v>
      </c>
      <c r="E100" s="355">
        <v>50</v>
      </c>
      <c r="F100" s="355">
        <v>50</v>
      </c>
      <c r="G100" s="543">
        <v>50</v>
      </c>
      <c r="H100" s="547">
        <v>50</v>
      </c>
      <c r="I100" s="355">
        <v>50</v>
      </c>
      <c r="J100" s="355">
        <v>50</v>
      </c>
      <c r="K100" s="2438">
        <v>50</v>
      </c>
      <c r="L100" s="547">
        <v>50</v>
      </c>
      <c r="M100" s="355">
        <v>50</v>
      </c>
      <c r="N100" s="355">
        <v>50</v>
      </c>
      <c r="O100" s="2276">
        <v>50</v>
      </c>
      <c r="P100" s="547">
        <v>50</v>
      </c>
      <c r="Q100" s="355">
        <v>50</v>
      </c>
      <c r="R100" s="355">
        <v>50</v>
      </c>
      <c r="S100" s="428">
        <v>50</v>
      </c>
      <c r="T100" s="2888">
        <v>50</v>
      </c>
      <c r="U100" s="274">
        <v>50</v>
      </c>
      <c r="V100" s="274">
        <v>50</v>
      </c>
      <c r="W100" s="2888">
        <v>50</v>
      </c>
      <c r="X100" s="2888">
        <v>50</v>
      </c>
      <c r="Y100" s="2888">
        <v>50</v>
      </c>
      <c r="Z100" s="2888">
        <v>80</v>
      </c>
      <c r="AA100" s="2888">
        <v>80</v>
      </c>
      <c r="AB100" s="2888">
        <v>80</v>
      </c>
      <c r="AC100" s="2888">
        <v>80</v>
      </c>
      <c r="AD100" s="2888">
        <v>80</v>
      </c>
      <c r="AE100" s="2888">
        <v>80</v>
      </c>
      <c r="AF100" s="61"/>
      <c r="AG100" s="61"/>
      <c r="AH100" s="61"/>
      <c r="AI100" s="61"/>
      <c r="AJ100" s="28"/>
      <c r="AK100" s="151"/>
      <c r="AL100" s="151"/>
      <c r="AM100" s="14"/>
      <c r="AN100" s="61"/>
      <c r="AO100" s="61"/>
      <c r="AP100" s="61"/>
      <c r="AQ100" s="61"/>
      <c r="AR100" s="61"/>
      <c r="AS100" s="28"/>
      <c r="AT100" s="151"/>
      <c r="AU100" s="151"/>
      <c r="AV100" s="151"/>
      <c r="AW100" s="14"/>
      <c r="AX100" s="61"/>
      <c r="AY100" s="61"/>
      <c r="AZ100" s="61"/>
      <c r="BA100" s="61"/>
      <c r="BB100" s="28"/>
      <c r="BC100" s="151"/>
      <c r="BD100" s="151"/>
      <c r="BE100" s="151"/>
      <c r="BF100" s="14"/>
      <c r="BG100" s="61"/>
      <c r="BH100" s="61"/>
      <c r="BI100" s="61"/>
      <c r="BJ100" s="61"/>
      <c r="BK100" s="28"/>
      <c r="BL100" s="151"/>
      <c r="BM100" s="151"/>
      <c r="BN100" s="151"/>
      <c r="BO100" s="14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  <c r="DV100" s="61"/>
      <c r="DW100" s="61"/>
    </row>
    <row r="101" spans="1:127">
      <c r="A101" s="1029" t="s">
        <v>67</v>
      </c>
      <c r="B101" s="1330">
        <f>COUNTA(C101:C106)</f>
        <v>6</v>
      </c>
      <c r="C101" s="1334" t="s">
        <v>190</v>
      </c>
      <c r="D101" s="1292">
        <v>13</v>
      </c>
      <c r="E101" s="1295">
        <v>1</v>
      </c>
      <c r="F101" s="1295">
        <v>23</v>
      </c>
      <c r="G101" s="1335">
        <v>32.5</v>
      </c>
      <c r="H101" s="2439">
        <v>7</v>
      </c>
      <c r="I101" s="1292">
        <v>8</v>
      </c>
      <c r="J101" s="1185">
        <v>22</v>
      </c>
      <c r="K101" s="1186">
        <v>17.86</v>
      </c>
      <c r="L101" s="1268">
        <v>10</v>
      </c>
      <c r="M101" s="1269">
        <v>11</v>
      </c>
      <c r="N101" s="2082">
        <v>40.67</v>
      </c>
      <c r="O101" s="2261">
        <v>10.67</v>
      </c>
      <c r="P101" s="3057">
        <v>6.33</v>
      </c>
      <c r="Q101" s="3059">
        <v>6.6</v>
      </c>
      <c r="R101" s="2306">
        <v>68</v>
      </c>
      <c r="S101" s="2930">
        <v>21</v>
      </c>
      <c r="T101" s="2250">
        <v>6</v>
      </c>
      <c r="U101" s="3020"/>
      <c r="V101" s="3020">
        <v>7.8</v>
      </c>
      <c r="W101" s="3020"/>
      <c r="X101" s="3145"/>
      <c r="Y101" s="2926"/>
      <c r="Z101" s="2926" t="s">
        <v>336</v>
      </c>
      <c r="AA101" s="2926"/>
      <c r="AB101" s="2926">
        <v>5</v>
      </c>
      <c r="AC101" s="2926"/>
      <c r="AD101" s="2926"/>
      <c r="AE101" s="2926"/>
      <c r="AF101" s="61"/>
      <c r="AG101" s="61"/>
      <c r="AH101" s="61"/>
      <c r="AI101" s="61"/>
      <c r="AJ101" s="61"/>
      <c r="AK101" s="153"/>
      <c r="AL101" s="153"/>
      <c r="AM101" s="14"/>
      <c r="AN101" s="61"/>
      <c r="AO101" s="61"/>
      <c r="AP101" s="61"/>
      <c r="AQ101" s="61"/>
      <c r="AR101" s="61"/>
      <c r="AS101" s="61"/>
      <c r="AT101" s="153"/>
      <c r="AU101" s="153"/>
      <c r="AV101" s="153"/>
      <c r="AW101" s="14"/>
      <c r="AX101" s="61"/>
      <c r="AY101" s="61"/>
      <c r="AZ101" s="61"/>
      <c r="BA101" s="61"/>
      <c r="BB101" s="61"/>
      <c r="BC101" s="153"/>
      <c r="BD101" s="153"/>
      <c r="BE101" s="153"/>
      <c r="BF101" s="14"/>
      <c r="BG101" s="61"/>
      <c r="BH101" s="61"/>
      <c r="BI101" s="61"/>
      <c r="BJ101" s="61"/>
      <c r="BK101" s="61"/>
      <c r="BL101" s="153"/>
      <c r="BM101" s="153"/>
      <c r="BN101" s="153"/>
      <c r="BO101" s="14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  <c r="DV101" s="61"/>
      <c r="DW101" s="61"/>
    </row>
    <row r="102" spans="1:127">
      <c r="A102" s="1289" t="s">
        <v>67</v>
      </c>
      <c r="B102" s="999"/>
      <c r="C102" s="1336" t="s">
        <v>269</v>
      </c>
      <c r="D102" s="1300"/>
      <c r="E102" s="1303"/>
      <c r="F102" s="1303"/>
      <c r="G102" s="1337"/>
      <c r="H102" s="2440"/>
      <c r="I102" s="1300"/>
      <c r="J102" s="1188"/>
      <c r="K102" s="1189"/>
      <c r="L102" s="1273">
        <v>4</v>
      </c>
      <c r="M102" s="1274">
        <v>4</v>
      </c>
      <c r="N102" s="2080">
        <v>22.33</v>
      </c>
      <c r="O102" s="2259">
        <v>9</v>
      </c>
      <c r="P102" s="2250">
        <v>3.67</v>
      </c>
      <c r="Q102" s="3060">
        <v>6</v>
      </c>
      <c r="R102" s="2198">
        <v>235.3</v>
      </c>
      <c r="S102" s="2931">
        <v>17</v>
      </c>
      <c r="T102" s="2250">
        <v>8.67</v>
      </c>
      <c r="U102" s="3021"/>
      <c r="V102" s="3021">
        <v>7.71</v>
      </c>
      <c r="W102" s="3021"/>
      <c r="X102" s="3107"/>
      <c r="Y102" s="2927"/>
      <c r="Z102" s="2927" t="s">
        <v>336</v>
      </c>
      <c r="AA102" s="2927"/>
      <c r="AB102" s="2927">
        <v>12</v>
      </c>
      <c r="AC102" s="2927"/>
      <c r="AD102" s="2927"/>
      <c r="AE102" s="2927"/>
      <c r="AF102" s="61"/>
      <c r="AG102" s="61"/>
      <c r="AH102" s="61"/>
      <c r="AI102" s="61"/>
      <c r="AJ102" s="61"/>
      <c r="AK102" s="153"/>
      <c r="AL102" s="153"/>
      <c r="AM102" s="14"/>
      <c r="AN102" s="61"/>
      <c r="AO102" s="61"/>
      <c r="AP102" s="61"/>
      <c r="AQ102" s="61"/>
      <c r="AR102" s="61"/>
      <c r="AS102" s="61"/>
      <c r="AT102" s="153"/>
      <c r="AU102" s="153"/>
      <c r="AV102" s="153"/>
      <c r="AW102" s="14"/>
      <c r="AX102" s="61"/>
      <c r="AY102" s="61"/>
      <c r="AZ102" s="61"/>
      <c r="BA102" s="61"/>
      <c r="BB102" s="61"/>
      <c r="BC102" s="153"/>
      <c r="BD102" s="153"/>
      <c r="BE102" s="153"/>
      <c r="BF102" s="14"/>
      <c r="BG102" s="61"/>
      <c r="BH102" s="61"/>
      <c r="BI102" s="61"/>
      <c r="BJ102" s="61"/>
      <c r="BK102" s="61"/>
      <c r="BL102" s="153"/>
      <c r="BM102" s="153"/>
      <c r="BN102" s="153"/>
      <c r="BO102" s="14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  <c r="DV102" s="61"/>
      <c r="DW102" s="61"/>
    </row>
    <row r="103" spans="1:127">
      <c r="A103" s="1289" t="s">
        <v>67</v>
      </c>
      <c r="B103" s="999"/>
      <c r="C103" s="1336" t="s">
        <v>267</v>
      </c>
      <c r="D103" s="1300"/>
      <c r="E103" s="1303"/>
      <c r="F103" s="1303"/>
      <c r="G103" s="1337"/>
      <c r="H103" s="2440"/>
      <c r="I103" s="1300"/>
      <c r="J103" s="1188"/>
      <c r="K103" s="1189"/>
      <c r="L103" s="1273">
        <v>5.66</v>
      </c>
      <c r="M103" s="1274">
        <v>4</v>
      </c>
      <c r="N103" s="2080">
        <v>25.33</v>
      </c>
      <c r="O103" s="2259">
        <v>10</v>
      </c>
      <c r="P103" s="2250">
        <v>8.67</v>
      </c>
      <c r="Q103" s="3060">
        <v>6.5</v>
      </c>
      <c r="R103" s="2198">
        <v>54</v>
      </c>
      <c r="S103" s="2931">
        <v>35</v>
      </c>
      <c r="T103" s="2250">
        <v>31.33</v>
      </c>
      <c r="U103" s="3021"/>
      <c r="V103" s="3021">
        <v>8</v>
      </c>
      <c r="W103" s="3021"/>
      <c r="X103" s="3107"/>
      <c r="Y103" s="2927"/>
      <c r="Z103" s="2927" t="s">
        <v>336</v>
      </c>
      <c r="AA103" s="2927"/>
      <c r="AB103" s="2927">
        <v>34</v>
      </c>
      <c r="AC103" s="2927"/>
      <c r="AD103" s="2927"/>
      <c r="AE103" s="2927"/>
      <c r="AF103" s="61"/>
      <c r="AG103" s="61"/>
      <c r="AH103" s="61"/>
      <c r="AI103" s="61"/>
      <c r="AJ103" s="61"/>
      <c r="AK103" s="153"/>
      <c r="AL103" s="153"/>
      <c r="AM103" s="14"/>
      <c r="AN103" s="61"/>
      <c r="AO103" s="61"/>
      <c r="AP103" s="61"/>
      <c r="AQ103" s="61"/>
      <c r="AR103" s="61"/>
      <c r="AS103" s="61"/>
      <c r="AT103" s="153"/>
      <c r="AU103" s="153"/>
      <c r="AV103" s="153"/>
      <c r="AW103" s="14"/>
      <c r="AX103" s="61"/>
      <c r="AY103" s="61"/>
      <c r="AZ103" s="61"/>
      <c r="BA103" s="61"/>
      <c r="BB103" s="61"/>
      <c r="BC103" s="153"/>
      <c r="BD103" s="153"/>
      <c r="BE103" s="153"/>
      <c r="BF103" s="14"/>
      <c r="BG103" s="61"/>
      <c r="BH103" s="61"/>
      <c r="BI103" s="61"/>
      <c r="BJ103" s="61"/>
      <c r="BK103" s="61"/>
      <c r="BL103" s="153"/>
      <c r="BM103" s="153"/>
      <c r="BN103" s="153"/>
      <c r="BO103" s="14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  <c r="DV103" s="61"/>
      <c r="DW103" s="61"/>
    </row>
    <row r="104" spans="1:127">
      <c r="A104" s="1289" t="s">
        <v>67</v>
      </c>
      <c r="B104" s="2163"/>
      <c r="C104" s="1336" t="s">
        <v>77</v>
      </c>
      <c r="D104" s="1300">
        <v>11</v>
      </c>
      <c r="E104" s="1303">
        <v>12</v>
      </c>
      <c r="F104" s="1303">
        <v>13</v>
      </c>
      <c r="G104" s="1337">
        <v>27</v>
      </c>
      <c r="H104" s="2440">
        <v>7</v>
      </c>
      <c r="I104" s="1300">
        <v>13</v>
      </c>
      <c r="J104" s="1188">
        <v>16</v>
      </c>
      <c r="K104" s="1189">
        <v>22.71</v>
      </c>
      <c r="L104" s="1273">
        <v>6.67</v>
      </c>
      <c r="M104" s="1274">
        <v>6</v>
      </c>
      <c r="N104" s="2080">
        <v>52</v>
      </c>
      <c r="O104" s="2259">
        <v>20.67</v>
      </c>
      <c r="P104" s="2250">
        <v>10.33</v>
      </c>
      <c r="Q104" s="3060">
        <v>12</v>
      </c>
      <c r="R104" s="2198">
        <v>60.6</v>
      </c>
      <c r="S104" s="2931">
        <v>30.6</v>
      </c>
      <c r="T104" s="2250">
        <v>13.33</v>
      </c>
      <c r="U104" s="3021"/>
      <c r="V104" s="3021">
        <v>8</v>
      </c>
      <c r="W104" s="3021"/>
      <c r="X104" s="3107"/>
      <c r="Y104" s="2927"/>
      <c r="Z104" s="2927" t="s">
        <v>336</v>
      </c>
      <c r="AA104" s="2927"/>
      <c r="AB104" s="2927">
        <v>9</v>
      </c>
      <c r="AC104" s="2927"/>
      <c r="AD104" s="2927"/>
      <c r="AE104" s="2927"/>
      <c r="AF104" s="61"/>
      <c r="AG104" s="61"/>
      <c r="AH104" s="61"/>
      <c r="AI104" s="61"/>
      <c r="AJ104" s="61"/>
      <c r="AK104" s="153"/>
      <c r="AL104" s="153"/>
      <c r="AM104" s="14"/>
      <c r="AN104" s="61"/>
      <c r="AO104" s="61"/>
      <c r="AP104" s="61"/>
      <c r="AQ104" s="61"/>
      <c r="AR104" s="61"/>
      <c r="AS104" s="61"/>
      <c r="AT104" s="153"/>
      <c r="AU104" s="153"/>
      <c r="AV104" s="153"/>
      <c r="AW104" s="14"/>
      <c r="AX104" s="61"/>
      <c r="AY104" s="61"/>
      <c r="AZ104" s="61"/>
      <c r="BA104" s="61"/>
      <c r="BB104" s="61"/>
      <c r="BC104" s="153"/>
      <c r="BD104" s="153"/>
      <c r="BE104" s="153"/>
      <c r="BF104" s="14"/>
      <c r="BG104" s="61"/>
      <c r="BH104" s="61"/>
      <c r="BI104" s="61"/>
      <c r="BJ104" s="61"/>
      <c r="BK104" s="61"/>
      <c r="BL104" s="153"/>
      <c r="BM104" s="153"/>
      <c r="BN104" s="153"/>
      <c r="BO104" s="14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  <c r="DV104" s="61"/>
      <c r="DW104" s="61"/>
    </row>
    <row r="105" spans="1:127">
      <c r="A105" s="1289" t="s">
        <v>67</v>
      </c>
      <c r="B105" s="2163"/>
      <c r="C105" s="1336" t="s">
        <v>268</v>
      </c>
      <c r="D105" s="1300"/>
      <c r="E105" s="1303"/>
      <c r="F105" s="1303"/>
      <c r="G105" s="1337"/>
      <c r="H105" s="2440"/>
      <c r="I105" s="1300"/>
      <c r="J105" s="1188"/>
      <c r="K105" s="1189"/>
      <c r="L105" s="1273">
        <v>13.3</v>
      </c>
      <c r="M105" s="1274">
        <v>6</v>
      </c>
      <c r="N105" s="2080">
        <v>14.33</v>
      </c>
      <c r="O105" s="2259">
        <v>9.67</v>
      </c>
      <c r="P105" s="2250">
        <v>10.33</v>
      </c>
      <c r="Q105" s="3060">
        <v>7.5</v>
      </c>
      <c r="R105" s="2198">
        <v>275</v>
      </c>
      <c r="S105" s="2931">
        <v>14</v>
      </c>
      <c r="T105" s="2250">
        <v>5.67</v>
      </c>
      <c r="U105" s="3021"/>
      <c r="V105" s="3021">
        <v>5</v>
      </c>
      <c r="W105" s="3021"/>
      <c r="X105" s="3107"/>
      <c r="Y105" s="2927"/>
      <c r="Z105" s="2927" t="s">
        <v>336</v>
      </c>
      <c r="AA105" s="2927"/>
      <c r="AB105" s="2927">
        <v>6</v>
      </c>
      <c r="AC105" s="2927"/>
      <c r="AD105" s="2927"/>
      <c r="AE105" s="2927"/>
      <c r="AF105" s="61"/>
      <c r="AG105" s="61"/>
      <c r="AH105" s="61"/>
      <c r="AI105" s="61"/>
      <c r="AJ105" s="61"/>
      <c r="AK105" s="159"/>
      <c r="AL105" s="158"/>
      <c r="AM105" s="14"/>
      <c r="AN105" s="61"/>
      <c r="AO105" s="61"/>
      <c r="AP105" s="61"/>
      <c r="AQ105" s="61"/>
      <c r="AR105" s="61"/>
      <c r="AS105" s="61"/>
      <c r="AT105" s="158"/>
      <c r="AU105" s="158"/>
      <c r="AV105" s="158"/>
      <c r="AW105" s="14"/>
      <c r="AX105" s="61"/>
      <c r="AY105" s="61"/>
      <c r="AZ105" s="61"/>
      <c r="BA105" s="61"/>
      <c r="BB105" s="61"/>
      <c r="BC105" s="158"/>
      <c r="BD105" s="158"/>
      <c r="BE105" s="158"/>
      <c r="BF105" s="14"/>
      <c r="BG105" s="61"/>
      <c r="BH105" s="61"/>
      <c r="BI105" s="61"/>
      <c r="BJ105" s="61"/>
      <c r="BK105" s="61"/>
      <c r="BL105" s="158"/>
      <c r="BM105" s="158"/>
      <c r="BN105" s="158"/>
      <c r="BO105" s="14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  <c r="DV105" s="61"/>
      <c r="DW105" s="61"/>
    </row>
    <row r="106" spans="1:127" ht="15.75" thickBot="1">
      <c r="A106" s="1318" t="s">
        <v>67</v>
      </c>
      <c r="B106" s="2164"/>
      <c r="C106" s="1338" t="s">
        <v>191</v>
      </c>
      <c r="D106" s="1309">
        <v>7</v>
      </c>
      <c r="E106" s="1312">
        <v>25</v>
      </c>
      <c r="F106" s="1312">
        <v>25</v>
      </c>
      <c r="G106" s="1339">
        <v>36.5</v>
      </c>
      <c r="H106" s="2441">
        <v>24</v>
      </c>
      <c r="I106" s="1309">
        <v>10</v>
      </c>
      <c r="J106" s="1193">
        <v>28</v>
      </c>
      <c r="K106" s="1194">
        <v>26.86</v>
      </c>
      <c r="L106" s="1613">
        <v>7.33</v>
      </c>
      <c r="M106" s="1365">
        <v>3</v>
      </c>
      <c r="N106" s="2081">
        <v>54.67</v>
      </c>
      <c r="O106" s="2260">
        <v>27.67</v>
      </c>
      <c r="P106" s="3058">
        <v>5.33</v>
      </c>
      <c r="Q106" s="2929">
        <v>16.5</v>
      </c>
      <c r="R106" s="2199">
        <v>90.6</v>
      </c>
      <c r="S106" s="2932">
        <v>30.6</v>
      </c>
      <c r="T106" s="2250">
        <v>6</v>
      </c>
      <c r="U106" s="3021"/>
      <c r="V106" s="3024">
        <v>7</v>
      </c>
      <c r="W106" s="3021"/>
      <c r="X106" s="3141"/>
      <c r="Y106" s="2928"/>
      <c r="Z106" s="2927" t="s">
        <v>336</v>
      </c>
      <c r="AA106" s="2928"/>
      <c r="AB106" s="2928">
        <v>5</v>
      </c>
      <c r="AC106" s="2928"/>
      <c r="AD106" s="2928"/>
      <c r="AE106" s="2928"/>
      <c r="AF106" s="61"/>
      <c r="AG106" s="61"/>
      <c r="AH106" s="61"/>
      <c r="AI106" s="61"/>
      <c r="AJ106" s="61"/>
      <c r="AK106" s="155"/>
      <c r="AL106" s="155"/>
      <c r="AM106" s="14"/>
      <c r="AN106" s="61"/>
      <c r="AO106" s="61"/>
      <c r="AP106" s="61"/>
      <c r="AQ106" s="61"/>
      <c r="AR106" s="61"/>
      <c r="AS106" s="61"/>
      <c r="AT106" s="155"/>
      <c r="AU106" s="155"/>
      <c r="AV106" s="155"/>
      <c r="AW106" s="14"/>
      <c r="AX106" s="61"/>
      <c r="AY106" s="61"/>
      <c r="AZ106" s="61"/>
      <c r="BA106" s="61"/>
      <c r="BB106" s="61"/>
      <c r="BC106" s="155"/>
      <c r="BD106" s="155"/>
      <c r="BE106" s="155"/>
      <c r="BF106" s="14"/>
      <c r="BG106" s="61"/>
      <c r="BH106" s="61"/>
      <c r="BI106" s="61"/>
      <c r="BJ106" s="61"/>
      <c r="BK106" s="61"/>
      <c r="BL106" s="155"/>
      <c r="BM106" s="155"/>
      <c r="BN106" s="155"/>
      <c r="BO106" s="14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  <c r="DV106" s="61"/>
      <c r="DW106" s="61"/>
    </row>
    <row r="107" spans="1:127">
      <c r="A107" s="1029" t="s">
        <v>186</v>
      </c>
      <c r="B107" s="1330">
        <f>COUNTA(C107:C114)</f>
        <v>8</v>
      </c>
      <c r="C107" s="1334" t="s">
        <v>265</v>
      </c>
      <c r="D107" s="1616"/>
      <c r="E107" s="1616"/>
      <c r="F107" s="1616"/>
      <c r="G107" s="1617"/>
      <c r="H107" s="2467"/>
      <c r="I107" s="1616"/>
      <c r="J107" s="1616"/>
      <c r="K107" s="1617"/>
      <c r="L107" s="1268">
        <v>14.33</v>
      </c>
      <c r="M107" s="1269">
        <v>4</v>
      </c>
      <c r="N107" s="2082">
        <v>26</v>
      </c>
      <c r="O107" s="2261">
        <v>20.329999999999998</v>
      </c>
      <c r="P107" s="3061">
        <v>2.67</v>
      </c>
      <c r="Q107" s="3059"/>
      <c r="R107" s="2306">
        <v>8.3000000000000007</v>
      </c>
      <c r="S107" s="2930">
        <v>11</v>
      </c>
      <c r="T107" s="3026">
        <v>7</v>
      </c>
      <c r="U107" s="3020"/>
      <c r="V107" s="3020">
        <v>31</v>
      </c>
      <c r="W107" s="3021"/>
      <c r="X107" s="3145">
        <v>3</v>
      </c>
      <c r="Y107" s="2926">
        <v>28</v>
      </c>
      <c r="Z107" s="3336" t="s">
        <v>336</v>
      </c>
      <c r="AA107" s="2926">
        <v>15.5</v>
      </c>
      <c r="AB107" s="2926">
        <v>16</v>
      </c>
      <c r="AC107" s="2926"/>
      <c r="AD107" s="2926"/>
      <c r="AE107" s="2926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  <c r="DV107" s="61"/>
      <c r="DW107" s="61"/>
    </row>
    <row r="108" spans="1:127">
      <c r="A108" s="1289" t="s">
        <v>186</v>
      </c>
      <c r="B108" s="999"/>
      <c r="C108" s="2167" t="s">
        <v>79</v>
      </c>
      <c r="D108" s="1300">
        <v>2</v>
      </c>
      <c r="E108" s="1303">
        <v>13</v>
      </c>
      <c r="F108" s="1303">
        <v>13</v>
      </c>
      <c r="G108" s="1337">
        <v>99.5</v>
      </c>
      <c r="H108" s="2440">
        <v>7</v>
      </c>
      <c r="I108" s="1300">
        <v>6</v>
      </c>
      <c r="J108" s="1188">
        <v>10</v>
      </c>
      <c r="K108" s="1189">
        <v>22.66</v>
      </c>
      <c r="L108" s="1273">
        <v>5.66</v>
      </c>
      <c r="M108" s="1274">
        <v>19.5</v>
      </c>
      <c r="N108" s="2080">
        <v>224</v>
      </c>
      <c r="O108" s="2259">
        <v>25</v>
      </c>
      <c r="P108" s="97">
        <v>8.33</v>
      </c>
      <c r="Q108" s="3060"/>
      <c r="R108" s="2198">
        <v>23.3</v>
      </c>
      <c r="S108" s="2931">
        <v>22.66</v>
      </c>
      <c r="T108" s="3027">
        <v>30.33</v>
      </c>
      <c r="U108" s="3021"/>
      <c r="V108" s="3021">
        <v>884</v>
      </c>
      <c r="W108" s="3021"/>
      <c r="X108" s="3107">
        <v>7</v>
      </c>
      <c r="Y108" s="2927">
        <v>13</v>
      </c>
      <c r="Z108" s="3268" t="s">
        <v>336</v>
      </c>
      <c r="AA108" s="2927">
        <v>10</v>
      </c>
      <c r="AB108" s="2927">
        <v>9</v>
      </c>
      <c r="AC108" s="2927"/>
      <c r="AD108" s="2927"/>
      <c r="AE108" s="2927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/>
      <c r="CL108" s="61"/>
      <c r="CM108" s="61"/>
      <c r="CN108" s="61"/>
      <c r="CO108" s="61"/>
      <c r="CP108" s="61"/>
      <c r="CQ108" s="61"/>
      <c r="CR108" s="61"/>
      <c r="CS108" s="61"/>
      <c r="CT108" s="61"/>
      <c r="CU108" s="61"/>
      <c r="CV108" s="61"/>
      <c r="CW108" s="61"/>
      <c r="CX108" s="61"/>
      <c r="CY108" s="61"/>
      <c r="CZ108" s="61"/>
      <c r="DA108" s="61"/>
      <c r="DB108" s="61"/>
      <c r="DC108" s="61"/>
      <c r="DD108" s="61"/>
      <c r="DE108" s="61"/>
      <c r="DF108" s="61"/>
      <c r="DG108" s="61"/>
      <c r="DH108" s="61"/>
      <c r="DI108" s="61"/>
      <c r="DJ108" s="61"/>
      <c r="DK108" s="61"/>
      <c r="DL108" s="61"/>
      <c r="DM108" s="61"/>
      <c r="DN108" s="61"/>
      <c r="DO108" s="61"/>
      <c r="DP108" s="61"/>
      <c r="DQ108" s="61"/>
      <c r="DR108" s="61"/>
      <c r="DS108" s="61"/>
      <c r="DT108" s="61"/>
      <c r="DU108" s="61"/>
      <c r="DV108" s="61"/>
      <c r="DW108" s="61"/>
    </row>
    <row r="109" spans="1:127" s="4" customFormat="1">
      <c r="A109" s="1289" t="s">
        <v>186</v>
      </c>
      <c r="B109" s="2163"/>
      <c r="C109" s="1336" t="s">
        <v>188</v>
      </c>
      <c r="D109" s="1300">
        <v>8</v>
      </c>
      <c r="E109" s="1303">
        <v>2</v>
      </c>
      <c r="F109" s="1303">
        <v>28</v>
      </c>
      <c r="G109" s="1337">
        <v>112.5</v>
      </c>
      <c r="H109" s="2440">
        <v>5</v>
      </c>
      <c r="I109" s="1300">
        <v>2.5</v>
      </c>
      <c r="J109" s="1188">
        <v>23</v>
      </c>
      <c r="K109" s="1189">
        <v>3.33</v>
      </c>
      <c r="L109" s="1273">
        <v>8.66</v>
      </c>
      <c r="M109" s="1274">
        <v>49.5</v>
      </c>
      <c r="N109" s="2080">
        <v>43</v>
      </c>
      <c r="O109" s="2259">
        <v>43.33</v>
      </c>
      <c r="P109" s="97">
        <v>13.33</v>
      </c>
      <c r="Q109" s="3060"/>
      <c r="R109" s="2198">
        <v>21.3</v>
      </c>
      <c r="S109" s="2931">
        <v>20.7</v>
      </c>
      <c r="T109" s="3027">
        <v>17.670000000000002</v>
      </c>
      <c r="U109" s="3021"/>
      <c r="V109" s="3021">
        <v>116</v>
      </c>
      <c r="W109" s="3021"/>
      <c r="X109" s="3107">
        <v>4</v>
      </c>
      <c r="Y109" s="2927">
        <v>120</v>
      </c>
      <c r="Z109" s="3268" t="s">
        <v>336</v>
      </c>
      <c r="AA109" s="2927">
        <v>62</v>
      </c>
      <c r="AB109" s="2927">
        <v>7</v>
      </c>
      <c r="AC109" s="2927"/>
      <c r="AD109" s="2927"/>
      <c r="AE109" s="2927"/>
      <c r="BB109" s="83"/>
      <c r="BC109" s="83"/>
      <c r="BD109" s="83"/>
      <c r="BE109" s="83"/>
      <c r="BF109" s="83"/>
      <c r="BG109" s="83"/>
      <c r="BH109" s="83"/>
      <c r="BI109" s="83"/>
      <c r="BJ109" s="83"/>
      <c r="BK109" s="83"/>
      <c r="BL109" s="83"/>
      <c r="BM109" s="83"/>
      <c r="BN109" s="83"/>
      <c r="BO109" s="83"/>
      <c r="BP109" s="83"/>
      <c r="BQ109" s="83"/>
      <c r="BR109" s="83"/>
      <c r="BS109" s="83"/>
      <c r="BT109" s="83"/>
      <c r="BU109" s="83"/>
      <c r="BV109" s="83"/>
      <c r="CE109" s="83"/>
      <c r="CF109" s="83"/>
      <c r="CG109" s="83"/>
      <c r="CH109" s="83"/>
      <c r="CI109" s="83"/>
      <c r="CJ109" s="83"/>
      <c r="CK109" s="83"/>
      <c r="CL109" s="83"/>
      <c r="CM109" s="83"/>
      <c r="CN109" s="83"/>
      <c r="CO109" s="83"/>
      <c r="CP109" s="83"/>
      <c r="CQ109" s="83"/>
      <c r="CR109" s="83"/>
      <c r="CS109" s="83"/>
      <c r="CT109" s="83"/>
      <c r="CU109" s="83"/>
      <c r="CV109" s="83"/>
      <c r="CW109" s="83"/>
      <c r="CX109" s="83"/>
      <c r="CY109" s="83"/>
      <c r="CZ109" s="83"/>
      <c r="DA109" s="83"/>
    </row>
    <row r="110" spans="1:127" s="4" customFormat="1">
      <c r="A110" s="1289" t="s">
        <v>186</v>
      </c>
      <c r="B110" s="2163"/>
      <c r="C110" s="1336" t="s">
        <v>72</v>
      </c>
      <c r="D110" s="1300">
        <v>12</v>
      </c>
      <c r="E110" s="1303">
        <v>26</v>
      </c>
      <c r="F110" s="1303">
        <v>16</v>
      </c>
      <c r="G110" s="1337">
        <v>41.5</v>
      </c>
      <c r="H110" s="2440">
        <v>9</v>
      </c>
      <c r="I110" s="1300">
        <v>12</v>
      </c>
      <c r="J110" s="1188">
        <v>3</v>
      </c>
      <c r="K110" s="1189">
        <v>8.66</v>
      </c>
      <c r="L110" s="1273">
        <v>11</v>
      </c>
      <c r="M110" s="1274">
        <v>31</v>
      </c>
      <c r="N110" s="2080">
        <v>28.33</v>
      </c>
      <c r="O110" s="2259">
        <v>16.670000000000002</v>
      </c>
      <c r="P110" s="97">
        <v>14.33</v>
      </c>
      <c r="Q110" s="3060"/>
      <c r="R110" s="2198">
        <v>7.6</v>
      </c>
      <c r="S110" s="2931">
        <v>23.6</v>
      </c>
      <c r="T110" s="3027">
        <v>13</v>
      </c>
      <c r="U110" s="3021"/>
      <c r="V110" s="3021">
        <v>28</v>
      </c>
      <c r="W110" s="3021"/>
      <c r="X110" s="3107">
        <v>3</v>
      </c>
      <c r="Y110" s="2927">
        <v>25</v>
      </c>
      <c r="Z110" s="3268" t="s">
        <v>336</v>
      </c>
      <c r="AA110" s="2927">
        <v>14</v>
      </c>
      <c r="AB110" s="2927">
        <v>8</v>
      </c>
      <c r="AC110" s="2927"/>
      <c r="AD110" s="2927"/>
      <c r="AE110" s="2927"/>
      <c r="BB110" s="83"/>
      <c r="BC110" s="83"/>
      <c r="BD110" s="83"/>
      <c r="BE110" s="83"/>
      <c r="BF110" s="83"/>
      <c r="BG110" s="83"/>
      <c r="BH110" s="83"/>
      <c r="BI110" s="83"/>
      <c r="BJ110" s="83"/>
      <c r="BK110" s="83"/>
      <c r="BL110" s="83"/>
      <c r="BM110" s="83"/>
      <c r="BN110" s="83"/>
      <c r="BO110" s="83"/>
      <c r="BP110" s="83"/>
      <c r="BQ110" s="83"/>
      <c r="BR110" s="83"/>
      <c r="BS110" s="83"/>
      <c r="BT110" s="83"/>
      <c r="BU110" s="83"/>
      <c r="BV110" s="83"/>
      <c r="CE110" s="83"/>
      <c r="CF110" s="83"/>
      <c r="CG110" s="83"/>
      <c r="CH110" s="83"/>
      <c r="CI110" s="83"/>
      <c r="CJ110" s="83"/>
      <c r="CK110" s="83"/>
      <c r="CL110" s="83"/>
      <c r="CM110" s="83"/>
      <c r="CN110" s="83"/>
      <c r="CO110" s="83"/>
      <c r="CP110" s="83"/>
      <c r="CQ110" s="83"/>
      <c r="CR110" s="83"/>
      <c r="CS110" s="83"/>
      <c r="CT110" s="83"/>
      <c r="CU110" s="83"/>
      <c r="CV110" s="83"/>
      <c r="CW110" s="83"/>
      <c r="CX110" s="83"/>
      <c r="CY110" s="83"/>
      <c r="CZ110" s="83"/>
      <c r="DA110" s="83"/>
    </row>
    <row r="111" spans="1:127" s="4" customFormat="1">
      <c r="A111" s="1289" t="s">
        <v>186</v>
      </c>
      <c r="B111" s="2163"/>
      <c r="C111" s="1336" t="s">
        <v>76</v>
      </c>
      <c r="D111" s="1300">
        <v>2</v>
      </c>
      <c r="E111" s="1303">
        <v>6</v>
      </c>
      <c r="F111" s="1303">
        <v>11</v>
      </c>
      <c r="G111" s="1337">
        <v>361</v>
      </c>
      <c r="H111" s="2440" t="s">
        <v>278</v>
      </c>
      <c r="I111" s="1300">
        <v>3</v>
      </c>
      <c r="J111" s="1188">
        <v>24</v>
      </c>
      <c r="K111" s="1189">
        <v>4</v>
      </c>
      <c r="L111" s="1273">
        <v>9</v>
      </c>
      <c r="M111" s="1274">
        <v>10</v>
      </c>
      <c r="N111" s="2080">
        <v>24.67</v>
      </c>
      <c r="O111" s="2259">
        <v>23.33</v>
      </c>
      <c r="P111" s="97">
        <v>14.33</v>
      </c>
      <c r="Q111" s="3060"/>
      <c r="R111" s="2198">
        <v>18</v>
      </c>
      <c r="S111" s="2931">
        <v>9.66</v>
      </c>
      <c r="T111" s="3027">
        <v>15.67</v>
      </c>
      <c r="U111" s="3021"/>
      <c r="V111" s="3021">
        <v>55</v>
      </c>
      <c r="W111" s="3021"/>
      <c r="X111" s="3107">
        <v>9</v>
      </c>
      <c r="Y111" s="2927">
        <v>14</v>
      </c>
      <c r="Z111" s="3268" t="s">
        <v>336</v>
      </c>
      <c r="AA111" s="2927">
        <v>11.5</v>
      </c>
      <c r="AB111" s="2927">
        <v>175</v>
      </c>
      <c r="AC111" s="2927"/>
      <c r="AD111" s="2927"/>
      <c r="AE111" s="2927"/>
      <c r="BB111" s="83"/>
      <c r="BC111" s="83"/>
      <c r="BD111" s="83"/>
      <c r="BE111" s="83"/>
      <c r="BF111" s="83"/>
      <c r="BG111" s="83"/>
      <c r="BH111" s="83"/>
      <c r="BI111" s="83"/>
      <c r="BJ111" s="83"/>
      <c r="BK111" s="83"/>
      <c r="BL111" s="83"/>
      <c r="BM111" s="83"/>
      <c r="BN111" s="83"/>
      <c r="BO111" s="83"/>
      <c r="BP111" s="83"/>
      <c r="BQ111" s="83"/>
      <c r="BR111" s="83"/>
      <c r="BS111" s="83"/>
      <c r="BT111" s="83"/>
      <c r="BU111" s="83"/>
      <c r="BV111" s="83"/>
      <c r="CE111" s="83"/>
      <c r="CF111" s="83"/>
      <c r="CG111" s="83"/>
      <c r="CH111" s="83"/>
      <c r="CI111" s="83"/>
      <c r="CJ111" s="83"/>
      <c r="CK111" s="83"/>
      <c r="CL111" s="83"/>
      <c r="CM111" s="83"/>
      <c r="CN111" s="83"/>
      <c r="CO111" s="83"/>
      <c r="CP111" s="83"/>
      <c r="CQ111" s="83"/>
      <c r="CR111" s="83"/>
      <c r="CS111" s="83"/>
      <c r="CT111" s="83"/>
      <c r="CU111" s="83"/>
      <c r="CV111" s="83"/>
      <c r="CW111" s="83"/>
      <c r="CX111" s="83"/>
      <c r="CY111" s="83"/>
      <c r="CZ111" s="83"/>
      <c r="DA111" s="83"/>
    </row>
    <row r="112" spans="1:127" s="4" customFormat="1">
      <c r="A112" s="1289" t="s">
        <v>186</v>
      </c>
      <c r="B112" s="2163"/>
      <c r="C112" s="1336" t="s">
        <v>189</v>
      </c>
      <c r="D112" s="1300">
        <v>4</v>
      </c>
      <c r="E112" s="1303">
        <v>3</v>
      </c>
      <c r="F112" s="1303">
        <v>23</v>
      </c>
      <c r="G112" s="1337">
        <v>122</v>
      </c>
      <c r="H112" s="2440">
        <v>8</v>
      </c>
      <c r="I112" s="1300">
        <v>4.5</v>
      </c>
      <c r="J112" s="1188">
        <v>38</v>
      </c>
      <c r="K112" s="1189">
        <v>6.66</v>
      </c>
      <c r="L112" s="1273">
        <v>9.66</v>
      </c>
      <c r="M112" s="1274">
        <v>11</v>
      </c>
      <c r="N112" s="2080">
        <v>55</v>
      </c>
      <c r="O112" s="2259">
        <v>54</v>
      </c>
      <c r="P112" s="97">
        <v>14</v>
      </c>
      <c r="Q112" s="3060"/>
      <c r="R112" s="2198">
        <v>34.6</v>
      </c>
      <c r="S112" s="2931">
        <v>26</v>
      </c>
      <c r="T112" s="3027">
        <v>18.329999999999998</v>
      </c>
      <c r="U112" s="3021"/>
      <c r="V112" s="3021">
        <v>90</v>
      </c>
      <c r="W112" s="3021"/>
      <c r="X112" s="3107">
        <v>6</v>
      </c>
      <c r="Y112" s="2927">
        <v>75</v>
      </c>
      <c r="Z112" s="3268" t="s">
        <v>336</v>
      </c>
      <c r="AA112" s="2927">
        <v>40.5</v>
      </c>
      <c r="AB112" s="2927">
        <v>29</v>
      </c>
      <c r="AC112" s="2927"/>
      <c r="AD112" s="2927"/>
      <c r="AE112" s="2927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B112" s="50"/>
      <c r="BC112" s="50"/>
      <c r="BD112" s="50"/>
      <c r="BE112" s="83"/>
      <c r="BF112" s="83"/>
      <c r="BG112" s="83"/>
      <c r="BH112" s="83"/>
      <c r="BI112" s="83"/>
      <c r="BJ112" s="83"/>
      <c r="BK112" s="83"/>
      <c r="BL112" s="83"/>
      <c r="BM112" s="83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</row>
    <row r="113" spans="1:127" s="1010" customFormat="1">
      <c r="A113" s="1289" t="s">
        <v>186</v>
      </c>
      <c r="B113" s="2163"/>
      <c r="C113" s="1336" t="s">
        <v>266</v>
      </c>
      <c r="D113" s="1300"/>
      <c r="E113" s="1303"/>
      <c r="F113" s="1303"/>
      <c r="G113" s="1337"/>
      <c r="H113" s="2440"/>
      <c r="I113" s="1300"/>
      <c r="J113" s="1188"/>
      <c r="K113" s="1189"/>
      <c r="L113" s="1273">
        <v>5.33</v>
      </c>
      <c r="M113" s="1274">
        <v>11</v>
      </c>
      <c r="N113" s="2080">
        <v>15</v>
      </c>
      <c r="O113" s="2259">
        <v>16</v>
      </c>
      <c r="P113" s="97">
        <v>2.67</v>
      </c>
      <c r="Q113" s="3060"/>
      <c r="R113" s="2198">
        <v>16.3</v>
      </c>
      <c r="S113" s="2931">
        <v>11</v>
      </c>
      <c r="T113" s="3027">
        <v>13.67</v>
      </c>
      <c r="U113" s="3021"/>
      <c r="V113" s="3021">
        <v>35</v>
      </c>
      <c r="W113" s="3021"/>
      <c r="X113" s="3107">
        <v>4</v>
      </c>
      <c r="Y113" s="2927">
        <v>9</v>
      </c>
      <c r="Z113" s="3268" t="s">
        <v>336</v>
      </c>
      <c r="AA113" s="2927">
        <v>6.5</v>
      </c>
      <c r="AB113" s="2927">
        <v>62</v>
      </c>
      <c r="AC113" s="2927"/>
      <c r="AD113" s="2927"/>
      <c r="AE113" s="2927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1"/>
      <c r="CP113" s="61"/>
      <c r="CQ113" s="61"/>
      <c r="CR113" s="61"/>
      <c r="CS113" s="61"/>
      <c r="CT113" s="61"/>
      <c r="CU113" s="61"/>
      <c r="CV113" s="61"/>
      <c r="CW113" s="61"/>
      <c r="CX113" s="61"/>
      <c r="CY113" s="61"/>
      <c r="CZ113" s="61"/>
      <c r="DA113" s="61"/>
      <c r="DB113" s="61"/>
      <c r="DC113" s="61"/>
      <c r="DD113" s="61"/>
      <c r="DE113" s="61"/>
      <c r="DF113" s="61"/>
      <c r="DG113" s="61"/>
      <c r="DH113" s="61"/>
      <c r="DI113" s="61"/>
      <c r="DJ113" s="61"/>
      <c r="DK113" s="61"/>
      <c r="DL113" s="61"/>
      <c r="DM113" s="61"/>
      <c r="DN113" s="61"/>
      <c r="DO113" s="61"/>
      <c r="DP113" s="61"/>
      <c r="DQ113" s="61"/>
      <c r="DR113" s="61"/>
      <c r="DS113" s="61"/>
      <c r="DT113" s="61"/>
      <c r="DU113" s="61"/>
      <c r="DV113" s="61"/>
      <c r="DW113" s="61"/>
    </row>
    <row r="114" spans="1:127" s="1010" customFormat="1" ht="15.75" thickBot="1">
      <c r="A114" s="1318" t="s">
        <v>186</v>
      </c>
      <c r="B114" s="2164"/>
      <c r="C114" s="1338" t="s">
        <v>80</v>
      </c>
      <c r="D114" s="1309">
        <v>6</v>
      </c>
      <c r="E114" s="1312">
        <v>6</v>
      </c>
      <c r="F114" s="1312">
        <v>29</v>
      </c>
      <c r="G114" s="1339">
        <v>110.5</v>
      </c>
      <c r="H114" s="2441">
        <v>7</v>
      </c>
      <c r="I114" s="1309">
        <v>4</v>
      </c>
      <c r="J114" s="1193">
        <v>26</v>
      </c>
      <c r="K114" s="1194">
        <v>12.66</v>
      </c>
      <c r="L114" s="1613">
        <v>6.66</v>
      </c>
      <c r="M114" s="1365">
        <v>31</v>
      </c>
      <c r="N114" s="2081">
        <v>55.33</v>
      </c>
      <c r="O114" s="2260">
        <v>47.33</v>
      </c>
      <c r="P114" s="3062">
        <v>14.33</v>
      </c>
      <c r="Q114" s="2929"/>
      <c r="R114" s="2199">
        <v>27.6</v>
      </c>
      <c r="S114" s="2932">
        <v>25.7</v>
      </c>
      <c r="T114" s="3028">
        <v>22.33</v>
      </c>
      <c r="U114" s="3024"/>
      <c r="V114" s="3024">
        <v>144</v>
      </c>
      <c r="W114" s="3021"/>
      <c r="X114" s="3141">
        <v>9</v>
      </c>
      <c r="Y114" s="2928">
        <v>87</v>
      </c>
      <c r="Z114" s="3335" t="s">
        <v>336</v>
      </c>
      <c r="AA114" s="2928">
        <v>48</v>
      </c>
      <c r="AB114" s="2928">
        <v>41</v>
      </c>
      <c r="AC114" s="2928"/>
      <c r="AD114" s="2928"/>
      <c r="AE114" s="2928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/>
      <c r="CI114" s="61"/>
      <c r="CJ114" s="61"/>
      <c r="CK114" s="61"/>
      <c r="CL114" s="61"/>
      <c r="CM114" s="61"/>
      <c r="CN114" s="61"/>
      <c r="CO114" s="61"/>
      <c r="CP114" s="61"/>
      <c r="CQ114" s="61"/>
      <c r="CR114" s="61"/>
      <c r="CS114" s="61"/>
      <c r="CT114" s="61"/>
      <c r="CU114" s="61"/>
      <c r="CV114" s="61"/>
      <c r="CW114" s="61"/>
      <c r="CX114" s="61"/>
      <c r="CY114" s="61"/>
      <c r="CZ114" s="61"/>
      <c r="DA114" s="61"/>
      <c r="DB114" s="61"/>
      <c r="DC114" s="61"/>
      <c r="DD114" s="61"/>
      <c r="DE114" s="61"/>
      <c r="DF114" s="61"/>
      <c r="DG114" s="61"/>
      <c r="DH114" s="61"/>
      <c r="DI114" s="61"/>
      <c r="DJ114" s="61"/>
      <c r="DK114" s="61"/>
      <c r="DL114" s="61"/>
      <c r="DM114" s="61"/>
      <c r="DN114" s="61"/>
      <c r="DO114" s="61"/>
      <c r="DP114" s="61"/>
      <c r="DQ114" s="61"/>
      <c r="DR114" s="61"/>
      <c r="DS114" s="61"/>
      <c r="DT114" s="61"/>
      <c r="DU114" s="61"/>
      <c r="DV114" s="61"/>
      <c r="DW114" s="61"/>
    </row>
    <row r="115" spans="1:127" s="1010" customFormat="1">
      <c r="A115" s="1029" t="s">
        <v>68</v>
      </c>
      <c r="B115" s="1330">
        <f>COUNTA(C115:C119)</f>
        <v>5</v>
      </c>
      <c r="C115" s="1347" t="s">
        <v>74</v>
      </c>
      <c r="D115" s="1348"/>
      <c r="E115" s="1348"/>
      <c r="F115" s="1348"/>
      <c r="G115" s="1349"/>
      <c r="H115" s="2468"/>
      <c r="I115" s="1295">
        <v>33.5</v>
      </c>
      <c r="J115" s="1185">
        <v>51</v>
      </c>
      <c r="K115" s="1186">
        <v>21.33</v>
      </c>
      <c r="L115" s="1268">
        <v>13</v>
      </c>
      <c r="M115" s="1269">
        <v>13</v>
      </c>
      <c r="N115" s="2168">
        <v>46.67</v>
      </c>
      <c r="O115" s="2270">
        <v>44.67</v>
      </c>
      <c r="P115" s="3063">
        <v>24.33</v>
      </c>
      <c r="Q115" s="3067">
        <v>8</v>
      </c>
      <c r="R115" s="3066">
        <v>55.3</v>
      </c>
      <c r="S115" s="1242">
        <v>1.25</v>
      </c>
      <c r="T115" s="2933">
        <v>59.67</v>
      </c>
      <c r="U115" s="3022"/>
      <c r="V115" s="3055">
        <v>49</v>
      </c>
      <c r="W115" s="3022"/>
      <c r="X115" s="3145">
        <v>11</v>
      </c>
      <c r="Y115" s="2926">
        <v>88</v>
      </c>
      <c r="Z115" s="2926">
        <v>58</v>
      </c>
      <c r="AA115" s="2926">
        <v>52.33</v>
      </c>
      <c r="AB115" s="2926">
        <v>13</v>
      </c>
      <c r="AC115" s="2926"/>
      <c r="AD115" s="2926"/>
      <c r="AE115" s="2926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1"/>
      <c r="CE115" s="61"/>
      <c r="CF115" s="61"/>
      <c r="CG115" s="61"/>
      <c r="CH115" s="61"/>
      <c r="CI115" s="61"/>
      <c r="CJ115" s="61"/>
      <c r="CK115" s="61"/>
      <c r="CL115" s="61"/>
      <c r="CM115" s="61"/>
      <c r="CN115" s="61"/>
      <c r="CO115" s="61"/>
      <c r="CP115" s="61"/>
      <c r="CQ115" s="61"/>
      <c r="CR115" s="61"/>
      <c r="CS115" s="61"/>
      <c r="CT115" s="61"/>
      <c r="CU115" s="61"/>
      <c r="CV115" s="61"/>
      <c r="CW115" s="61"/>
      <c r="CX115" s="61"/>
      <c r="CY115" s="61"/>
      <c r="CZ115" s="61"/>
      <c r="DA115" s="61"/>
      <c r="DB115" s="61"/>
      <c r="DC115" s="61"/>
      <c r="DD115" s="61"/>
      <c r="DE115" s="61"/>
      <c r="DF115" s="61"/>
      <c r="DG115" s="61"/>
      <c r="DH115" s="61"/>
      <c r="DI115" s="61"/>
      <c r="DJ115" s="61"/>
      <c r="DK115" s="61"/>
      <c r="DL115" s="61"/>
      <c r="DM115" s="61"/>
      <c r="DN115" s="61"/>
      <c r="DO115" s="61"/>
      <c r="DP115" s="61"/>
      <c r="DQ115" s="61"/>
      <c r="DR115" s="61"/>
      <c r="DS115" s="61"/>
      <c r="DT115" s="61"/>
      <c r="DU115" s="61"/>
      <c r="DV115" s="61"/>
      <c r="DW115" s="61"/>
    </row>
    <row r="116" spans="1:127" s="1010" customFormat="1">
      <c r="A116" s="1289" t="s">
        <v>68</v>
      </c>
      <c r="B116" s="2163"/>
      <c r="C116" s="1350" t="s">
        <v>78</v>
      </c>
      <c r="D116" s="1351"/>
      <c r="E116" s="1351"/>
      <c r="F116" s="1351"/>
      <c r="G116" s="1352"/>
      <c r="H116" s="2469"/>
      <c r="I116" s="1303">
        <v>36</v>
      </c>
      <c r="J116" s="1188">
        <v>34</v>
      </c>
      <c r="K116" s="1189">
        <v>19.329999999999998</v>
      </c>
      <c r="L116" s="1273">
        <v>11.5</v>
      </c>
      <c r="M116" s="1354">
        <v>11.5</v>
      </c>
      <c r="N116" s="2169">
        <v>49.33</v>
      </c>
      <c r="O116" s="2271">
        <v>47.67</v>
      </c>
      <c r="P116" s="3064">
        <v>19.670000000000002</v>
      </c>
      <c r="Q116" s="3068">
        <v>7.5</v>
      </c>
      <c r="R116" s="2302">
        <v>59</v>
      </c>
      <c r="S116" s="1245">
        <v>0.95</v>
      </c>
      <c r="T116" s="14">
        <v>70.33</v>
      </c>
      <c r="U116" s="3023"/>
      <c r="V116" s="3023">
        <v>49</v>
      </c>
      <c r="W116" s="3023"/>
      <c r="X116" s="3107">
        <v>10</v>
      </c>
      <c r="Y116" s="2927">
        <v>135</v>
      </c>
      <c r="Z116" s="2927">
        <v>66</v>
      </c>
      <c r="AA116" s="2927">
        <v>70.33</v>
      </c>
      <c r="AB116" s="2927">
        <v>13</v>
      </c>
      <c r="AC116" s="2927"/>
      <c r="AD116" s="2927"/>
      <c r="AE116" s="2927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/>
      <c r="CI116" s="61"/>
      <c r="CJ116" s="61"/>
      <c r="CK116" s="61"/>
      <c r="CL116" s="61"/>
      <c r="CM116" s="61"/>
      <c r="CN116" s="61"/>
      <c r="CO116" s="61"/>
      <c r="CP116" s="61"/>
      <c r="CQ116" s="61"/>
      <c r="CR116" s="61"/>
      <c r="CS116" s="61"/>
      <c r="CT116" s="61"/>
      <c r="CU116" s="61"/>
      <c r="CV116" s="61"/>
      <c r="CW116" s="61"/>
      <c r="CX116" s="61"/>
      <c r="CY116" s="61"/>
      <c r="CZ116" s="61"/>
      <c r="DA116" s="61"/>
      <c r="DB116" s="61"/>
      <c r="DC116" s="61"/>
      <c r="DD116" s="61"/>
      <c r="DE116" s="61"/>
      <c r="DF116" s="61"/>
      <c r="DG116" s="61"/>
      <c r="DH116" s="61"/>
      <c r="DI116" s="61"/>
      <c r="DJ116" s="61"/>
      <c r="DK116" s="61"/>
      <c r="DL116" s="61"/>
      <c r="DM116" s="61"/>
      <c r="DN116" s="61"/>
      <c r="DO116" s="61"/>
      <c r="DP116" s="61"/>
      <c r="DQ116" s="61"/>
      <c r="DR116" s="61"/>
      <c r="DS116" s="61"/>
      <c r="DT116" s="61"/>
      <c r="DU116" s="61"/>
      <c r="DV116" s="61"/>
      <c r="DW116" s="61"/>
    </row>
    <row r="117" spans="1:127" s="4" customFormat="1">
      <c r="A117" s="1289" t="s">
        <v>68</v>
      </c>
      <c r="B117" s="2163"/>
      <c r="C117" s="1350" t="s">
        <v>69</v>
      </c>
      <c r="D117" s="1351"/>
      <c r="E117" s="1351"/>
      <c r="F117" s="1351"/>
      <c r="G117" s="1352"/>
      <c r="H117" s="2469"/>
      <c r="I117" s="1303">
        <v>2.5</v>
      </c>
      <c r="J117" s="1188">
        <v>8</v>
      </c>
      <c r="K117" s="1189">
        <v>3.33</v>
      </c>
      <c r="L117" s="1273">
        <v>2</v>
      </c>
      <c r="M117" s="1274">
        <v>2</v>
      </c>
      <c r="N117" s="2169">
        <v>30.33</v>
      </c>
      <c r="O117" s="2271">
        <v>335</v>
      </c>
      <c r="P117" s="3064">
        <v>13</v>
      </c>
      <c r="Q117" s="3069">
        <v>15.5</v>
      </c>
      <c r="R117" s="2302">
        <v>9</v>
      </c>
      <c r="S117" s="1245">
        <v>18.66</v>
      </c>
      <c r="T117" s="14">
        <v>17</v>
      </c>
      <c r="U117" s="3023"/>
      <c r="V117" s="3023">
        <v>7</v>
      </c>
      <c r="W117" s="3023"/>
      <c r="X117" s="3107">
        <v>13</v>
      </c>
      <c r="Y117" s="2927">
        <v>2</v>
      </c>
      <c r="Z117" s="2927">
        <v>10</v>
      </c>
      <c r="AA117" s="2927">
        <v>12.5</v>
      </c>
      <c r="AB117" s="2927">
        <v>10</v>
      </c>
      <c r="AC117" s="2927"/>
      <c r="AD117" s="2927"/>
      <c r="AE117" s="2927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B117" s="50"/>
      <c r="BC117" s="50"/>
      <c r="BD117" s="50"/>
      <c r="BE117" s="83"/>
      <c r="BF117" s="83"/>
      <c r="BG117" s="83"/>
      <c r="BH117" s="83"/>
      <c r="BI117" s="83"/>
      <c r="BJ117" s="83"/>
      <c r="BK117" s="83"/>
      <c r="BL117" s="83"/>
      <c r="BM117" s="83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</row>
    <row r="118" spans="1:127" s="1010" customFormat="1">
      <c r="A118" s="1289" t="s">
        <v>68</v>
      </c>
      <c r="B118" s="2163"/>
      <c r="C118" s="1350" t="s">
        <v>75</v>
      </c>
      <c r="D118" s="1351"/>
      <c r="E118" s="1351"/>
      <c r="F118" s="1351"/>
      <c r="G118" s="1352"/>
      <c r="H118" s="2469"/>
      <c r="I118" s="1303">
        <v>155</v>
      </c>
      <c r="J118" s="1188">
        <v>14</v>
      </c>
      <c r="K118" s="1189">
        <v>3.33</v>
      </c>
      <c r="L118" s="1273">
        <v>16</v>
      </c>
      <c r="M118" s="1274">
        <v>16</v>
      </c>
      <c r="N118" s="2169">
        <v>40</v>
      </c>
      <c r="O118" s="2271">
        <v>26</v>
      </c>
      <c r="P118" s="3064">
        <v>28</v>
      </c>
      <c r="Q118" s="3069">
        <v>18.5</v>
      </c>
      <c r="R118" s="2302">
        <v>37</v>
      </c>
      <c r="S118" s="1245">
        <v>34.22</v>
      </c>
      <c r="T118" s="14">
        <v>42.55</v>
      </c>
      <c r="U118" s="3023"/>
      <c r="V118" s="3023">
        <v>85.67</v>
      </c>
      <c r="W118" s="3023"/>
      <c r="X118" s="3107">
        <v>13</v>
      </c>
      <c r="Y118" s="2927">
        <v>88</v>
      </c>
      <c r="Z118" s="2927">
        <v>125.67</v>
      </c>
      <c r="AA118" s="2927">
        <f>AVERAGE(124.5,71.67,95)</f>
        <v>97.056666666666672</v>
      </c>
      <c r="AB118" s="2927"/>
      <c r="AC118" s="2927"/>
      <c r="AD118" s="2927"/>
      <c r="AE118" s="2927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1"/>
      <c r="CE118" s="61"/>
      <c r="CF118" s="61"/>
      <c r="CG118" s="61"/>
      <c r="CH118" s="61"/>
      <c r="CI118" s="61"/>
      <c r="CJ118" s="61"/>
      <c r="CK118" s="61"/>
      <c r="CL118" s="61"/>
      <c r="CM118" s="61"/>
      <c r="CN118" s="61"/>
      <c r="CO118" s="61"/>
      <c r="CP118" s="61"/>
      <c r="CQ118" s="61"/>
      <c r="CR118" s="61"/>
      <c r="CS118" s="61"/>
      <c r="CT118" s="61"/>
      <c r="CU118" s="61"/>
      <c r="CV118" s="61"/>
      <c r="CW118" s="61"/>
      <c r="CX118" s="61"/>
      <c r="CY118" s="61"/>
      <c r="CZ118" s="61"/>
      <c r="DA118" s="61"/>
      <c r="DB118" s="61"/>
      <c r="DC118" s="61"/>
      <c r="DD118" s="61"/>
      <c r="DE118" s="61"/>
      <c r="DF118" s="61"/>
      <c r="DG118" s="61"/>
      <c r="DH118" s="61"/>
      <c r="DI118" s="61"/>
      <c r="DJ118" s="61"/>
      <c r="DK118" s="61"/>
      <c r="DL118" s="61"/>
      <c r="DM118" s="61"/>
      <c r="DN118" s="61"/>
      <c r="DO118" s="61"/>
      <c r="DP118" s="61"/>
      <c r="DQ118" s="61"/>
      <c r="DR118" s="61"/>
      <c r="DS118" s="61"/>
      <c r="DT118" s="61"/>
      <c r="DU118" s="61"/>
      <c r="DV118" s="61"/>
      <c r="DW118" s="61"/>
    </row>
    <row r="119" spans="1:127" ht="15.75" thickBot="1">
      <c r="A119" s="1318" t="s">
        <v>68</v>
      </c>
      <c r="B119" s="2164"/>
      <c r="C119" s="1355" t="s">
        <v>73</v>
      </c>
      <c r="D119" s="1356"/>
      <c r="E119" s="1356"/>
      <c r="F119" s="1356"/>
      <c r="G119" s="1357"/>
      <c r="H119" s="2470"/>
      <c r="I119" s="1312">
        <v>7</v>
      </c>
      <c r="J119" s="1193">
        <v>27</v>
      </c>
      <c r="K119" s="1194">
        <v>5.33</v>
      </c>
      <c r="L119" s="1613">
        <v>4.5</v>
      </c>
      <c r="M119" s="1365">
        <v>4.5</v>
      </c>
      <c r="N119" s="2170">
        <v>22</v>
      </c>
      <c r="O119" s="2272">
        <v>35.67</v>
      </c>
      <c r="P119" s="3065">
        <v>8.33</v>
      </c>
      <c r="Q119" s="3070">
        <v>13</v>
      </c>
      <c r="R119" s="2303">
        <v>31</v>
      </c>
      <c r="S119" s="1359">
        <v>20</v>
      </c>
      <c r="T119" s="14">
        <v>78.67</v>
      </c>
      <c r="U119" s="3023"/>
      <c r="V119" s="3056">
        <v>49</v>
      </c>
      <c r="W119" s="3023"/>
      <c r="X119" s="3141">
        <v>14</v>
      </c>
      <c r="Y119" s="2928"/>
      <c r="Z119" s="2928">
        <v>108</v>
      </c>
      <c r="AA119" s="2928">
        <v>61</v>
      </c>
      <c r="AB119" s="2928" t="s">
        <v>336</v>
      </c>
      <c r="AC119" s="2928"/>
      <c r="AD119" s="2928"/>
      <c r="AE119" s="2928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/>
      <c r="CG119" s="61"/>
      <c r="CH119" s="61"/>
      <c r="CI119" s="61"/>
      <c r="CJ119" s="61"/>
      <c r="CK119" s="61"/>
      <c r="CL119" s="61"/>
      <c r="CM119" s="61"/>
      <c r="CN119" s="61"/>
      <c r="CO119" s="61"/>
      <c r="CP119" s="61"/>
      <c r="CQ119" s="61"/>
      <c r="CR119" s="61"/>
      <c r="CS119" s="61"/>
      <c r="CT119" s="61"/>
      <c r="CU119" s="61"/>
      <c r="CV119" s="61"/>
      <c r="CW119" s="61"/>
      <c r="CX119" s="61"/>
      <c r="CY119" s="61"/>
      <c r="CZ119" s="61"/>
      <c r="DA119" s="61"/>
      <c r="DB119" s="61"/>
      <c r="DC119" s="61"/>
      <c r="DD119" s="61"/>
      <c r="DE119" s="61"/>
      <c r="DF119" s="61"/>
      <c r="DG119" s="61"/>
      <c r="DH119" s="61"/>
      <c r="DI119" s="61"/>
      <c r="DJ119" s="61"/>
      <c r="DK119" s="61"/>
      <c r="DL119" s="61"/>
      <c r="DM119" s="61"/>
      <c r="DN119" s="61"/>
      <c r="DO119" s="61"/>
      <c r="DP119" s="61"/>
      <c r="DQ119" s="61"/>
      <c r="DR119" s="61"/>
      <c r="DS119" s="61"/>
      <c r="DT119" s="61"/>
      <c r="DU119" s="61"/>
      <c r="DV119" s="61"/>
      <c r="DW119" s="61"/>
    </row>
    <row r="120" spans="1:127">
      <c r="A120" s="1029" t="s">
        <v>70</v>
      </c>
      <c r="B120" s="1330">
        <f>COUNTA(C120:C124)</f>
        <v>5</v>
      </c>
      <c r="C120" s="1360" t="s">
        <v>192</v>
      </c>
      <c r="D120" s="1292">
        <v>6</v>
      </c>
      <c r="E120" s="1295">
        <v>7</v>
      </c>
      <c r="F120" s="1295">
        <v>38</v>
      </c>
      <c r="G120" s="1335">
        <v>135.5</v>
      </c>
      <c r="H120" s="2439">
        <v>5</v>
      </c>
      <c r="I120" s="1292">
        <v>31</v>
      </c>
      <c r="J120" s="1185">
        <v>47</v>
      </c>
      <c r="K120" s="1186">
        <v>9.33</v>
      </c>
      <c r="L120" s="1268">
        <v>18.5</v>
      </c>
      <c r="M120" s="1269">
        <v>24.5</v>
      </c>
      <c r="N120" s="2157">
        <v>341.33</v>
      </c>
      <c r="O120" s="2273">
        <v>39</v>
      </c>
      <c r="P120" s="3071">
        <v>25.67</v>
      </c>
      <c r="Q120" s="3067">
        <v>62.5</v>
      </c>
      <c r="R120" s="3073">
        <v>71.66</v>
      </c>
      <c r="S120" s="1211">
        <v>55.33</v>
      </c>
      <c r="T120" s="3025">
        <v>33.67</v>
      </c>
      <c r="U120" s="3025"/>
      <c r="V120" s="3025">
        <v>84</v>
      </c>
      <c r="W120" s="3023"/>
      <c r="X120" s="3145">
        <v>12</v>
      </c>
      <c r="Y120" s="2926">
        <v>61</v>
      </c>
      <c r="Z120" s="2926" t="s">
        <v>336</v>
      </c>
      <c r="AA120" s="2926">
        <v>36.5</v>
      </c>
      <c r="AB120" s="2926">
        <v>40</v>
      </c>
      <c r="AC120" s="2926"/>
      <c r="AD120" s="2926"/>
      <c r="AE120" s="2926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  <c r="CH120" s="61"/>
      <c r="CI120" s="61"/>
      <c r="CJ120" s="61"/>
      <c r="CK120" s="61"/>
      <c r="CL120" s="61"/>
      <c r="CM120" s="61"/>
      <c r="CN120" s="61"/>
      <c r="CO120" s="61"/>
      <c r="CP120" s="61"/>
      <c r="CQ120" s="61"/>
      <c r="CR120" s="61"/>
      <c r="CS120" s="61"/>
      <c r="CT120" s="61"/>
      <c r="CU120" s="61"/>
      <c r="CV120" s="61"/>
      <c r="CW120" s="61"/>
      <c r="CX120" s="61"/>
      <c r="CY120" s="61"/>
      <c r="CZ120" s="61"/>
      <c r="DA120" s="61"/>
      <c r="DB120" s="61"/>
      <c r="DC120" s="61"/>
      <c r="DD120" s="61"/>
      <c r="DE120" s="61"/>
      <c r="DF120" s="61"/>
      <c r="DG120" s="61"/>
      <c r="DH120" s="61"/>
      <c r="DI120" s="61"/>
      <c r="DJ120" s="61"/>
      <c r="DK120" s="61"/>
      <c r="DL120" s="61"/>
      <c r="DM120" s="61"/>
      <c r="DN120" s="61"/>
      <c r="DO120" s="61"/>
      <c r="DP120" s="61"/>
      <c r="DQ120" s="61"/>
      <c r="DR120" s="61"/>
      <c r="DS120" s="61"/>
      <c r="DT120" s="61"/>
      <c r="DU120" s="61"/>
      <c r="DV120" s="61"/>
      <c r="DW120" s="61"/>
    </row>
    <row r="121" spans="1:127">
      <c r="A121" s="1289" t="s">
        <v>70</v>
      </c>
      <c r="B121" s="2163"/>
      <c r="C121" s="1362" t="s">
        <v>281</v>
      </c>
      <c r="D121" s="1300">
        <v>37</v>
      </c>
      <c r="E121" s="1303">
        <v>5</v>
      </c>
      <c r="F121" s="1303">
        <v>45</v>
      </c>
      <c r="G121" s="1337">
        <v>117.5</v>
      </c>
      <c r="H121" s="2440">
        <v>8</v>
      </c>
      <c r="I121" s="1300">
        <v>8.5</v>
      </c>
      <c r="J121" s="1188">
        <v>16</v>
      </c>
      <c r="K121" s="1189">
        <v>7.33</v>
      </c>
      <c r="L121" s="1273">
        <v>8.5</v>
      </c>
      <c r="M121" s="1274">
        <v>16</v>
      </c>
      <c r="N121" s="2158">
        <v>46</v>
      </c>
      <c r="O121" s="2267">
        <v>231</v>
      </c>
      <c r="P121" s="3072">
        <v>6.67</v>
      </c>
      <c r="Q121" s="3074">
        <v>19</v>
      </c>
      <c r="R121" s="2202">
        <v>53</v>
      </c>
      <c r="S121" s="1245">
        <v>39.33</v>
      </c>
      <c r="T121" s="3023">
        <v>24</v>
      </c>
      <c r="U121" s="3023"/>
      <c r="V121" s="3023">
        <v>44</v>
      </c>
      <c r="W121" s="3023"/>
      <c r="X121" s="3107">
        <v>17</v>
      </c>
      <c r="Y121" s="2927">
        <v>61</v>
      </c>
      <c r="Z121" s="2927" t="s">
        <v>336</v>
      </c>
      <c r="AA121" s="2927">
        <v>39</v>
      </c>
      <c r="AB121" s="2927">
        <v>75</v>
      </c>
      <c r="AC121" s="2927"/>
      <c r="AD121" s="2927"/>
      <c r="AE121" s="2927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  <c r="CL121" s="61"/>
      <c r="CM121" s="61"/>
      <c r="CN121" s="61"/>
      <c r="CO121" s="61"/>
      <c r="CP121" s="61"/>
      <c r="CQ121" s="61"/>
      <c r="CR121" s="61"/>
      <c r="CS121" s="61"/>
      <c r="CT121" s="61"/>
      <c r="CU121" s="61"/>
      <c r="CV121" s="61"/>
      <c r="CW121" s="61"/>
      <c r="CX121" s="61"/>
      <c r="CY121" s="61"/>
      <c r="CZ121" s="61"/>
      <c r="DA121" s="61"/>
      <c r="DB121" s="61"/>
      <c r="DC121" s="61"/>
      <c r="DD121" s="61"/>
      <c r="DE121" s="61"/>
      <c r="DF121" s="61"/>
      <c r="DG121" s="61"/>
      <c r="DH121" s="61"/>
      <c r="DI121" s="61"/>
      <c r="DJ121" s="61"/>
      <c r="DK121" s="61"/>
      <c r="DL121" s="61"/>
      <c r="DM121" s="61"/>
      <c r="DN121" s="61"/>
      <c r="DO121" s="61"/>
      <c r="DP121" s="61"/>
      <c r="DQ121" s="61"/>
      <c r="DR121" s="61"/>
      <c r="DS121" s="61"/>
      <c r="DT121" s="61"/>
      <c r="DU121" s="61"/>
      <c r="DV121" s="61"/>
      <c r="DW121" s="61"/>
    </row>
    <row r="122" spans="1:127">
      <c r="A122" s="1289" t="s">
        <v>70</v>
      </c>
      <c r="B122" s="2163"/>
      <c r="C122" s="1362" t="s">
        <v>270</v>
      </c>
      <c r="D122" s="1300">
        <v>17</v>
      </c>
      <c r="E122" s="1303">
        <v>2</v>
      </c>
      <c r="F122" s="1303">
        <v>3</v>
      </c>
      <c r="G122" s="1337">
        <v>11.5</v>
      </c>
      <c r="H122" s="2440">
        <v>3</v>
      </c>
      <c r="I122" s="1300">
        <v>8</v>
      </c>
      <c r="J122" s="1188">
        <v>5</v>
      </c>
      <c r="K122" s="1189">
        <v>2.66</v>
      </c>
      <c r="L122" s="1273">
        <v>2.5</v>
      </c>
      <c r="M122" s="1274">
        <v>6.5</v>
      </c>
      <c r="N122" s="1680">
        <v>10</v>
      </c>
      <c r="O122" s="2268">
        <v>220</v>
      </c>
      <c r="P122" s="139">
        <v>7.33</v>
      </c>
      <c r="Q122" s="3075">
        <v>5.5</v>
      </c>
      <c r="R122" s="2203">
        <v>11</v>
      </c>
      <c r="S122" s="1245">
        <v>7.66</v>
      </c>
      <c r="T122" s="3023">
        <v>29.67</v>
      </c>
      <c r="U122" s="3023"/>
      <c r="V122" s="3023">
        <v>5</v>
      </c>
      <c r="W122" s="3023"/>
      <c r="X122" s="3107">
        <v>4</v>
      </c>
      <c r="Y122" s="2927">
        <v>3</v>
      </c>
      <c r="Z122" s="2927" t="s">
        <v>336</v>
      </c>
      <c r="AA122" s="2927">
        <v>3.5</v>
      </c>
      <c r="AB122" s="2927">
        <v>36</v>
      </c>
      <c r="AC122" s="2927"/>
      <c r="AD122" s="2927"/>
      <c r="AE122" s="2927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/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  <c r="CP122" s="61"/>
      <c r="CQ122" s="61"/>
      <c r="CR122" s="61"/>
      <c r="CS122" s="61"/>
      <c r="CT122" s="61"/>
      <c r="CU122" s="61"/>
      <c r="CV122" s="61"/>
      <c r="CW122" s="61"/>
      <c r="CX122" s="61"/>
      <c r="CY122" s="61"/>
      <c r="CZ122" s="61"/>
      <c r="DA122" s="61"/>
      <c r="DB122" s="61"/>
      <c r="DC122" s="61"/>
      <c r="DD122" s="61"/>
      <c r="DE122" s="61"/>
      <c r="DF122" s="61"/>
      <c r="DG122" s="61"/>
      <c r="DH122" s="61"/>
      <c r="DI122" s="61"/>
      <c r="DJ122" s="61"/>
      <c r="DK122" s="61"/>
      <c r="DL122" s="61"/>
      <c r="DM122" s="61"/>
      <c r="DN122" s="61"/>
      <c r="DO122" s="61"/>
      <c r="DP122" s="61"/>
      <c r="DQ122" s="61"/>
      <c r="DR122" s="61"/>
      <c r="DS122" s="61"/>
      <c r="DT122" s="61"/>
      <c r="DU122" s="61"/>
      <c r="DV122" s="61"/>
      <c r="DW122" s="61"/>
    </row>
    <row r="123" spans="1:127">
      <c r="A123" s="1289" t="s">
        <v>70</v>
      </c>
      <c r="B123" s="2163"/>
      <c r="C123" s="1362" t="s">
        <v>71</v>
      </c>
      <c r="D123" s="1300">
        <v>9</v>
      </c>
      <c r="E123" s="1303">
        <v>5</v>
      </c>
      <c r="F123" s="1303">
        <v>29</v>
      </c>
      <c r="G123" s="1337">
        <v>93</v>
      </c>
      <c r="H123" s="2440">
        <v>7</v>
      </c>
      <c r="I123" s="1300">
        <v>20.5</v>
      </c>
      <c r="J123" s="1188">
        <v>26</v>
      </c>
      <c r="K123" s="1189">
        <v>4.66</v>
      </c>
      <c r="L123" s="1273">
        <v>10.5</v>
      </c>
      <c r="M123" s="1274">
        <v>10.5</v>
      </c>
      <c r="N123" s="2080">
        <v>51.67</v>
      </c>
      <c r="O123" s="2259">
        <v>49.67</v>
      </c>
      <c r="P123" s="2250">
        <v>5.33</v>
      </c>
      <c r="Q123" s="3060">
        <v>12.5</v>
      </c>
      <c r="R123" s="2198">
        <v>55.66</v>
      </c>
      <c r="S123" s="2931">
        <v>46.6</v>
      </c>
      <c r="T123" s="3027">
        <v>103.33</v>
      </c>
      <c r="U123" s="3021"/>
      <c r="V123" s="3021">
        <v>16</v>
      </c>
      <c r="W123" s="3021"/>
      <c r="X123" s="3107">
        <v>3</v>
      </c>
      <c r="Y123" s="2927">
        <v>16</v>
      </c>
      <c r="Z123" s="2927" t="s">
        <v>336</v>
      </c>
      <c r="AA123" s="2927">
        <v>9.5</v>
      </c>
      <c r="AB123" s="2927">
        <v>12</v>
      </c>
      <c r="AC123" s="2927"/>
      <c r="AD123" s="2927"/>
      <c r="AE123" s="2927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  <c r="CP123" s="61"/>
      <c r="CQ123" s="61"/>
      <c r="CR123" s="61"/>
      <c r="CS123" s="61"/>
      <c r="CT123" s="61"/>
      <c r="CU123" s="61"/>
      <c r="CV123" s="61"/>
      <c r="CW123" s="61"/>
      <c r="CX123" s="61"/>
      <c r="CY123" s="61"/>
      <c r="CZ123" s="61"/>
      <c r="DA123" s="61"/>
      <c r="DB123" s="61"/>
      <c r="DC123" s="61"/>
      <c r="DD123" s="61"/>
      <c r="DE123" s="61"/>
      <c r="DF123" s="61"/>
      <c r="DG123" s="61"/>
      <c r="DH123" s="61"/>
      <c r="DI123" s="61"/>
      <c r="DJ123" s="61"/>
      <c r="DK123" s="61"/>
      <c r="DL123" s="61"/>
      <c r="DM123" s="61"/>
      <c r="DN123" s="61"/>
      <c r="DO123" s="61"/>
      <c r="DP123" s="61"/>
      <c r="DQ123" s="61"/>
      <c r="DR123" s="61"/>
      <c r="DS123" s="61"/>
      <c r="DT123" s="61"/>
      <c r="DU123" s="61"/>
      <c r="DV123" s="61"/>
      <c r="DW123" s="61"/>
    </row>
    <row r="124" spans="1:127" ht="15.75" thickBot="1">
      <c r="A124" s="1318" t="s">
        <v>70</v>
      </c>
      <c r="B124" s="2164"/>
      <c r="C124" s="1363" t="s">
        <v>81</v>
      </c>
      <c r="D124" s="1309">
        <v>3</v>
      </c>
      <c r="E124" s="1312">
        <v>54</v>
      </c>
      <c r="F124" s="1312">
        <v>28</v>
      </c>
      <c r="G124" s="1339">
        <v>48.5</v>
      </c>
      <c r="H124" s="2441">
        <v>5</v>
      </c>
      <c r="I124" s="1309">
        <v>837</v>
      </c>
      <c r="J124" s="1193">
        <v>19</v>
      </c>
      <c r="K124" s="1194">
        <v>21.33</v>
      </c>
      <c r="L124" s="1613">
        <v>5</v>
      </c>
      <c r="M124" s="1365">
        <v>7.5</v>
      </c>
      <c r="N124" s="2081">
        <v>72.33</v>
      </c>
      <c r="O124" s="2260">
        <v>117.33</v>
      </c>
      <c r="P124" s="3058">
        <v>137.33000000000001</v>
      </c>
      <c r="Q124" s="2929">
        <v>358</v>
      </c>
      <c r="R124" s="2199">
        <v>49.66</v>
      </c>
      <c r="S124" s="2932">
        <v>38.659999999999997</v>
      </c>
      <c r="T124" s="3028">
        <v>141.33000000000001</v>
      </c>
      <c r="U124" s="3024"/>
      <c r="V124" s="3024">
        <v>92</v>
      </c>
      <c r="W124" s="3024"/>
      <c r="X124" s="3141">
        <v>114</v>
      </c>
      <c r="Y124" s="2928">
        <v>104</v>
      </c>
      <c r="Z124" s="2928" t="s">
        <v>336</v>
      </c>
      <c r="AA124" s="2928">
        <v>109</v>
      </c>
      <c r="AB124" s="2928">
        <v>224</v>
      </c>
      <c r="AC124" s="2928"/>
      <c r="AD124" s="2928"/>
      <c r="AE124" s="2928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  <c r="CP124" s="61"/>
      <c r="CQ124" s="61"/>
      <c r="CR124" s="61"/>
      <c r="CS124" s="61"/>
      <c r="CT124" s="61"/>
      <c r="CU124" s="61"/>
      <c r="CV124" s="61"/>
      <c r="CW124" s="61"/>
      <c r="CX124" s="61"/>
      <c r="CY124" s="61"/>
      <c r="CZ124" s="61"/>
      <c r="DA124" s="61"/>
      <c r="DB124" s="61"/>
      <c r="DC124" s="61"/>
      <c r="DD124" s="61"/>
      <c r="DE124" s="61"/>
      <c r="DF124" s="61"/>
      <c r="DG124" s="61"/>
      <c r="DH124" s="61"/>
      <c r="DI124" s="61"/>
      <c r="DJ124" s="61"/>
      <c r="DK124" s="61"/>
      <c r="DL124" s="61"/>
      <c r="DM124" s="61"/>
      <c r="DN124" s="61"/>
      <c r="DO124" s="61"/>
      <c r="DP124" s="61"/>
      <c r="DQ124" s="61"/>
      <c r="DR124" s="61"/>
      <c r="DS124" s="61"/>
      <c r="DT124" s="61"/>
      <c r="DU124" s="61"/>
      <c r="DV124" s="61"/>
      <c r="DW124" s="61"/>
    </row>
    <row r="125" spans="1:127">
      <c r="A125" s="114"/>
      <c r="B125" s="114">
        <f>SUM(B101:B124)</f>
        <v>24</v>
      </c>
      <c r="C125" s="775" t="s">
        <v>285</v>
      </c>
      <c r="D125" s="1025">
        <f>COUNTIF(D101:D124,"&lt;=50")</f>
        <v>14</v>
      </c>
      <c r="E125" s="1025">
        <f t="shared" ref="E125:S125" si="20">COUNTIF(E101:E124,"&lt;=50")</f>
        <v>13</v>
      </c>
      <c r="F125" s="1025">
        <f t="shared" si="20"/>
        <v>14</v>
      </c>
      <c r="G125" s="1025">
        <f t="shared" si="20"/>
        <v>6</v>
      </c>
      <c r="H125" s="1025">
        <f t="shared" si="20"/>
        <v>13</v>
      </c>
      <c r="I125" s="1025">
        <f t="shared" si="20"/>
        <v>17</v>
      </c>
      <c r="J125" s="1025">
        <f t="shared" si="20"/>
        <v>18</v>
      </c>
      <c r="K125" s="1025">
        <f t="shared" si="20"/>
        <v>19</v>
      </c>
      <c r="L125" s="1025">
        <f t="shared" si="20"/>
        <v>24</v>
      </c>
      <c r="M125" s="1025">
        <f t="shared" si="20"/>
        <v>24</v>
      </c>
      <c r="N125" s="1025">
        <f t="shared" si="20"/>
        <v>16</v>
      </c>
      <c r="O125" s="2262">
        <f t="shared" si="20"/>
        <v>19</v>
      </c>
      <c r="P125" s="1025">
        <f t="shared" si="20"/>
        <v>23</v>
      </c>
      <c r="Q125" s="1025">
        <f t="shared" si="20"/>
        <v>14</v>
      </c>
      <c r="R125" s="1025">
        <f t="shared" si="20"/>
        <v>13</v>
      </c>
      <c r="S125" s="1025">
        <f t="shared" si="20"/>
        <v>23</v>
      </c>
      <c r="T125" s="1025">
        <f t="shared" ref="T125:U125" si="21">COUNTIF(T101:T124,"&lt;=50")</f>
        <v>19</v>
      </c>
      <c r="U125" s="1025">
        <f t="shared" si="21"/>
        <v>0</v>
      </c>
      <c r="V125" s="1025">
        <f>COUNTIF(V101:V124,"&lt;=50")</f>
        <v>16</v>
      </c>
      <c r="W125" s="1025">
        <f t="shared" ref="W125:Y125" si="22">COUNTIF(W101:W124,"&lt;=50")</f>
        <v>0</v>
      </c>
      <c r="X125" s="1025">
        <f t="shared" si="22"/>
        <v>17</v>
      </c>
      <c r="Y125" s="1025">
        <f t="shared" si="22"/>
        <v>8</v>
      </c>
      <c r="Z125" s="1025">
        <f>COUNTIF(Z101:Z124,"&lt;=80")</f>
        <v>3</v>
      </c>
      <c r="AA125" s="1025">
        <f>COUNTIF(AA101:AA124,"&lt;=80")</f>
        <v>16</v>
      </c>
      <c r="AB125" s="1025" t="s">
        <v>454</v>
      </c>
      <c r="AC125" s="1025">
        <f t="shared" ref="AC125:AE125" si="23">COUNTIF(AC101:AC124,"&lt;=80")</f>
        <v>0</v>
      </c>
      <c r="AD125" s="1025">
        <f t="shared" si="23"/>
        <v>0</v>
      </c>
      <c r="AE125" s="1025">
        <f t="shared" si="23"/>
        <v>0</v>
      </c>
      <c r="AF125" s="61"/>
      <c r="AG125" s="61"/>
      <c r="AH125" s="61"/>
      <c r="AI125" s="61"/>
      <c r="AJ125" s="70"/>
      <c r="AK125" s="70"/>
      <c r="AL125" s="86"/>
      <c r="AM125" s="13"/>
      <c r="AN125" s="61"/>
      <c r="AO125" s="61"/>
      <c r="AP125" s="61"/>
      <c r="AQ125" s="61"/>
      <c r="AR125" s="61"/>
      <c r="AS125" s="86"/>
      <c r="AT125" s="86"/>
      <c r="AU125" s="86"/>
      <c r="AV125" s="13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  <c r="CP125" s="61"/>
      <c r="CQ125" s="61"/>
      <c r="CR125" s="61"/>
      <c r="CS125" s="61"/>
      <c r="CT125" s="61"/>
      <c r="CU125" s="61"/>
      <c r="CV125" s="61"/>
      <c r="CW125" s="61"/>
      <c r="CX125" s="61"/>
      <c r="CY125" s="61"/>
      <c r="CZ125" s="61"/>
      <c r="DA125" s="61"/>
      <c r="DB125" s="61"/>
      <c r="DC125" s="61"/>
      <c r="DD125" s="61"/>
      <c r="DE125" s="61"/>
      <c r="DF125" s="61"/>
      <c r="DG125" s="61"/>
      <c r="DH125" s="61"/>
      <c r="DI125" s="61"/>
      <c r="DJ125" s="61"/>
      <c r="DK125" s="61"/>
      <c r="DL125" s="61"/>
      <c r="DM125" s="61"/>
      <c r="DN125" s="61"/>
      <c r="DO125" s="61"/>
      <c r="DP125" s="61"/>
      <c r="DQ125" s="61"/>
      <c r="DR125" s="61"/>
      <c r="DS125" s="61"/>
      <c r="DT125" s="61"/>
      <c r="DU125" s="61"/>
      <c r="DV125" s="61"/>
      <c r="DW125" s="61"/>
    </row>
    <row r="126" spans="1:127">
      <c r="A126" s="114"/>
      <c r="B126" s="114"/>
      <c r="C126" s="775" t="s">
        <v>287</v>
      </c>
      <c r="D126" s="1025">
        <f t="shared" ref="D126:Y126" si="24">COUNT(D101:D124)</f>
        <v>14</v>
      </c>
      <c r="E126" s="1025">
        <f t="shared" si="24"/>
        <v>14</v>
      </c>
      <c r="F126" s="1025">
        <f t="shared" si="24"/>
        <v>14</v>
      </c>
      <c r="G126" s="1025">
        <f t="shared" si="24"/>
        <v>14</v>
      </c>
      <c r="H126" s="1025">
        <f t="shared" si="24"/>
        <v>13</v>
      </c>
      <c r="I126" s="1025">
        <f t="shared" si="24"/>
        <v>19</v>
      </c>
      <c r="J126" s="1025">
        <f t="shared" si="24"/>
        <v>19</v>
      </c>
      <c r="K126" s="1025">
        <f t="shared" si="24"/>
        <v>19</v>
      </c>
      <c r="L126" s="1025">
        <f t="shared" si="24"/>
        <v>24</v>
      </c>
      <c r="M126" s="1025">
        <f t="shared" si="24"/>
        <v>24</v>
      </c>
      <c r="N126" s="1025">
        <f t="shared" si="24"/>
        <v>24</v>
      </c>
      <c r="O126" s="1025">
        <f t="shared" si="24"/>
        <v>24</v>
      </c>
      <c r="P126" s="1025">
        <f t="shared" si="24"/>
        <v>24</v>
      </c>
      <c r="Q126" s="1025">
        <f t="shared" si="24"/>
        <v>16</v>
      </c>
      <c r="R126" s="1025">
        <f t="shared" si="24"/>
        <v>24</v>
      </c>
      <c r="S126" s="1025">
        <f t="shared" si="24"/>
        <v>24</v>
      </c>
      <c r="T126" s="1025">
        <f t="shared" si="24"/>
        <v>24</v>
      </c>
      <c r="U126" s="1025">
        <f t="shared" si="24"/>
        <v>0</v>
      </c>
      <c r="V126" s="1025">
        <f t="shared" si="24"/>
        <v>24</v>
      </c>
      <c r="W126" s="1025">
        <f t="shared" si="24"/>
        <v>0</v>
      </c>
      <c r="X126" s="1025">
        <f t="shared" si="24"/>
        <v>18</v>
      </c>
      <c r="Y126" s="1025">
        <f t="shared" si="24"/>
        <v>17</v>
      </c>
      <c r="Z126" s="1025">
        <f>COUNT(Z101:Z124)</f>
        <v>5</v>
      </c>
      <c r="AA126" s="1025">
        <f>COUNT(AA101:AA124)</f>
        <v>18</v>
      </c>
      <c r="AB126" s="1025">
        <f t="shared" ref="AB126:AE126" si="25">COUNT(AB101:AB124)</f>
        <v>22</v>
      </c>
      <c r="AC126" s="1025">
        <f t="shared" si="25"/>
        <v>0</v>
      </c>
      <c r="AD126" s="1025">
        <f t="shared" si="25"/>
        <v>0</v>
      </c>
      <c r="AE126" s="1025">
        <f t="shared" si="25"/>
        <v>0</v>
      </c>
      <c r="AF126" s="61"/>
      <c r="AG126" s="61"/>
      <c r="AH126" s="61"/>
      <c r="AI126" s="28"/>
      <c r="AJ126" s="43"/>
      <c r="AK126" s="43"/>
      <c r="AL126" s="43"/>
      <c r="AM126" s="14"/>
      <c r="AN126" s="61"/>
      <c r="AO126" s="61"/>
      <c r="AP126" s="61"/>
      <c r="AQ126" s="61"/>
      <c r="AR126" s="28"/>
      <c r="AS126" s="43"/>
      <c r="AT126" s="43"/>
      <c r="AU126" s="43"/>
      <c r="AV126" s="14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/>
      <c r="CP126" s="61"/>
      <c r="CQ126" s="61"/>
      <c r="CR126" s="61"/>
      <c r="CS126" s="61"/>
      <c r="CT126" s="61"/>
      <c r="CU126" s="61"/>
      <c r="CV126" s="61"/>
      <c r="CW126" s="61"/>
      <c r="CX126" s="61"/>
      <c r="CY126" s="61"/>
      <c r="CZ126" s="61"/>
      <c r="DA126" s="61"/>
      <c r="DB126" s="61"/>
      <c r="DC126" s="61"/>
      <c r="DD126" s="61"/>
      <c r="DE126" s="61"/>
      <c r="DF126" s="61"/>
      <c r="DG126" s="61"/>
      <c r="DH126" s="61"/>
      <c r="DI126" s="61"/>
      <c r="DJ126" s="61"/>
      <c r="DK126" s="61"/>
      <c r="DL126" s="61"/>
      <c r="DM126" s="61"/>
      <c r="DN126" s="61"/>
      <c r="DO126" s="61"/>
      <c r="DP126" s="61"/>
      <c r="DQ126" s="61"/>
      <c r="DR126" s="61"/>
      <c r="DS126" s="61"/>
      <c r="DT126" s="61"/>
      <c r="DU126" s="61"/>
      <c r="DV126" s="61"/>
      <c r="DW126" s="61"/>
    </row>
    <row r="127" spans="1:127">
      <c r="A127" s="114"/>
      <c r="B127" s="114"/>
      <c r="C127" s="775" t="s">
        <v>286</v>
      </c>
      <c r="D127" s="1026">
        <f>D125/D126</f>
        <v>1</v>
      </c>
      <c r="E127" s="1026">
        <f t="shared" ref="E127:AA127" si="26">E125/E126</f>
        <v>0.9285714285714286</v>
      </c>
      <c r="F127" s="1026">
        <f t="shared" si="26"/>
        <v>1</v>
      </c>
      <c r="G127" s="1026">
        <f t="shared" si="26"/>
        <v>0.42857142857142855</v>
      </c>
      <c r="H127" s="1026">
        <f t="shared" si="26"/>
        <v>1</v>
      </c>
      <c r="I127" s="1026">
        <f t="shared" si="26"/>
        <v>0.89473684210526316</v>
      </c>
      <c r="J127" s="1026">
        <f t="shared" si="26"/>
        <v>0.94736842105263153</v>
      </c>
      <c r="K127" s="1026">
        <f t="shared" si="26"/>
        <v>1</v>
      </c>
      <c r="L127" s="1026">
        <f t="shared" si="26"/>
        <v>1</v>
      </c>
      <c r="M127" s="1026">
        <f t="shared" si="26"/>
        <v>1</v>
      </c>
      <c r="N127" s="1026">
        <f t="shared" si="26"/>
        <v>0.66666666666666663</v>
      </c>
      <c r="O127" s="2264">
        <f t="shared" si="26"/>
        <v>0.79166666666666663</v>
      </c>
      <c r="P127" s="1026">
        <f t="shared" si="26"/>
        <v>0.95833333333333337</v>
      </c>
      <c r="Q127" s="1026">
        <f t="shared" si="26"/>
        <v>0.875</v>
      </c>
      <c r="R127" s="1026">
        <f t="shared" si="26"/>
        <v>0.54166666666666663</v>
      </c>
      <c r="S127" s="1026">
        <f t="shared" si="26"/>
        <v>0.95833333333333337</v>
      </c>
      <c r="T127" s="1026">
        <f t="shared" si="26"/>
        <v>0.79166666666666663</v>
      </c>
      <c r="U127" s="1026" t="e">
        <f t="shared" si="26"/>
        <v>#DIV/0!</v>
      </c>
      <c r="V127" s="1026">
        <f t="shared" si="26"/>
        <v>0.66666666666666663</v>
      </c>
      <c r="W127" s="1026" t="e">
        <f t="shared" si="26"/>
        <v>#DIV/0!</v>
      </c>
      <c r="X127" s="1026">
        <f t="shared" si="26"/>
        <v>0.94444444444444442</v>
      </c>
      <c r="Y127" s="1026">
        <f t="shared" si="26"/>
        <v>0.47058823529411764</v>
      </c>
      <c r="Z127" s="1026">
        <f t="shared" si="26"/>
        <v>0.6</v>
      </c>
      <c r="AA127" s="1026">
        <f t="shared" si="26"/>
        <v>0.88888888888888884</v>
      </c>
      <c r="AB127" s="1026" t="e">
        <f t="shared" ref="AB127:AE127" si="27">AB125/AB126</f>
        <v>#VALUE!</v>
      </c>
      <c r="AC127" s="1026" t="e">
        <f t="shared" si="27"/>
        <v>#DIV/0!</v>
      </c>
      <c r="AD127" s="1026" t="e">
        <f t="shared" si="27"/>
        <v>#DIV/0!</v>
      </c>
      <c r="AE127" s="1026" t="e">
        <f t="shared" si="27"/>
        <v>#DIV/0!</v>
      </c>
      <c r="AF127" s="61"/>
      <c r="AG127" s="61"/>
      <c r="AH127" s="61"/>
      <c r="AI127" s="61"/>
      <c r="AJ127" s="43"/>
      <c r="AK127" s="43"/>
      <c r="AL127" s="43"/>
      <c r="AM127" s="14"/>
      <c r="AN127" s="61"/>
      <c r="AO127" s="61"/>
      <c r="AP127" s="61"/>
      <c r="AQ127" s="61"/>
      <c r="AR127" s="61"/>
      <c r="AS127" s="43"/>
      <c r="AT127" s="43"/>
      <c r="AU127" s="43"/>
      <c r="AV127" s="14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  <c r="DH127" s="61"/>
      <c r="DI127" s="61"/>
      <c r="DJ127" s="61"/>
      <c r="DK127" s="61"/>
      <c r="DL127" s="61"/>
      <c r="DM127" s="61"/>
      <c r="DN127" s="61"/>
      <c r="DO127" s="61"/>
      <c r="DP127" s="61"/>
      <c r="DQ127" s="61"/>
      <c r="DR127" s="61"/>
      <c r="DS127" s="61"/>
      <c r="DT127" s="61"/>
      <c r="DU127" s="61"/>
      <c r="DV127" s="61"/>
      <c r="DW127" s="61"/>
    </row>
    <row r="128" spans="1:127">
      <c r="A128" s="776"/>
      <c r="B128" s="1090"/>
      <c r="C128" s="1088" t="s">
        <v>296</v>
      </c>
      <c r="D128" s="1059">
        <f>COUNTA(C101:C124)</f>
        <v>24</v>
      </c>
      <c r="E128" s="1091"/>
      <c r="F128" s="1091"/>
      <c r="G128" s="1091"/>
      <c r="H128" s="1091"/>
      <c r="I128" s="1092"/>
      <c r="J128" s="1091"/>
      <c r="K128" s="1093"/>
      <c r="L128" s="776"/>
      <c r="M128" s="776"/>
      <c r="N128" s="776"/>
      <c r="O128" s="2265"/>
      <c r="P128" s="2242"/>
      <c r="Q128" s="776"/>
      <c r="R128" s="776"/>
      <c r="S128" s="776"/>
      <c r="T128" s="776"/>
      <c r="U128" s="776"/>
      <c r="V128" s="776"/>
      <c r="W128" s="776"/>
      <c r="X128" s="770"/>
      <c r="Y128" s="4"/>
      <c r="Z128" s="4"/>
      <c r="AA128" s="50"/>
      <c r="AB128" s="43"/>
      <c r="AC128" s="43"/>
      <c r="AD128" s="43"/>
      <c r="AE128" s="14"/>
      <c r="AF128" s="61"/>
      <c r="AG128" s="61"/>
      <c r="AH128" s="61"/>
      <c r="AI128" s="61"/>
      <c r="AJ128" s="43"/>
      <c r="AK128" s="43"/>
      <c r="AL128" s="43"/>
      <c r="AM128" s="14"/>
      <c r="AN128" s="61"/>
      <c r="AO128" s="61"/>
      <c r="AP128" s="61"/>
      <c r="AQ128" s="61"/>
      <c r="AR128" s="61"/>
      <c r="AS128" s="43"/>
      <c r="AT128" s="43"/>
      <c r="AU128" s="43"/>
      <c r="AV128" s="14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  <c r="CL128" s="61"/>
      <c r="CM128" s="61"/>
      <c r="CN128" s="61"/>
      <c r="CO128" s="61"/>
      <c r="CP128" s="61"/>
      <c r="CQ128" s="61"/>
      <c r="CR128" s="61"/>
      <c r="CS128" s="61"/>
      <c r="CT128" s="61"/>
      <c r="CU128" s="61"/>
      <c r="CV128" s="61"/>
      <c r="CW128" s="61"/>
      <c r="CX128" s="61"/>
      <c r="CY128" s="61"/>
      <c r="CZ128" s="61"/>
      <c r="DA128" s="61"/>
      <c r="DB128" s="61"/>
      <c r="DC128" s="61"/>
      <c r="DD128" s="61"/>
      <c r="DE128" s="61"/>
      <c r="DF128" s="61"/>
      <c r="DG128" s="61"/>
      <c r="DH128" s="61"/>
      <c r="DI128" s="61"/>
      <c r="DJ128" s="61"/>
      <c r="DK128" s="61"/>
      <c r="DL128" s="61"/>
      <c r="DM128" s="61"/>
      <c r="DN128" s="61"/>
      <c r="DO128" s="61"/>
      <c r="DP128" s="61"/>
      <c r="DQ128" s="61"/>
      <c r="DR128" s="61"/>
      <c r="DS128" s="61"/>
      <c r="DT128" s="61"/>
      <c r="DU128" s="61"/>
      <c r="DV128" s="61"/>
      <c r="DW128" s="61"/>
    </row>
    <row r="129" spans="1:127">
      <c r="A129" s="211"/>
      <c r="B129" s="211"/>
      <c r="C129" s="212"/>
      <c r="D129" s="209"/>
      <c r="E129" s="205"/>
      <c r="F129" s="205"/>
      <c r="G129" s="205"/>
      <c r="H129" s="205"/>
      <c r="I129" s="209"/>
      <c r="J129" s="206"/>
      <c r="K129" s="123"/>
      <c r="L129" s="116"/>
      <c r="M129" s="121"/>
      <c r="N129" s="121"/>
      <c r="O129" s="535"/>
      <c r="P129" s="228"/>
      <c r="Q129" s="121"/>
      <c r="R129" s="121"/>
      <c r="S129" s="121"/>
      <c r="T129" s="121"/>
      <c r="U129" s="121"/>
      <c r="V129" s="121"/>
      <c r="W129" s="121"/>
      <c r="X129" s="789"/>
      <c r="Y129" s="61"/>
      <c r="Z129" s="61"/>
      <c r="AA129" s="61"/>
      <c r="AB129" s="43"/>
      <c r="AC129" s="43"/>
      <c r="AD129" s="43"/>
      <c r="AE129" s="14"/>
      <c r="AF129" s="61"/>
      <c r="AG129" s="61"/>
      <c r="AH129" s="61"/>
      <c r="AI129" s="61"/>
      <c r="AJ129" s="43"/>
      <c r="AK129" s="43"/>
      <c r="AL129" s="43"/>
      <c r="AM129" s="14"/>
      <c r="AN129" s="61"/>
      <c r="AO129" s="61"/>
      <c r="AP129" s="61"/>
      <c r="AQ129" s="61"/>
      <c r="AR129" s="61"/>
      <c r="AS129" s="43"/>
      <c r="AT129" s="43"/>
      <c r="AU129" s="43"/>
      <c r="AV129" s="14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1"/>
      <c r="CP129" s="61"/>
      <c r="CQ129" s="61"/>
      <c r="CR129" s="61"/>
      <c r="CS129" s="61"/>
      <c r="CT129" s="61"/>
      <c r="CU129" s="61"/>
      <c r="CV129" s="61"/>
      <c r="CW129" s="61"/>
      <c r="CX129" s="61"/>
      <c r="CY129" s="61"/>
      <c r="CZ129" s="61"/>
      <c r="DA129" s="61"/>
      <c r="DB129" s="61"/>
      <c r="DC129" s="61"/>
      <c r="DD129" s="61"/>
      <c r="DE129" s="61"/>
      <c r="DF129" s="61"/>
      <c r="DG129" s="61"/>
      <c r="DH129" s="61"/>
      <c r="DI129" s="61"/>
      <c r="DJ129" s="61"/>
      <c r="DK129" s="61"/>
      <c r="DL129" s="61"/>
      <c r="DM129" s="61"/>
      <c r="DN129" s="61"/>
      <c r="DO129" s="61"/>
      <c r="DP129" s="61"/>
      <c r="DQ129" s="61"/>
      <c r="DR129" s="61"/>
      <c r="DS129" s="61"/>
      <c r="DT129" s="61"/>
      <c r="DU129" s="61"/>
      <c r="DV129" s="61"/>
      <c r="DW129" s="61"/>
    </row>
    <row r="130" spans="1:127">
      <c r="A130" s="211"/>
      <c r="B130" s="3568" t="s">
        <v>291</v>
      </c>
      <c r="C130" s="775" t="s">
        <v>289</v>
      </c>
      <c r="D130" s="1047">
        <f>SUM(D63,D95,D125)</f>
        <v>67</v>
      </c>
      <c r="E130" s="1047">
        <f t="shared" ref="E130:S130" si="28">SUM(E63,E95,E125)</f>
        <v>63</v>
      </c>
      <c r="F130" s="1047">
        <f t="shared" si="28"/>
        <v>61</v>
      </c>
      <c r="G130" s="1047">
        <f t="shared" si="28"/>
        <v>57</v>
      </c>
      <c r="H130" s="1047">
        <f t="shared" si="28"/>
        <v>71</v>
      </c>
      <c r="I130" s="1051">
        <f t="shared" si="28"/>
        <v>67</v>
      </c>
      <c r="J130" s="1047">
        <f t="shared" si="28"/>
        <v>65</v>
      </c>
      <c r="K130" s="1047">
        <f t="shared" si="28"/>
        <v>78</v>
      </c>
      <c r="L130" s="1051">
        <f t="shared" si="28"/>
        <v>64</v>
      </c>
      <c r="M130" s="1051">
        <f t="shared" si="28"/>
        <v>72</v>
      </c>
      <c r="N130" s="1047">
        <f t="shared" si="28"/>
        <v>63</v>
      </c>
      <c r="O130" s="2274">
        <f t="shared" si="28"/>
        <v>44</v>
      </c>
      <c r="P130" s="1047">
        <f t="shared" si="28"/>
        <v>66</v>
      </c>
      <c r="Q130" s="1047">
        <f t="shared" si="28"/>
        <v>58</v>
      </c>
      <c r="R130" s="1047">
        <f t="shared" si="28"/>
        <v>65</v>
      </c>
      <c r="S130" s="1047">
        <f t="shared" si="28"/>
        <v>74</v>
      </c>
      <c r="T130" s="1047">
        <f t="shared" ref="T130:U130" si="29">SUM(T63,T95,T125)</f>
        <v>45</v>
      </c>
      <c r="U130" s="1047">
        <f t="shared" si="29"/>
        <v>30</v>
      </c>
      <c r="V130" s="1047">
        <f t="shared" ref="V130:AA130" si="30">SUM(V63,V95,V125)</f>
        <v>47</v>
      </c>
      <c r="W130" s="1047">
        <f t="shared" si="30"/>
        <v>43</v>
      </c>
      <c r="X130" s="1047">
        <f t="shared" si="30"/>
        <v>74</v>
      </c>
      <c r="Y130" s="1047">
        <f t="shared" si="30"/>
        <v>66</v>
      </c>
      <c r="Z130" s="1047">
        <f t="shared" si="30"/>
        <v>60</v>
      </c>
      <c r="AA130" s="1047">
        <f t="shared" si="30"/>
        <v>64</v>
      </c>
      <c r="AB130" s="160"/>
      <c r="AC130" s="160"/>
      <c r="AD130" s="160"/>
      <c r="AE130" s="14"/>
      <c r="AF130" s="61"/>
      <c r="AG130" s="61"/>
      <c r="AH130" s="61"/>
      <c r="AI130" s="61"/>
      <c r="AJ130" s="160"/>
      <c r="AK130" s="160"/>
      <c r="AL130" s="160"/>
      <c r="AM130" s="14"/>
      <c r="AN130" s="61"/>
      <c r="AO130" s="61"/>
      <c r="AP130" s="61"/>
      <c r="AQ130" s="61"/>
      <c r="AR130" s="61"/>
      <c r="AS130" s="160"/>
      <c r="AT130" s="160"/>
      <c r="AU130" s="160"/>
      <c r="AV130" s="14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  <c r="CL130" s="61"/>
      <c r="CM130" s="61"/>
      <c r="CN130" s="61"/>
      <c r="CO130" s="61"/>
      <c r="CP130" s="61"/>
      <c r="CQ130" s="61"/>
      <c r="CR130" s="61"/>
      <c r="CS130" s="61"/>
      <c r="CT130" s="61"/>
      <c r="CU130" s="61"/>
      <c r="CV130" s="61"/>
      <c r="CW130" s="61"/>
      <c r="CX130" s="61"/>
      <c r="CY130" s="61"/>
      <c r="CZ130" s="61"/>
      <c r="DA130" s="61"/>
      <c r="DB130" s="61"/>
      <c r="DC130" s="61"/>
      <c r="DD130" s="61"/>
      <c r="DE130" s="61"/>
      <c r="DF130" s="61"/>
      <c r="DG130" s="61"/>
      <c r="DH130" s="61"/>
      <c r="DI130" s="61"/>
      <c r="DJ130" s="61"/>
      <c r="DK130" s="61"/>
      <c r="DL130" s="61"/>
      <c r="DM130" s="61"/>
      <c r="DN130" s="61"/>
      <c r="DO130" s="61"/>
      <c r="DP130" s="61"/>
      <c r="DQ130" s="61"/>
      <c r="DR130" s="61"/>
      <c r="DS130" s="61"/>
      <c r="DT130" s="61"/>
      <c r="DU130" s="61"/>
      <c r="DV130" s="61"/>
      <c r="DW130" s="61"/>
    </row>
    <row r="131" spans="1:127">
      <c r="A131" s="211"/>
      <c r="B131" s="3568"/>
      <c r="C131" s="775" t="s">
        <v>288</v>
      </c>
      <c r="D131" s="1047">
        <f t="shared" ref="D131:S131" si="31">SUM(D64,D96,D126)</f>
        <v>70</v>
      </c>
      <c r="E131" s="1047">
        <f t="shared" si="31"/>
        <v>71</v>
      </c>
      <c r="F131" s="1047">
        <f t="shared" si="31"/>
        <v>74</v>
      </c>
      <c r="G131" s="1047">
        <f t="shared" si="31"/>
        <v>74</v>
      </c>
      <c r="H131" s="1047">
        <f t="shared" si="31"/>
        <v>73</v>
      </c>
      <c r="I131" s="1051">
        <f t="shared" si="31"/>
        <v>79</v>
      </c>
      <c r="J131" s="1047">
        <f t="shared" si="31"/>
        <v>79</v>
      </c>
      <c r="K131" s="1047">
        <f t="shared" si="31"/>
        <v>79</v>
      </c>
      <c r="L131" s="1051">
        <f t="shared" si="31"/>
        <v>80</v>
      </c>
      <c r="M131" s="1051">
        <f t="shared" si="31"/>
        <v>84</v>
      </c>
      <c r="N131" s="1047">
        <f t="shared" si="31"/>
        <v>84</v>
      </c>
      <c r="O131" s="2274">
        <f t="shared" si="31"/>
        <v>53</v>
      </c>
      <c r="P131" s="1047">
        <f t="shared" si="31"/>
        <v>79</v>
      </c>
      <c r="Q131" s="1047">
        <f t="shared" si="31"/>
        <v>70</v>
      </c>
      <c r="R131" s="1047">
        <f t="shared" si="31"/>
        <v>79</v>
      </c>
      <c r="S131" s="1047">
        <f t="shared" si="31"/>
        <v>84</v>
      </c>
      <c r="T131" s="1047">
        <f t="shared" ref="T131:U131" si="32">SUM(T64,T96,T126)</f>
        <v>58</v>
      </c>
      <c r="U131" s="1047">
        <f t="shared" si="32"/>
        <v>38</v>
      </c>
      <c r="V131" s="1047">
        <f t="shared" ref="V131:W131" si="33">SUM(V64,V96,V126)</f>
        <v>63</v>
      </c>
      <c r="W131" s="1047">
        <f t="shared" si="33"/>
        <v>60</v>
      </c>
      <c r="X131" s="1047">
        <f t="shared" ref="X131:AA131" si="34">SUM(X64,X96,X126)</f>
        <v>77</v>
      </c>
      <c r="Y131" s="1047">
        <f t="shared" si="34"/>
        <v>76</v>
      </c>
      <c r="Z131" s="1047">
        <f t="shared" si="34"/>
        <v>64</v>
      </c>
      <c r="AA131" s="1047">
        <f t="shared" si="34"/>
        <v>67</v>
      </c>
      <c r="AB131" s="160"/>
      <c r="AC131" s="160"/>
      <c r="AD131" s="160"/>
      <c r="AE131" s="14"/>
      <c r="AF131" s="61"/>
      <c r="AG131" s="61"/>
      <c r="AH131" s="61"/>
      <c r="AI131" s="61"/>
      <c r="AJ131" s="160"/>
      <c r="AK131" s="160"/>
      <c r="AL131" s="160"/>
      <c r="AM131" s="14"/>
      <c r="AN131" s="61"/>
      <c r="AO131" s="61"/>
      <c r="AP131" s="61"/>
      <c r="AQ131" s="61"/>
      <c r="AR131" s="61"/>
      <c r="AS131" s="160"/>
      <c r="AT131" s="160"/>
      <c r="AU131" s="160"/>
      <c r="AV131" s="14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1"/>
      <c r="CM131" s="61"/>
      <c r="CN131" s="61"/>
      <c r="CO131" s="61"/>
      <c r="CP131" s="61"/>
      <c r="CQ131" s="61"/>
      <c r="CR131" s="61"/>
      <c r="CS131" s="61"/>
      <c r="CT131" s="61"/>
      <c r="CU131" s="61"/>
      <c r="CV131" s="61"/>
      <c r="CW131" s="61"/>
      <c r="CX131" s="61"/>
      <c r="CY131" s="61"/>
      <c r="CZ131" s="61"/>
      <c r="DA131" s="61"/>
      <c r="DB131" s="61"/>
      <c r="DC131" s="61"/>
      <c r="DD131" s="61"/>
      <c r="DE131" s="61"/>
      <c r="DF131" s="61"/>
      <c r="DG131" s="61"/>
      <c r="DH131" s="61"/>
      <c r="DI131" s="61"/>
      <c r="DJ131" s="61"/>
      <c r="DK131" s="61"/>
      <c r="DL131" s="61"/>
      <c r="DM131" s="61"/>
      <c r="DN131" s="61"/>
      <c r="DO131" s="61"/>
      <c r="DP131" s="61"/>
      <c r="DQ131" s="61"/>
      <c r="DR131" s="61"/>
      <c r="DS131" s="61"/>
      <c r="DT131" s="61"/>
      <c r="DU131" s="61"/>
      <c r="DV131" s="61"/>
      <c r="DW131" s="61"/>
    </row>
    <row r="132" spans="1:127">
      <c r="A132" s="211"/>
      <c r="B132" s="3568"/>
      <c r="C132" s="775" t="s">
        <v>290</v>
      </c>
      <c r="D132" s="1048">
        <f>D130/D131</f>
        <v>0.95714285714285718</v>
      </c>
      <c r="E132" s="1048">
        <f t="shared" ref="E132:S132" si="35">E130/E131</f>
        <v>0.88732394366197187</v>
      </c>
      <c r="F132" s="1048">
        <f t="shared" si="35"/>
        <v>0.82432432432432434</v>
      </c>
      <c r="G132" s="1048">
        <f t="shared" si="35"/>
        <v>0.77027027027027029</v>
      </c>
      <c r="H132" s="1048">
        <f t="shared" si="35"/>
        <v>0.9726027397260274</v>
      </c>
      <c r="I132" s="1052">
        <f t="shared" si="35"/>
        <v>0.84810126582278478</v>
      </c>
      <c r="J132" s="1048">
        <f t="shared" si="35"/>
        <v>0.82278481012658233</v>
      </c>
      <c r="K132" s="1048">
        <f t="shared" si="35"/>
        <v>0.98734177215189878</v>
      </c>
      <c r="L132" s="1052">
        <f t="shared" si="35"/>
        <v>0.8</v>
      </c>
      <c r="M132" s="1052">
        <f t="shared" si="35"/>
        <v>0.8571428571428571</v>
      </c>
      <c r="N132" s="1048">
        <f t="shared" si="35"/>
        <v>0.75</v>
      </c>
      <c r="O132" s="2275">
        <f t="shared" si="35"/>
        <v>0.83018867924528306</v>
      </c>
      <c r="P132" s="1048">
        <f t="shared" si="35"/>
        <v>0.83544303797468356</v>
      </c>
      <c r="Q132" s="1048">
        <f t="shared" si="35"/>
        <v>0.82857142857142863</v>
      </c>
      <c r="R132" s="1048">
        <f t="shared" si="35"/>
        <v>0.82278481012658233</v>
      </c>
      <c r="S132" s="1048">
        <f t="shared" si="35"/>
        <v>0.88095238095238093</v>
      </c>
      <c r="T132" s="1048">
        <f t="shared" ref="T132:U132" si="36">T130/T131</f>
        <v>0.77586206896551724</v>
      </c>
      <c r="U132" s="1048">
        <f t="shared" si="36"/>
        <v>0.78947368421052633</v>
      </c>
      <c r="V132" s="1048">
        <f t="shared" ref="V132:W132" si="37">V130/V131</f>
        <v>0.74603174603174605</v>
      </c>
      <c r="W132" s="1048">
        <f t="shared" si="37"/>
        <v>0.71666666666666667</v>
      </c>
      <c r="X132" s="1048">
        <f t="shared" ref="X132:AA132" si="38">X130/X131</f>
        <v>0.96103896103896103</v>
      </c>
      <c r="Y132" s="1048">
        <f t="shared" si="38"/>
        <v>0.86842105263157898</v>
      </c>
      <c r="Z132" s="1048">
        <f t="shared" si="38"/>
        <v>0.9375</v>
      </c>
      <c r="AA132" s="1048">
        <f t="shared" si="38"/>
        <v>0.95522388059701491</v>
      </c>
      <c r="AB132" s="161"/>
      <c r="AC132" s="161"/>
      <c r="AD132" s="161"/>
      <c r="AE132" s="14"/>
      <c r="AF132" s="61"/>
      <c r="AG132" s="61"/>
      <c r="AH132" s="61"/>
      <c r="AI132" s="61"/>
      <c r="AJ132" s="161"/>
      <c r="AK132" s="161"/>
      <c r="AL132" s="161"/>
      <c r="AM132" s="14"/>
      <c r="AN132" s="61"/>
      <c r="AO132" s="61"/>
      <c r="AP132" s="61"/>
      <c r="AQ132" s="61"/>
      <c r="AR132" s="61"/>
      <c r="AS132" s="161"/>
      <c r="AT132" s="161"/>
      <c r="AU132" s="161"/>
      <c r="AV132" s="14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  <c r="CL132" s="61"/>
      <c r="CM132" s="61"/>
      <c r="CN132" s="61"/>
      <c r="CO132" s="61"/>
      <c r="CP132" s="61"/>
      <c r="CQ132" s="61"/>
      <c r="CR132" s="61"/>
      <c r="CS132" s="61"/>
      <c r="CT132" s="61"/>
      <c r="CU132" s="61"/>
      <c r="CV132" s="61"/>
      <c r="CW132" s="61"/>
      <c r="CX132" s="61"/>
      <c r="CY132" s="61"/>
      <c r="CZ132" s="61"/>
      <c r="DA132" s="61"/>
      <c r="DB132" s="61"/>
      <c r="DC132" s="61"/>
      <c r="DD132" s="61"/>
      <c r="DE132" s="61"/>
      <c r="DF132" s="61"/>
      <c r="DG132" s="61"/>
      <c r="DH132" s="61"/>
      <c r="DI132" s="61"/>
      <c r="DJ132" s="61"/>
      <c r="DK132" s="61"/>
      <c r="DL132" s="61"/>
      <c r="DM132" s="61"/>
      <c r="DN132" s="61"/>
      <c r="DO132" s="61"/>
      <c r="DP132" s="61"/>
      <c r="DQ132" s="61"/>
      <c r="DR132" s="61"/>
      <c r="DS132" s="61"/>
      <c r="DT132" s="61"/>
      <c r="DU132" s="61"/>
      <c r="DV132" s="61"/>
      <c r="DW132" s="61"/>
    </row>
    <row r="133" spans="1:127">
      <c r="A133" s="776"/>
      <c r="B133" s="1090"/>
      <c r="C133" s="1088" t="s">
        <v>296</v>
      </c>
      <c r="D133" s="1059">
        <f>SUM(D128,D98,D66)</f>
        <v>84</v>
      </c>
      <c r="E133" s="1091"/>
      <c r="F133" s="1091"/>
      <c r="G133" s="1091"/>
      <c r="H133" s="1091"/>
      <c r="I133" s="1092"/>
      <c r="J133" s="1091"/>
      <c r="K133" s="1093"/>
      <c r="L133" s="776"/>
      <c r="M133" s="776"/>
      <c r="N133" s="776"/>
      <c r="O133" s="2265"/>
      <c r="P133" s="2242"/>
      <c r="Q133" s="776"/>
      <c r="R133" s="776"/>
      <c r="S133" s="776"/>
      <c r="T133" s="776"/>
      <c r="U133" s="776"/>
      <c r="V133" s="776"/>
      <c r="W133" s="776"/>
      <c r="X133" s="770"/>
      <c r="Y133" s="4"/>
      <c r="Z133" s="4"/>
      <c r="AA133" s="50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  <c r="CP133" s="61"/>
      <c r="CQ133" s="61"/>
      <c r="CR133" s="61"/>
      <c r="CS133" s="61"/>
      <c r="CT133" s="61"/>
      <c r="CU133" s="61"/>
      <c r="CV133" s="61"/>
      <c r="CW133" s="61"/>
      <c r="CX133" s="61"/>
      <c r="CY133" s="61"/>
      <c r="CZ133" s="61"/>
      <c r="DA133" s="61"/>
      <c r="DB133" s="61"/>
      <c r="DC133" s="61"/>
      <c r="DD133" s="61"/>
      <c r="DE133" s="61"/>
      <c r="DF133" s="61"/>
      <c r="DG133" s="61"/>
      <c r="DH133" s="61"/>
      <c r="DI133" s="61"/>
      <c r="DJ133" s="61"/>
      <c r="DK133" s="61"/>
      <c r="DL133" s="61"/>
      <c r="DM133" s="61"/>
      <c r="DN133" s="61"/>
      <c r="DO133" s="61"/>
      <c r="DP133" s="61"/>
      <c r="DQ133" s="61"/>
      <c r="DR133" s="61"/>
      <c r="DS133" s="61"/>
      <c r="DT133" s="61"/>
      <c r="DU133" s="61"/>
      <c r="DV133" s="61"/>
      <c r="DW133" s="61"/>
    </row>
    <row r="134" spans="1:127">
      <c r="A134" s="211"/>
      <c r="B134" s="211"/>
      <c r="C134" s="212"/>
      <c r="D134" s="209"/>
      <c r="E134" s="205"/>
      <c r="F134" s="205"/>
      <c r="G134" s="205"/>
      <c r="H134" s="205"/>
      <c r="I134" s="209"/>
      <c r="J134" s="206"/>
      <c r="K134" s="123"/>
      <c r="L134" s="116"/>
      <c r="M134" s="121"/>
      <c r="N134" s="121"/>
      <c r="O134" s="535"/>
      <c r="P134" s="228"/>
      <c r="Q134" s="121"/>
      <c r="R134" s="121"/>
      <c r="S134" s="121"/>
      <c r="T134" s="121"/>
      <c r="U134" s="121"/>
      <c r="V134" s="121"/>
      <c r="W134" s="121"/>
      <c r="X134" s="789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/>
      <c r="CR134" s="61"/>
      <c r="CS134" s="61"/>
      <c r="CT134" s="61"/>
      <c r="CU134" s="61"/>
      <c r="CV134" s="61"/>
      <c r="CW134" s="61"/>
      <c r="CX134" s="61"/>
      <c r="CY134" s="61"/>
      <c r="CZ134" s="61"/>
      <c r="DA134" s="61"/>
      <c r="DB134" s="61"/>
      <c r="DC134" s="61"/>
      <c r="DD134" s="61"/>
      <c r="DE134" s="61"/>
      <c r="DF134" s="61"/>
      <c r="DG134" s="61"/>
      <c r="DH134" s="61"/>
      <c r="DI134" s="61"/>
      <c r="DJ134" s="61"/>
      <c r="DK134" s="61"/>
      <c r="DL134" s="61"/>
      <c r="DM134" s="61"/>
      <c r="DN134" s="61"/>
      <c r="DO134" s="61"/>
      <c r="DP134" s="61"/>
      <c r="DQ134" s="61"/>
      <c r="DR134" s="61"/>
      <c r="DS134" s="61"/>
      <c r="DT134" s="61"/>
      <c r="DU134" s="61"/>
      <c r="DV134" s="61"/>
      <c r="DW134" s="61"/>
    </row>
    <row r="135" spans="1:127">
      <c r="A135" s="211"/>
      <c r="B135" s="211"/>
      <c r="C135" s="212"/>
      <c r="D135" s="209"/>
      <c r="E135" s="205"/>
      <c r="F135" s="205"/>
      <c r="G135" s="205"/>
      <c r="H135" s="205"/>
      <c r="I135" s="209"/>
      <c r="J135" s="206"/>
      <c r="K135" s="123"/>
      <c r="L135" s="116"/>
      <c r="M135" s="121"/>
      <c r="N135" s="121"/>
      <c r="O135" s="535"/>
      <c r="P135" s="228"/>
      <c r="Q135" s="121"/>
      <c r="R135" s="121"/>
      <c r="S135" s="121"/>
      <c r="T135" s="121"/>
      <c r="U135" s="121"/>
      <c r="V135" s="121"/>
      <c r="W135" s="121"/>
      <c r="X135" s="789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  <c r="CW135" s="61"/>
      <c r="CX135" s="61"/>
      <c r="CY135" s="61"/>
      <c r="CZ135" s="61"/>
      <c r="DA135" s="61"/>
      <c r="DB135" s="61"/>
      <c r="DC135" s="61"/>
      <c r="DD135" s="61"/>
      <c r="DE135" s="61"/>
      <c r="DF135" s="61"/>
      <c r="DG135" s="61"/>
      <c r="DH135" s="61"/>
      <c r="DI135" s="61"/>
      <c r="DJ135" s="61"/>
      <c r="DK135" s="61"/>
      <c r="DL135" s="61"/>
      <c r="DM135" s="61"/>
      <c r="DN135" s="61"/>
      <c r="DO135" s="61"/>
      <c r="DP135" s="61"/>
      <c r="DQ135" s="61"/>
      <c r="DR135" s="61"/>
      <c r="DS135" s="61"/>
      <c r="DT135" s="61"/>
      <c r="DU135" s="61"/>
      <c r="DV135" s="61"/>
      <c r="DW135" s="61"/>
    </row>
    <row r="136" spans="1:127">
      <c r="A136" s="211"/>
      <c r="B136" s="211"/>
      <c r="C136" s="212"/>
      <c r="D136" s="209"/>
      <c r="E136" s="205"/>
      <c r="F136" s="3616" t="s">
        <v>227</v>
      </c>
      <c r="G136" s="3616"/>
      <c r="H136" s="3616"/>
      <c r="I136" s="3616"/>
      <c r="J136" s="116"/>
      <c r="K136" s="123"/>
      <c r="L136" s="116"/>
      <c r="M136" s="121"/>
      <c r="N136" s="3616" t="s">
        <v>227</v>
      </c>
      <c r="O136" s="3616"/>
      <c r="P136" s="3616"/>
      <c r="Q136" s="3616"/>
      <c r="R136" s="121"/>
      <c r="S136" s="121"/>
      <c r="T136" s="121"/>
      <c r="U136" s="121"/>
      <c r="V136" s="121"/>
      <c r="W136" s="121"/>
      <c r="X136" s="789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1"/>
      <c r="CQ136" s="61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E136" s="61"/>
      <c r="DF136" s="61"/>
      <c r="DG136" s="61"/>
      <c r="DH136" s="61"/>
      <c r="DI136" s="61"/>
      <c r="DJ136" s="61"/>
      <c r="DK136" s="61"/>
      <c r="DL136" s="61"/>
      <c r="DM136" s="61"/>
      <c r="DN136" s="61"/>
      <c r="DO136" s="61"/>
      <c r="DP136" s="61"/>
      <c r="DQ136" s="61"/>
      <c r="DR136" s="61"/>
      <c r="DS136" s="61"/>
      <c r="DT136" s="61"/>
      <c r="DU136" s="61"/>
      <c r="DV136" s="61"/>
      <c r="DW136" s="61"/>
    </row>
    <row r="137" spans="1:127" s="4" customFormat="1" ht="15.75" thickBot="1">
      <c r="A137" s="211"/>
      <c r="B137" s="211"/>
      <c r="C137" s="212"/>
      <c r="D137" s="209"/>
      <c r="E137" s="205"/>
      <c r="F137" s="3616"/>
      <c r="G137" s="3616"/>
      <c r="H137" s="3616"/>
      <c r="I137" s="3616"/>
      <c r="J137" s="116"/>
      <c r="K137" s="123"/>
      <c r="L137" s="116"/>
      <c r="M137" s="121"/>
      <c r="N137" s="3616"/>
      <c r="O137" s="3616"/>
      <c r="P137" s="3616"/>
      <c r="Q137" s="3616"/>
      <c r="R137" s="121"/>
      <c r="S137" s="121"/>
      <c r="T137" s="121"/>
      <c r="U137" s="121"/>
      <c r="V137" s="121"/>
      <c r="W137" s="121"/>
      <c r="X137" s="789"/>
      <c r="Y137" s="61"/>
      <c r="Z137" s="61"/>
      <c r="AA137" s="61"/>
      <c r="BB137" s="83"/>
      <c r="BC137" s="83"/>
      <c r="BD137" s="83"/>
      <c r="BE137" s="83"/>
      <c r="BF137" s="83"/>
      <c r="BG137" s="83"/>
      <c r="BH137" s="83"/>
      <c r="BI137" s="83"/>
      <c r="BJ137" s="83"/>
      <c r="BK137" s="83"/>
      <c r="BL137" s="83"/>
      <c r="BM137" s="83"/>
      <c r="BN137" s="83"/>
      <c r="BO137" s="83"/>
      <c r="BP137" s="83"/>
      <c r="BQ137" s="83"/>
      <c r="BR137" s="83"/>
      <c r="BS137" s="83"/>
      <c r="BT137" s="83"/>
      <c r="BU137" s="83"/>
      <c r="BV137" s="83"/>
      <c r="CE137" s="83"/>
      <c r="CF137" s="83"/>
      <c r="CG137" s="83"/>
      <c r="CH137" s="83"/>
      <c r="CI137" s="83"/>
      <c r="CJ137" s="83"/>
      <c r="CK137" s="83"/>
      <c r="CL137" s="83"/>
      <c r="CM137" s="83"/>
      <c r="CN137" s="83"/>
      <c r="CO137" s="83"/>
      <c r="CP137" s="83"/>
      <c r="CQ137" s="83"/>
      <c r="CR137" s="83"/>
      <c r="CS137" s="83"/>
      <c r="CT137" s="83"/>
      <c r="CU137" s="83"/>
      <c r="CV137" s="83"/>
      <c r="CW137" s="83"/>
      <c r="CX137" s="83"/>
      <c r="CY137" s="83"/>
      <c r="CZ137" s="83"/>
      <c r="DA137" s="83"/>
    </row>
    <row r="138" spans="1:127" s="4" customFormat="1" ht="15.75" thickBot="1">
      <c r="A138" s="328"/>
      <c r="B138" s="113" t="s">
        <v>284</v>
      </c>
      <c r="C138" s="266" t="s">
        <v>168</v>
      </c>
      <c r="D138" s="268">
        <v>50</v>
      </c>
      <c r="E138" s="268">
        <v>50</v>
      </c>
      <c r="F138" s="268">
        <v>50</v>
      </c>
      <c r="G138" s="345">
        <v>50</v>
      </c>
      <c r="H138" s="346">
        <v>50</v>
      </c>
      <c r="I138" s="268">
        <v>50</v>
      </c>
      <c r="J138" s="268">
        <v>50</v>
      </c>
      <c r="K138" s="269">
        <v>50</v>
      </c>
      <c r="L138" s="367">
        <v>50</v>
      </c>
      <c r="M138" s="268">
        <v>50</v>
      </c>
      <c r="N138" s="345">
        <v>50</v>
      </c>
      <c r="O138" s="2426">
        <v>50</v>
      </c>
      <c r="P138" s="547">
        <v>50</v>
      </c>
      <c r="Q138" s="355">
        <v>50</v>
      </c>
      <c r="R138" s="355">
        <v>50</v>
      </c>
      <c r="S138" s="543">
        <v>50</v>
      </c>
      <c r="T138" s="2953"/>
      <c r="U138" s="2953"/>
      <c r="V138" s="2858"/>
      <c r="W138" s="2858"/>
      <c r="X138" s="789"/>
      <c r="Y138" s="61"/>
      <c r="Z138" s="61"/>
      <c r="AA138" s="61"/>
      <c r="BB138" s="83"/>
      <c r="BC138" s="83"/>
      <c r="BD138" s="83"/>
      <c r="BE138" s="83"/>
      <c r="BF138" s="83"/>
      <c r="BG138" s="83"/>
      <c r="BH138" s="83"/>
      <c r="BI138" s="83"/>
      <c r="BJ138" s="83"/>
      <c r="BK138" s="83"/>
      <c r="BL138" s="83"/>
      <c r="BM138" s="83"/>
      <c r="BN138" s="83"/>
      <c r="BO138" s="83"/>
      <c r="BP138" s="83"/>
      <c r="BQ138" s="83"/>
      <c r="BR138" s="83"/>
      <c r="BS138" s="83"/>
      <c r="BT138" s="83"/>
      <c r="BU138" s="83"/>
      <c r="BV138" s="83"/>
      <c r="CE138" s="83"/>
      <c r="CF138" s="83"/>
      <c r="CG138" s="83"/>
      <c r="CH138" s="83"/>
      <c r="CI138" s="83"/>
      <c r="CJ138" s="83"/>
      <c r="CK138" s="83"/>
      <c r="CL138" s="83"/>
      <c r="CM138" s="83"/>
      <c r="CN138" s="83"/>
      <c r="CO138" s="83"/>
      <c r="CP138" s="83"/>
      <c r="CQ138" s="83"/>
      <c r="CR138" s="83"/>
      <c r="CS138" s="83"/>
      <c r="CT138" s="83"/>
      <c r="CU138" s="83"/>
      <c r="CV138" s="83"/>
      <c r="CW138" s="83"/>
      <c r="CX138" s="83"/>
      <c r="CY138" s="83"/>
      <c r="CZ138" s="83"/>
      <c r="DA138" s="83"/>
    </row>
    <row r="139" spans="1:127" s="4" customFormat="1" ht="15.75">
      <c r="A139" s="328"/>
      <c r="B139" s="113">
        <f>COUNTA(C139:C152)</f>
        <v>14</v>
      </c>
      <c r="C139" s="368" t="s">
        <v>116</v>
      </c>
      <c r="D139" s="514">
        <v>19</v>
      </c>
      <c r="E139" s="480">
        <v>6.5</v>
      </c>
      <c r="F139" s="480">
        <v>6.333333333333333</v>
      </c>
      <c r="G139" s="488">
        <v>10.833333333333334</v>
      </c>
      <c r="H139" s="496">
        <v>12.666666666666666</v>
      </c>
      <c r="I139" s="494">
        <v>8.6666666666666661</v>
      </c>
      <c r="J139" s="454">
        <v>10</v>
      </c>
      <c r="K139" s="731">
        <v>8</v>
      </c>
      <c r="L139" s="742">
        <v>12.666666666666666</v>
      </c>
      <c r="M139" s="499">
        <v>23.33</v>
      </c>
      <c r="N139" s="2066">
        <v>20</v>
      </c>
      <c r="O139" s="2474"/>
      <c r="P139" s="2308"/>
      <c r="Q139" s="2180"/>
      <c r="R139" s="2180">
        <v>70.67</v>
      </c>
      <c r="S139" s="2970">
        <v>38</v>
      </c>
      <c r="T139" s="400">
        <v>29.5</v>
      </c>
      <c r="U139" s="760">
        <v>33.33</v>
      </c>
      <c r="V139" s="70"/>
      <c r="W139" s="3096">
        <v>18.670000000000002</v>
      </c>
      <c r="X139" s="767">
        <v>18.670000000000002</v>
      </c>
      <c r="Y139" s="61"/>
      <c r="Z139" s="61"/>
      <c r="AA139" s="61"/>
      <c r="BB139" s="83"/>
      <c r="BC139" s="83"/>
      <c r="BD139" s="83"/>
      <c r="BE139" s="83"/>
      <c r="BF139" s="83"/>
      <c r="BG139" s="83"/>
      <c r="BH139" s="83"/>
      <c r="BI139" s="83"/>
      <c r="BJ139" s="83"/>
      <c r="BK139" s="83"/>
      <c r="BL139" s="83"/>
      <c r="BM139" s="83"/>
      <c r="BN139" s="83"/>
      <c r="BO139" s="83"/>
      <c r="BP139" s="83"/>
      <c r="BQ139" s="83"/>
      <c r="BR139" s="83"/>
      <c r="BS139" s="83"/>
      <c r="BT139" s="83"/>
      <c r="BU139" s="83"/>
      <c r="BV139" s="83"/>
      <c r="CE139" s="83"/>
      <c r="CF139" s="83"/>
      <c r="CG139" s="83"/>
      <c r="CH139" s="83"/>
      <c r="CI139" s="83"/>
      <c r="CJ139" s="83"/>
      <c r="CK139" s="83"/>
      <c r="CL139" s="83"/>
      <c r="CM139" s="83"/>
      <c r="CN139" s="83"/>
      <c r="CO139" s="83"/>
      <c r="CP139" s="83"/>
      <c r="CQ139" s="83"/>
      <c r="CR139" s="83"/>
      <c r="CS139" s="83"/>
      <c r="CT139" s="83"/>
      <c r="CU139" s="83"/>
      <c r="CV139" s="83"/>
      <c r="CW139" s="83"/>
      <c r="CX139" s="83"/>
      <c r="CY139" s="83"/>
      <c r="CZ139" s="83"/>
      <c r="DA139" s="83"/>
    </row>
    <row r="140" spans="1:127" s="4" customFormat="1" ht="15.75">
      <c r="A140" s="123"/>
      <c r="B140" s="122"/>
      <c r="C140" s="101" t="s">
        <v>124</v>
      </c>
      <c r="D140" s="498">
        <v>54</v>
      </c>
      <c r="E140" s="484">
        <v>87.5</v>
      </c>
      <c r="F140" s="484">
        <v>48.666666666666664</v>
      </c>
      <c r="G140" s="489">
        <v>46.166666666666664</v>
      </c>
      <c r="H140" s="483">
        <v>36</v>
      </c>
      <c r="I140" s="484">
        <v>34.666666666666664</v>
      </c>
      <c r="J140" s="459">
        <v>33.67</v>
      </c>
      <c r="K140" s="733">
        <v>35.333333333333336</v>
      </c>
      <c r="L140" s="742">
        <v>50.666666666666664</v>
      </c>
      <c r="M140" s="499">
        <v>44.83</v>
      </c>
      <c r="N140" s="2066">
        <v>38</v>
      </c>
      <c r="O140" s="2475"/>
      <c r="P140" s="2309"/>
      <c r="Q140" s="760"/>
      <c r="R140" s="760">
        <v>27.33</v>
      </c>
      <c r="S140" s="2971">
        <v>84</v>
      </c>
      <c r="T140" s="400">
        <v>44</v>
      </c>
      <c r="U140" s="400">
        <v>57</v>
      </c>
      <c r="V140" s="70"/>
      <c r="W140" s="3096">
        <v>55</v>
      </c>
      <c r="X140" s="767">
        <v>55</v>
      </c>
      <c r="Y140" s="61"/>
      <c r="Z140" s="61"/>
      <c r="AA140" s="61"/>
      <c r="AB140" s="83"/>
      <c r="AC140" s="83"/>
      <c r="AD140" s="83"/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U140" s="83"/>
      <c r="AV140" s="83"/>
      <c r="AW140" s="83"/>
      <c r="AX140" s="83"/>
      <c r="AY140" s="83"/>
      <c r="AZ140" s="83"/>
      <c r="BB140" s="50"/>
      <c r="BC140" s="50"/>
      <c r="BD140" s="50"/>
      <c r="BE140" s="83"/>
      <c r="BF140" s="83"/>
      <c r="BG140" s="83"/>
      <c r="BH140" s="83"/>
      <c r="BI140" s="83"/>
      <c r="BJ140" s="83"/>
      <c r="BK140" s="83"/>
      <c r="BL140" s="83"/>
      <c r="BM140" s="83"/>
      <c r="BN140" s="50"/>
      <c r="BO140" s="50"/>
      <c r="BP140" s="50"/>
      <c r="BQ140" s="50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  <c r="CH140" s="50"/>
      <c r="CI140" s="50"/>
      <c r="CJ140" s="50"/>
    </row>
    <row r="141" spans="1:127" s="965" customFormat="1" ht="15.75">
      <c r="A141" s="123"/>
      <c r="B141" s="122"/>
      <c r="C141" s="102" t="s">
        <v>118</v>
      </c>
      <c r="D141" s="498">
        <v>26</v>
      </c>
      <c r="E141" s="484">
        <v>6.5</v>
      </c>
      <c r="F141" s="484">
        <v>8.5</v>
      </c>
      <c r="G141" s="489">
        <v>10.333333333333334</v>
      </c>
      <c r="H141" s="483">
        <v>11.333333333333334</v>
      </c>
      <c r="I141" s="484">
        <v>12.666666666666666</v>
      </c>
      <c r="J141" s="459">
        <v>11.56</v>
      </c>
      <c r="K141" s="733">
        <v>8.6666666666666661</v>
      </c>
      <c r="L141" s="742">
        <v>8</v>
      </c>
      <c r="M141" s="499">
        <v>11.67</v>
      </c>
      <c r="N141" s="2066">
        <v>13</v>
      </c>
      <c r="O141" s="2475"/>
      <c r="P141" s="2309"/>
      <c r="Q141" s="760"/>
      <c r="R141" s="755">
        <v>45.67</v>
      </c>
      <c r="S141" s="2971">
        <v>32.67</v>
      </c>
      <c r="T141" s="400">
        <v>11.5</v>
      </c>
      <c r="U141" s="760">
        <v>10.33</v>
      </c>
      <c r="V141" s="70"/>
      <c r="W141" s="3096">
        <v>5.67</v>
      </c>
      <c r="X141" s="767">
        <v>5.67</v>
      </c>
      <c r="Y141" s="61"/>
      <c r="Z141" s="61"/>
      <c r="AA141" s="70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  <c r="DH141" s="61"/>
      <c r="DI141" s="61"/>
      <c r="DJ141" s="61"/>
      <c r="DK141" s="61"/>
      <c r="DL141" s="61"/>
      <c r="DM141" s="61"/>
      <c r="DN141" s="61"/>
      <c r="DO141" s="61"/>
      <c r="DP141" s="61"/>
      <c r="DQ141" s="61"/>
      <c r="DR141" s="61"/>
      <c r="DS141" s="61"/>
      <c r="DT141" s="61"/>
      <c r="DU141" s="61"/>
      <c r="DV141" s="61"/>
      <c r="DW141" s="61"/>
    </row>
    <row r="142" spans="1:127" ht="15.75">
      <c r="A142" s="123"/>
      <c r="B142" s="122"/>
      <c r="C142" s="102" t="s">
        <v>113</v>
      </c>
      <c r="D142" s="498">
        <v>21</v>
      </c>
      <c r="E142" s="484">
        <v>8.5</v>
      </c>
      <c r="F142" s="484">
        <v>8.3333333333333339</v>
      </c>
      <c r="G142" s="489">
        <v>8</v>
      </c>
      <c r="H142" s="483">
        <v>9.3333333333333339</v>
      </c>
      <c r="I142" s="484">
        <v>8</v>
      </c>
      <c r="J142" s="459">
        <v>8.44</v>
      </c>
      <c r="K142" s="733">
        <v>8</v>
      </c>
      <c r="L142" s="742">
        <v>10</v>
      </c>
      <c r="M142" s="974">
        <v>22.33</v>
      </c>
      <c r="N142" s="2471">
        <v>13</v>
      </c>
      <c r="O142" s="2476"/>
      <c r="P142" s="2310"/>
      <c r="Q142" s="2181"/>
      <c r="R142" s="757">
        <v>48.67</v>
      </c>
      <c r="S142" s="2971">
        <v>37.33</v>
      </c>
      <c r="T142" s="400">
        <v>26</v>
      </c>
      <c r="U142" s="760">
        <v>32.33</v>
      </c>
      <c r="V142" s="70"/>
      <c r="W142" s="3096">
        <v>15.67</v>
      </c>
      <c r="X142" s="767">
        <v>15.67</v>
      </c>
      <c r="Y142" s="61"/>
      <c r="Z142" s="28"/>
      <c r="AA142" s="43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1"/>
      <c r="CX142" s="61"/>
      <c r="CY142" s="61"/>
      <c r="CZ142" s="61"/>
      <c r="DA142" s="61"/>
      <c r="DB142" s="61"/>
      <c r="DC142" s="61"/>
      <c r="DD142" s="61"/>
      <c r="DE142" s="61"/>
      <c r="DF142" s="61"/>
      <c r="DG142" s="61"/>
      <c r="DH142" s="61"/>
      <c r="DI142" s="61"/>
      <c r="DJ142" s="61"/>
      <c r="DK142" s="61"/>
      <c r="DL142" s="61"/>
      <c r="DM142" s="61"/>
      <c r="DN142" s="61"/>
      <c r="DO142" s="61"/>
      <c r="DP142" s="61"/>
      <c r="DQ142" s="61"/>
      <c r="DR142" s="61"/>
      <c r="DS142" s="61"/>
      <c r="DT142" s="61"/>
      <c r="DU142" s="61"/>
      <c r="DV142" s="61"/>
      <c r="DW142" s="61"/>
    </row>
    <row r="143" spans="1:127" s="4" customFormat="1" ht="15.75">
      <c r="A143" s="123"/>
      <c r="B143" s="122"/>
      <c r="C143" s="101" t="s">
        <v>123</v>
      </c>
      <c r="D143" s="498">
        <v>54</v>
      </c>
      <c r="E143" s="484">
        <v>37.25</v>
      </c>
      <c r="F143" s="484">
        <v>39</v>
      </c>
      <c r="G143" s="489">
        <v>43</v>
      </c>
      <c r="H143" s="483">
        <v>51</v>
      </c>
      <c r="I143" s="484">
        <v>37.333333333333336</v>
      </c>
      <c r="J143" s="459">
        <v>35.89</v>
      </c>
      <c r="K143" s="733">
        <v>28.333333333333332</v>
      </c>
      <c r="L143" s="742">
        <v>50.666666666666664</v>
      </c>
      <c r="M143" s="499">
        <v>55.33</v>
      </c>
      <c r="N143" s="2471">
        <v>43</v>
      </c>
      <c r="O143" s="2476"/>
      <c r="P143" s="2310"/>
      <c r="Q143" s="2181"/>
      <c r="R143" s="757">
        <v>35</v>
      </c>
      <c r="S143" s="2971">
        <v>36.33</v>
      </c>
      <c r="T143" s="400">
        <v>52</v>
      </c>
      <c r="U143" s="760">
        <v>51.67</v>
      </c>
      <c r="V143" s="70"/>
      <c r="W143" s="3096">
        <v>53</v>
      </c>
      <c r="X143" s="767">
        <v>53</v>
      </c>
      <c r="Y143" s="61"/>
      <c r="Z143" s="61"/>
      <c r="AA143" s="43"/>
      <c r="AB143" s="83"/>
      <c r="AC143" s="83"/>
      <c r="AD143" s="83"/>
      <c r="AE143" s="83"/>
      <c r="AF143" s="83"/>
      <c r="AG143" s="83"/>
      <c r="AH143" s="83"/>
      <c r="AI143" s="83"/>
      <c r="AJ143" s="83"/>
      <c r="AK143" s="83"/>
      <c r="AL143" s="83"/>
      <c r="AM143" s="83"/>
      <c r="AN143" s="83"/>
      <c r="AO143" s="83"/>
      <c r="AP143" s="83"/>
      <c r="AQ143" s="83"/>
      <c r="AR143" s="83"/>
      <c r="AS143" s="83"/>
      <c r="AT143" s="83"/>
      <c r="AU143" s="83"/>
      <c r="AV143" s="83"/>
      <c r="AW143" s="83"/>
      <c r="AX143" s="83"/>
      <c r="AY143" s="83"/>
      <c r="AZ143" s="83"/>
      <c r="BE143" s="83"/>
      <c r="BF143" s="83"/>
      <c r="BG143" s="83"/>
      <c r="BH143" s="83"/>
      <c r="BI143" s="83"/>
      <c r="BJ143" s="83"/>
      <c r="BK143" s="83"/>
      <c r="BL143" s="83"/>
      <c r="BM143" s="83"/>
    </row>
    <row r="144" spans="1:127" s="4" customFormat="1" ht="15.75">
      <c r="A144" s="123"/>
      <c r="B144" s="122"/>
      <c r="C144" s="101" t="s">
        <v>120</v>
      </c>
      <c r="D144" s="498">
        <v>28</v>
      </c>
      <c r="E144" s="484">
        <v>21.75</v>
      </c>
      <c r="F144" s="484">
        <v>18.666666666666668</v>
      </c>
      <c r="G144" s="489">
        <v>32.833333333333336</v>
      </c>
      <c r="H144" s="483">
        <v>39.333333333333336</v>
      </c>
      <c r="I144" s="484">
        <v>28.666666666666668</v>
      </c>
      <c r="J144" s="459">
        <v>27.56</v>
      </c>
      <c r="K144" s="733">
        <v>22</v>
      </c>
      <c r="L144" s="742">
        <v>31</v>
      </c>
      <c r="M144" s="499">
        <v>36</v>
      </c>
      <c r="N144" s="2471">
        <v>39</v>
      </c>
      <c r="O144" s="2476"/>
      <c r="P144" s="2310"/>
      <c r="Q144" s="2181"/>
      <c r="R144" s="757">
        <v>33.67</v>
      </c>
      <c r="S144" s="2971">
        <v>25.33</v>
      </c>
      <c r="T144" s="400">
        <v>49</v>
      </c>
      <c r="U144" s="400">
        <v>54</v>
      </c>
      <c r="V144" s="70"/>
      <c r="W144" s="3096">
        <v>63.67</v>
      </c>
      <c r="X144" s="767">
        <v>63.67</v>
      </c>
      <c r="Y144" s="61"/>
      <c r="Z144" s="61"/>
      <c r="AA144" s="43"/>
      <c r="AB144" s="83"/>
      <c r="AC144" s="83"/>
      <c r="AD144" s="83"/>
      <c r="AE144" s="83"/>
      <c r="AF144" s="83"/>
      <c r="AG144" s="83"/>
      <c r="AH144" s="83"/>
      <c r="AI144" s="83"/>
      <c r="AJ144" s="83"/>
      <c r="AK144" s="83"/>
      <c r="AL144" s="83"/>
      <c r="AM144" s="83"/>
      <c r="AN144" s="83"/>
      <c r="AO144" s="83"/>
      <c r="AP144" s="83"/>
      <c r="AQ144" s="83"/>
      <c r="AR144" s="83"/>
      <c r="AS144" s="83"/>
      <c r="AT144" s="83"/>
      <c r="AU144" s="83"/>
      <c r="AV144" s="83"/>
      <c r="AW144" s="83"/>
      <c r="AX144" s="83"/>
      <c r="AY144" s="83"/>
      <c r="AZ144" s="83"/>
      <c r="BE144" s="83"/>
      <c r="BF144" s="83"/>
      <c r="BG144" s="83"/>
      <c r="BH144" s="83"/>
      <c r="BI144" s="83"/>
      <c r="BJ144" s="83"/>
      <c r="BK144" s="83"/>
      <c r="BL144" s="83"/>
      <c r="BM144" s="83"/>
    </row>
    <row r="145" spans="1:65" s="4" customFormat="1" ht="15.75">
      <c r="A145" s="123"/>
      <c r="B145" s="122"/>
      <c r="C145" s="101" t="s">
        <v>122</v>
      </c>
      <c r="D145" s="498">
        <v>15</v>
      </c>
      <c r="E145" s="484">
        <v>42</v>
      </c>
      <c r="F145" s="484">
        <v>38.333333333333336</v>
      </c>
      <c r="G145" s="489">
        <v>40.166666666666664</v>
      </c>
      <c r="H145" s="483">
        <v>34.666666666666664</v>
      </c>
      <c r="I145" s="484">
        <v>37</v>
      </c>
      <c r="J145" s="459">
        <v>32.44</v>
      </c>
      <c r="K145" s="733">
        <v>26.333333333333332</v>
      </c>
      <c r="L145" s="742">
        <v>39.666666666666664</v>
      </c>
      <c r="M145" s="499">
        <v>48.83</v>
      </c>
      <c r="N145" s="2471">
        <v>39</v>
      </c>
      <c r="O145" s="2476"/>
      <c r="P145" s="2310"/>
      <c r="Q145" s="2181"/>
      <c r="R145" s="757">
        <v>53.33</v>
      </c>
      <c r="S145" s="2971">
        <v>42.67</v>
      </c>
      <c r="T145" s="400">
        <v>55</v>
      </c>
      <c r="U145" s="760">
        <v>49.33</v>
      </c>
      <c r="V145" s="70"/>
      <c r="W145" s="3096">
        <v>55</v>
      </c>
      <c r="X145" s="767">
        <v>55</v>
      </c>
      <c r="Y145" s="61"/>
      <c r="Z145" s="61"/>
      <c r="AA145" s="43"/>
      <c r="AB145" s="83"/>
      <c r="AC145" s="83"/>
      <c r="AD145" s="83"/>
      <c r="AE145" s="83"/>
      <c r="AF145" s="83"/>
      <c r="AG145" s="83"/>
      <c r="AH145" s="83"/>
      <c r="AI145" s="83"/>
      <c r="AJ145" s="83"/>
      <c r="AK145" s="83"/>
      <c r="AL145" s="83"/>
      <c r="AM145" s="83"/>
      <c r="AN145" s="83"/>
      <c r="AO145" s="83"/>
      <c r="AP145" s="83"/>
      <c r="AQ145" s="83"/>
      <c r="AR145" s="83"/>
      <c r="AS145" s="83"/>
      <c r="AT145" s="83"/>
      <c r="AU145" s="83"/>
      <c r="AV145" s="83"/>
      <c r="AW145" s="83"/>
      <c r="AX145" s="83"/>
      <c r="AY145" s="83"/>
      <c r="AZ145" s="83"/>
      <c r="BE145" s="83"/>
      <c r="BF145" s="83"/>
      <c r="BG145" s="83"/>
      <c r="BH145" s="83"/>
      <c r="BI145" s="83"/>
      <c r="BJ145" s="83"/>
      <c r="BK145" s="83"/>
      <c r="BL145" s="83"/>
      <c r="BM145" s="83"/>
    </row>
    <row r="146" spans="1:65" s="1096" customFormat="1" ht="15.75">
      <c r="A146" s="123"/>
      <c r="B146" s="122"/>
      <c r="C146" s="101" t="s">
        <v>114</v>
      </c>
      <c r="D146" s="498">
        <v>13</v>
      </c>
      <c r="E146" s="484">
        <v>10.5</v>
      </c>
      <c r="F146" s="484">
        <v>5</v>
      </c>
      <c r="G146" s="489">
        <v>6</v>
      </c>
      <c r="H146" s="483">
        <v>6.666666666666667</v>
      </c>
      <c r="I146" s="484">
        <v>8.6666666666666661</v>
      </c>
      <c r="J146" s="459">
        <v>7.78</v>
      </c>
      <c r="K146" s="733">
        <v>9.3333333333333339</v>
      </c>
      <c r="L146" s="742">
        <v>11.333333333333334</v>
      </c>
      <c r="M146" s="499">
        <v>16.329999999999998</v>
      </c>
      <c r="N146" s="2472">
        <v>8</v>
      </c>
      <c r="O146" s="2477"/>
      <c r="P146" s="2311"/>
      <c r="Q146" s="2097"/>
      <c r="R146" s="757">
        <v>25.33</v>
      </c>
      <c r="S146" s="2971">
        <v>58.67</v>
      </c>
      <c r="T146" s="400">
        <v>20</v>
      </c>
      <c r="U146" s="760">
        <v>26.33</v>
      </c>
      <c r="V146" s="70"/>
      <c r="W146" s="3096">
        <v>16.329999999999998</v>
      </c>
      <c r="X146" s="767">
        <v>16.329999999999998</v>
      </c>
      <c r="Y146" s="61"/>
      <c r="Z146" s="61"/>
      <c r="AA146" s="160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BE146" s="61"/>
      <c r="BF146" s="61"/>
      <c r="BG146" s="61"/>
      <c r="BH146" s="61"/>
      <c r="BI146" s="61"/>
      <c r="BJ146" s="61"/>
      <c r="BK146" s="61"/>
      <c r="BL146" s="61"/>
      <c r="BM146" s="61"/>
    </row>
    <row r="147" spans="1:65" s="1106" customFormat="1" ht="15.75">
      <c r="A147" s="123"/>
      <c r="B147" s="122"/>
      <c r="C147" s="103" t="s">
        <v>115</v>
      </c>
      <c r="D147" s="498">
        <v>37</v>
      </c>
      <c r="E147" s="484">
        <v>12.5</v>
      </c>
      <c r="F147" s="484">
        <v>8</v>
      </c>
      <c r="G147" s="489">
        <v>8.3333333333333339</v>
      </c>
      <c r="H147" s="483">
        <v>9.3333333333333339</v>
      </c>
      <c r="I147" s="484">
        <v>12.666666666666666</v>
      </c>
      <c r="J147" s="459">
        <v>12.44</v>
      </c>
      <c r="K147" s="733">
        <v>11.333333333333334</v>
      </c>
      <c r="L147" s="742">
        <v>11.333333333333334</v>
      </c>
      <c r="M147" s="499">
        <v>16.329999999999998</v>
      </c>
      <c r="N147" s="2472">
        <v>14</v>
      </c>
      <c r="O147" s="2477"/>
      <c r="P147" s="2311"/>
      <c r="Q147" s="2097"/>
      <c r="R147" s="757">
        <v>40.33</v>
      </c>
      <c r="S147" s="2971">
        <v>45.67</v>
      </c>
      <c r="T147" s="400">
        <v>28.5</v>
      </c>
      <c r="U147" s="760">
        <v>21.67</v>
      </c>
      <c r="V147" s="70"/>
      <c r="W147" s="3096">
        <v>18.329999999999998</v>
      </c>
      <c r="X147" s="767">
        <v>18.329999999999998</v>
      </c>
      <c r="Y147" s="61"/>
      <c r="Z147" s="61"/>
      <c r="AA147" s="160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BE147" s="61"/>
      <c r="BF147" s="61"/>
      <c r="BG147" s="61"/>
      <c r="BH147" s="61"/>
      <c r="BI147" s="61"/>
      <c r="BJ147" s="61"/>
      <c r="BK147" s="61"/>
      <c r="BL147" s="61"/>
      <c r="BM147" s="61"/>
    </row>
    <row r="148" spans="1:65" s="1096" customFormat="1" ht="15.75">
      <c r="A148" s="123"/>
      <c r="B148" s="122"/>
      <c r="C148" s="101" t="s">
        <v>112</v>
      </c>
      <c r="D148" s="498">
        <v>11</v>
      </c>
      <c r="E148" s="484">
        <v>12.25</v>
      </c>
      <c r="F148" s="484">
        <v>4.666666666666667</v>
      </c>
      <c r="G148" s="489">
        <v>5</v>
      </c>
      <c r="H148" s="483">
        <v>5</v>
      </c>
      <c r="I148" s="484">
        <v>5</v>
      </c>
      <c r="J148" s="459">
        <v>5.67</v>
      </c>
      <c r="K148" s="733">
        <v>6.666666666666667</v>
      </c>
      <c r="L148" s="742">
        <v>8.6666666666666661</v>
      </c>
      <c r="M148" s="499">
        <v>12.37</v>
      </c>
      <c r="N148" s="2473">
        <v>7</v>
      </c>
      <c r="O148" s="2478"/>
      <c r="P148" s="2125"/>
      <c r="Q148" s="761"/>
      <c r="R148" s="757">
        <v>32.67</v>
      </c>
      <c r="S148" s="2971">
        <v>40</v>
      </c>
      <c r="T148" s="400">
        <v>10</v>
      </c>
      <c r="U148" s="400">
        <v>10.5</v>
      </c>
      <c r="V148" s="70"/>
      <c r="W148" s="3096">
        <v>5</v>
      </c>
      <c r="X148" s="767">
        <v>5</v>
      </c>
      <c r="Y148" s="61"/>
      <c r="Z148" s="61"/>
      <c r="AA148" s="161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BE148" s="61"/>
      <c r="BF148" s="61"/>
      <c r="BG148" s="61"/>
      <c r="BH148" s="61"/>
      <c r="BI148" s="61"/>
      <c r="BJ148" s="61"/>
      <c r="BK148" s="61"/>
      <c r="BL148" s="61"/>
      <c r="BM148" s="61"/>
    </row>
    <row r="149" spans="1:65" s="1096" customFormat="1" ht="15.75">
      <c r="A149" s="123"/>
      <c r="B149" s="122"/>
      <c r="C149" s="102" t="s">
        <v>187</v>
      </c>
      <c r="D149" s="498">
        <v>11</v>
      </c>
      <c r="E149" s="484">
        <v>11</v>
      </c>
      <c r="F149" s="484">
        <v>7.333333333333333</v>
      </c>
      <c r="G149" s="489">
        <v>7.666666666666667</v>
      </c>
      <c r="H149" s="483">
        <v>19.333333333333332</v>
      </c>
      <c r="I149" s="484">
        <v>9.3333333333333339</v>
      </c>
      <c r="J149" s="459">
        <v>12.44</v>
      </c>
      <c r="K149" s="733">
        <v>9.3333333333333339</v>
      </c>
      <c r="L149" s="742">
        <v>12</v>
      </c>
      <c r="M149" s="499">
        <v>20</v>
      </c>
      <c r="N149" s="2066">
        <v>12</v>
      </c>
      <c r="O149" s="2475"/>
      <c r="P149" s="2309"/>
      <c r="Q149" s="760"/>
      <c r="R149" s="760">
        <v>212</v>
      </c>
      <c r="S149" s="2971">
        <v>42.33</v>
      </c>
      <c r="T149" s="400">
        <v>13</v>
      </c>
      <c r="U149" s="400">
        <v>17</v>
      </c>
      <c r="V149" s="70"/>
      <c r="W149" s="3096">
        <v>9.33</v>
      </c>
      <c r="X149" s="767">
        <v>9.33</v>
      </c>
      <c r="Y149" s="61"/>
      <c r="Z149" s="61"/>
      <c r="AA149" s="61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</row>
    <row r="150" spans="1:65" s="1106" customFormat="1" ht="15.75">
      <c r="A150" s="123"/>
      <c r="B150" s="122"/>
      <c r="C150" s="101" t="s">
        <v>117</v>
      </c>
      <c r="D150" s="498">
        <v>62</v>
      </c>
      <c r="E150" s="484">
        <v>13</v>
      </c>
      <c r="F150" s="484">
        <v>9.6666666666666661</v>
      </c>
      <c r="G150" s="489">
        <v>9</v>
      </c>
      <c r="H150" s="483">
        <v>8.6666666666666661</v>
      </c>
      <c r="I150" s="484">
        <v>16</v>
      </c>
      <c r="J150" s="459">
        <v>12</v>
      </c>
      <c r="K150" s="733">
        <v>10</v>
      </c>
      <c r="L150" s="742">
        <v>17.333333333333332</v>
      </c>
      <c r="M150" s="499">
        <v>30.5</v>
      </c>
      <c r="N150" s="2066">
        <v>17</v>
      </c>
      <c r="O150" s="2475"/>
      <c r="P150" s="2309"/>
      <c r="Q150" s="760"/>
      <c r="R150" s="760">
        <v>568.33000000000004</v>
      </c>
      <c r="S150" s="2971">
        <v>78.67</v>
      </c>
      <c r="T150" s="400">
        <v>34</v>
      </c>
      <c r="U150" s="400">
        <v>28</v>
      </c>
      <c r="V150" s="70"/>
      <c r="W150" s="3096">
        <v>10.33</v>
      </c>
      <c r="X150" s="767">
        <v>10.33</v>
      </c>
      <c r="Y150" s="61"/>
      <c r="Z150" s="61"/>
      <c r="AA150" s="61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</row>
    <row r="151" spans="1:65" s="1096" customFormat="1" ht="15.75">
      <c r="A151" s="123"/>
      <c r="B151" s="122"/>
      <c r="C151" s="101" t="s">
        <v>121</v>
      </c>
      <c r="D151" s="498">
        <v>29</v>
      </c>
      <c r="E151" s="484">
        <v>31.75</v>
      </c>
      <c r="F151" s="484">
        <v>15.253333333333332</v>
      </c>
      <c r="G151" s="489">
        <v>31.666666666666668</v>
      </c>
      <c r="H151" s="483">
        <v>33.333333333333336</v>
      </c>
      <c r="I151" s="484">
        <v>35.333333333333336</v>
      </c>
      <c r="J151" s="459">
        <v>29.56</v>
      </c>
      <c r="K151" s="733">
        <v>20.333333333333332</v>
      </c>
      <c r="L151" s="742">
        <v>32.333333333333336</v>
      </c>
      <c r="M151" s="499">
        <v>41.67</v>
      </c>
      <c r="N151" s="2066">
        <v>27</v>
      </c>
      <c r="O151" s="2475"/>
      <c r="P151" s="2309"/>
      <c r="Q151" s="760"/>
      <c r="R151" s="760">
        <v>44.67</v>
      </c>
      <c r="S151" s="2971">
        <v>25</v>
      </c>
      <c r="T151" s="400">
        <v>43.5</v>
      </c>
      <c r="U151" s="760">
        <v>47.33</v>
      </c>
      <c r="V151" s="70"/>
      <c r="W151" s="3096">
        <v>81.33</v>
      </c>
      <c r="X151" s="785">
        <v>81.33</v>
      </c>
      <c r="Y151" s="61"/>
      <c r="Z151" s="61"/>
      <c r="AA151" s="61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</row>
    <row r="152" spans="1:65" s="1096" customFormat="1" ht="16.5" thickBot="1">
      <c r="A152" s="123"/>
      <c r="B152" s="122"/>
      <c r="C152" s="214" t="s">
        <v>119</v>
      </c>
      <c r="D152" s="515">
        <v>19</v>
      </c>
      <c r="E152" s="486">
        <v>11</v>
      </c>
      <c r="F152" s="486">
        <v>10</v>
      </c>
      <c r="G152" s="516">
        <v>13</v>
      </c>
      <c r="H152" s="492">
        <v>30</v>
      </c>
      <c r="I152" s="490">
        <v>21.333333333333332</v>
      </c>
      <c r="J152" s="461">
        <v>22.67</v>
      </c>
      <c r="K152" s="736">
        <v>12</v>
      </c>
      <c r="L152" s="742">
        <v>29.333333333333332</v>
      </c>
      <c r="M152" s="499">
        <v>46.33</v>
      </c>
      <c r="N152" s="2066">
        <v>25</v>
      </c>
      <c r="O152" s="2479"/>
      <c r="P152" s="2312"/>
      <c r="Q152" s="2182"/>
      <c r="R152" s="2182">
        <v>92.33</v>
      </c>
      <c r="S152" s="2972">
        <v>25.33</v>
      </c>
      <c r="T152" s="400">
        <v>37.5</v>
      </c>
      <c r="U152" s="760">
        <v>36.33</v>
      </c>
      <c r="V152" s="70"/>
      <c r="W152" s="3096">
        <v>16.329999999999998</v>
      </c>
      <c r="X152" s="770">
        <v>16.329999999999998</v>
      </c>
      <c r="Y152" s="61"/>
      <c r="Z152" s="61"/>
      <c r="AA152" s="61"/>
    </row>
    <row r="153" spans="1:65" s="1106" customFormat="1">
      <c r="A153" s="114"/>
      <c r="B153" s="114"/>
      <c r="C153" s="775" t="s">
        <v>285</v>
      </c>
      <c r="D153" s="1025">
        <f>COUNTIF(D139:D152,"&lt;=50")</f>
        <v>11</v>
      </c>
      <c r="E153" s="1025">
        <f t="shared" ref="E153:S153" si="39">COUNTIF(E139:E152,"&lt;=50")</f>
        <v>13</v>
      </c>
      <c r="F153" s="1025">
        <f t="shared" si="39"/>
        <v>14</v>
      </c>
      <c r="G153" s="1025">
        <f t="shared" si="39"/>
        <v>14</v>
      </c>
      <c r="H153" s="1025">
        <f t="shared" si="39"/>
        <v>13</v>
      </c>
      <c r="I153" s="1025">
        <f t="shared" si="39"/>
        <v>14</v>
      </c>
      <c r="J153" s="1025">
        <f t="shared" si="39"/>
        <v>14</v>
      </c>
      <c r="K153" s="1025">
        <f t="shared" si="39"/>
        <v>14</v>
      </c>
      <c r="L153" s="1025">
        <f t="shared" si="39"/>
        <v>12</v>
      </c>
      <c r="M153" s="1025">
        <f t="shared" si="39"/>
        <v>13</v>
      </c>
      <c r="N153" s="1025">
        <f t="shared" si="39"/>
        <v>14</v>
      </c>
      <c r="O153" s="2262">
        <f>COUNTIF(O139:O152,"&lt;=50")</f>
        <v>0</v>
      </c>
      <c r="P153" s="1025">
        <f t="shared" si="39"/>
        <v>0</v>
      </c>
      <c r="Q153" s="1025">
        <f t="shared" si="39"/>
        <v>0</v>
      </c>
      <c r="R153" s="1025">
        <f t="shared" si="39"/>
        <v>9</v>
      </c>
      <c r="S153" s="1025">
        <f t="shared" si="39"/>
        <v>11</v>
      </c>
      <c r="T153" s="1025">
        <f t="shared" ref="T153:U153" si="40">COUNTIF(T139:T152,"&lt;=50")</f>
        <v>12</v>
      </c>
      <c r="U153" s="1025">
        <f t="shared" si="40"/>
        <v>11</v>
      </c>
      <c r="V153" s="1025"/>
      <c r="W153" s="1025"/>
      <c r="X153" s="770"/>
      <c r="Y153" s="4"/>
      <c r="Z153" s="4"/>
      <c r="AA153" s="4"/>
    </row>
    <row r="154" spans="1:65" s="1096" customFormat="1">
      <c r="A154" s="114"/>
      <c r="B154" s="114"/>
      <c r="C154" s="775" t="s">
        <v>287</v>
      </c>
      <c r="D154" s="1027">
        <f>COUNT(D139:D152)</f>
        <v>14</v>
      </c>
      <c r="E154" s="1027">
        <f t="shared" ref="E154:S154" si="41">COUNT(E139:E152)</f>
        <v>14</v>
      </c>
      <c r="F154" s="1027">
        <f t="shared" si="41"/>
        <v>14</v>
      </c>
      <c r="G154" s="1027">
        <f t="shared" si="41"/>
        <v>14</v>
      </c>
      <c r="H154" s="1027">
        <f t="shared" si="41"/>
        <v>14</v>
      </c>
      <c r="I154" s="1027">
        <f t="shared" si="41"/>
        <v>14</v>
      </c>
      <c r="J154" s="1027">
        <f t="shared" si="41"/>
        <v>14</v>
      </c>
      <c r="K154" s="1027">
        <f t="shared" si="41"/>
        <v>14</v>
      </c>
      <c r="L154" s="1027">
        <f t="shared" si="41"/>
        <v>14</v>
      </c>
      <c r="M154" s="1027">
        <f t="shared" si="41"/>
        <v>14</v>
      </c>
      <c r="N154" s="1027">
        <f t="shared" si="41"/>
        <v>14</v>
      </c>
      <c r="O154" s="2263">
        <f>COUNT(O139:O152)</f>
        <v>0</v>
      </c>
      <c r="P154" s="1027">
        <f t="shared" si="41"/>
        <v>0</v>
      </c>
      <c r="Q154" s="1027">
        <f t="shared" si="41"/>
        <v>0</v>
      </c>
      <c r="R154" s="1027">
        <f t="shared" si="41"/>
        <v>14</v>
      </c>
      <c r="S154" s="1027">
        <f t="shared" si="41"/>
        <v>14</v>
      </c>
      <c r="T154" s="1027">
        <f t="shared" ref="T154:U154" si="42">COUNT(T139:T152)</f>
        <v>14</v>
      </c>
      <c r="U154" s="1027">
        <f t="shared" si="42"/>
        <v>14</v>
      </c>
      <c r="V154" s="1027"/>
      <c r="W154" s="1027"/>
      <c r="X154" s="770"/>
      <c r="Y154" s="4"/>
      <c r="Z154" s="4"/>
      <c r="AA154" s="4"/>
    </row>
    <row r="155" spans="1:65" s="1096" customFormat="1">
      <c r="A155" s="114"/>
      <c r="B155" s="114"/>
      <c r="C155" s="775" t="s">
        <v>286</v>
      </c>
      <c r="D155" s="1026">
        <f>D153/D154</f>
        <v>0.7857142857142857</v>
      </c>
      <c r="E155" s="1026">
        <f t="shared" ref="E155:R155" si="43">E153/E154</f>
        <v>0.9285714285714286</v>
      </c>
      <c r="F155" s="1026">
        <f t="shared" si="43"/>
        <v>1</v>
      </c>
      <c r="G155" s="1026">
        <f t="shared" si="43"/>
        <v>1</v>
      </c>
      <c r="H155" s="1026">
        <f t="shared" si="43"/>
        <v>0.9285714285714286</v>
      </c>
      <c r="I155" s="1026">
        <f t="shared" si="43"/>
        <v>1</v>
      </c>
      <c r="J155" s="1026">
        <f t="shared" si="43"/>
        <v>1</v>
      </c>
      <c r="K155" s="1026">
        <f t="shared" si="43"/>
        <v>1</v>
      </c>
      <c r="L155" s="1026">
        <f t="shared" si="43"/>
        <v>0.8571428571428571</v>
      </c>
      <c r="M155" s="1026">
        <f t="shared" si="43"/>
        <v>0.9285714285714286</v>
      </c>
      <c r="N155" s="1026">
        <f t="shared" si="43"/>
        <v>1</v>
      </c>
      <c r="O155" s="2264" t="e">
        <f>O153/O154</f>
        <v>#DIV/0!</v>
      </c>
      <c r="P155" s="1026" t="e">
        <f t="shared" si="43"/>
        <v>#DIV/0!</v>
      </c>
      <c r="Q155" s="1026" t="e">
        <f t="shared" si="43"/>
        <v>#DIV/0!</v>
      </c>
      <c r="R155" s="1026">
        <f t="shared" si="43"/>
        <v>0.6428571428571429</v>
      </c>
      <c r="S155" s="1026">
        <f>S153/S154</f>
        <v>0.7857142857142857</v>
      </c>
      <c r="T155" s="1026">
        <f t="shared" ref="T155:U155" si="44">T153/T154</f>
        <v>0.8571428571428571</v>
      </c>
      <c r="U155" s="1026">
        <f t="shared" si="44"/>
        <v>0.7857142857142857</v>
      </c>
      <c r="V155" s="1026"/>
      <c r="W155" s="1026"/>
      <c r="X155" s="770"/>
      <c r="Y155" s="4"/>
      <c r="Z155" s="4"/>
      <c r="AA155" s="4"/>
    </row>
    <row r="156" spans="1:65" s="1106" customFormat="1">
      <c r="A156" s="776"/>
      <c r="B156" s="1090"/>
      <c r="C156" s="1088" t="s">
        <v>296</v>
      </c>
      <c r="D156" s="1059">
        <f>COUNTA(C139:C152)</f>
        <v>14</v>
      </c>
      <c r="E156" s="1091"/>
      <c r="F156" s="1091"/>
      <c r="G156" s="1091"/>
      <c r="H156" s="1091"/>
      <c r="I156" s="1092"/>
      <c r="J156" s="1091"/>
      <c r="K156" s="1093"/>
      <c r="L156" s="776"/>
      <c r="M156" s="776"/>
      <c r="N156" s="776"/>
      <c r="O156" s="2265"/>
      <c r="P156" s="2242"/>
      <c r="Q156" s="776"/>
      <c r="R156" s="776"/>
      <c r="S156" s="776"/>
      <c r="T156" s="776"/>
      <c r="U156" s="776"/>
      <c r="V156" s="776"/>
      <c r="W156" s="776"/>
      <c r="X156" s="770"/>
      <c r="Y156" s="4"/>
      <c r="Z156" s="4"/>
      <c r="AA156" s="50"/>
    </row>
    <row r="157" spans="1:65" s="1096" customFormat="1">
      <c r="A157" s="107"/>
      <c r="B157" s="1021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21"/>
      <c r="N157" s="121"/>
      <c r="O157" s="535"/>
      <c r="P157" s="228"/>
      <c r="Q157" s="121"/>
      <c r="R157" s="121"/>
      <c r="S157" s="121"/>
      <c r="T157" s="121"/>
      <c r="U157" s="121"/>
      <c r="V157" s="121"/>
      <c r="W157" s="121"/>
      <c r="X157" s="789"/>
      <c r="Y157" s="61"/>
      <c r="Z157" s="61"/>
      <c r="AA157" s="61"/>
    </row>
    <row r="158" spans="1:65" s="1096" customFormat="1">
      <c r="A158" s="771"/>
      <c r="B158" s="1022"/>
      <c r="C158" s="255"/>
      <c r="D158" s="255"/>
      <c r="E158" s="255"/>
      <c r="F158" s="255"/>
      <c r="G158" s="255"/>
      <c r="H158" s="255"/>
      <c r="I158" s="255"/>
      <c r="J158" s="255"/>
      <c r="K158" s="255"/>
      <c r="L158" s="255"/>
      <c r="M158" s="255"/>
      <c r="N158" s="255"/>
      <c r="O158" s="2277"/>
      <c r="P158" s="2243"/>
      <c r="Q158" s="255"/>
      <c r="R158" s="255"/>
      <c r="S158" s="255"/>
      <c r="T158" s="255"/>
      <c r="U158" s="255"/>
      <c r="V158" s="255"/>
      <c r="W158" s="255"/>
      <c r="X158" s="2183"/>
      <c r="Y158" s="61"/>
      <c r="Z158" s="61"/>
      <c r="AA158" s="61"/>
    </row>
    <row r="159" spans="1:65" s="1106" customFormat="1">
      <c r="A159" s="3535" t="s">
        <v>291</v>
      </c>
      <c r="B159" s="3535" t="s">
        <v>301</v>
      </c>
      <c r="C159" s="3535" t="s">
        <v>284</v>
      </c>
      <c r="D159" s="3532" t="s">
        <v>285</v>
      </c>
      <c r="E159" s="3533"/>
      <c r="F159" s="3533"/>
      <c r="G159" s="3533"/>
      <c r="H159" s="3533"/>
      <c r="I159" s="3533"/>
      <c r="J159" s="3533"/>
      <c r="K159" s="3533"/>
      <c r="L159" s="3533"/>
      <c r="M159" s="3533"/>
      <c r="N159" s="3533"/>
      <c r="O159" s="3533"/>
      <c r="P159" s="3533"/>
      <c r="Q159" s="3533"/>
      <c r="R159" s="3533"/>
      <c r="S159" s="3533"/>
      <c r="T159" s="3533"/>
      <c r="U159" s="3533"/>
      <c r="V159" s="3533"/>
      <c r="W159" s="3533"/>
      <c r="X159" s="3534"/>
      <c r="Y159" s="4"/>
      <c r="Z159" s="4"/>
      <c r="AA159" s="4"/>
    </row>
    <row r="160" spans="1:65" s="1096" customFormat="1">
      <c r="A160" s="3536"/>
      <c r="B160" s="3536"/>
      <c r="C160" s="3536"/>
      <c r="D160" s="3532">
        <v>2011</v>
      </c>
      <c r="E160" s="3533"/>
      <c r="F160" s="3533"/>
      <c r="G160" s="3534"/>
      <c r="H160" s="3532">
        <v>2012</v>
      </c>
      <c r="I160" s="3533"/>
      <c r="J160" s="3533"/>
      <c r="K160" s="3534"/>
      <c r="L160" s="3532">
        <v>2013</v>
      </c>
      <c r="M160" s="3533"/>
      <c r="N160" s="3533"/>
      <c r="O160" s="3534"/>
      <c r="P160" s="3532">
        <v>2014</v>
      </c>
      <c r="Q160" s="3533"/>
      <c r="R160" s="3533"/>
      <c r="S160" s="3534"/>
      <c r="T160" s="3532">
        <v>2015</v>
      </c>
      <c r="U160" s="3533"/>
      <c r="V160" s="3533"/>
      <c r="W160" s="3534"/>
      <c r="X160" s="3532">
        <v>2016</v>
      </c>
      <c r="Y160" s="3533"/>
      <c r="Z160" s="3533"/>
      <c r="AA160" s="3534"/>
      <c r="AB160" s="3532">
        <v>2017</v>
      </c>
      <c r="AC160" s="3533"/>
      <c r="AD160" s="3533"/>
      <c r="AE160" s="3534"/>
    </row>
    <row r="161" spans="1:31" s="1096" customFormat="1">
      <c r="A161" s="3537"/>
      <c r="B161" s="3537"/>
      <c r="C161" s="3537"/>
      <c r="D161" s="1100" t="s">
        <v>2</v>
      </c>
      <c r="E161" s="1100" t="s">
        <v>3</v>
      </c>
      <c r="F161" s="1100" t="s">
        <v>4</v>
      </c>
      <c r="G161" s="1100" t="s">
        <v>5</v>
      </c>
      <c r="H161" s="1100" t="s">
        <v>2</v>
      </c>
      <c r="I161" s="1100" t="s">
        <v>3</v>
      </c>
      <c r="J161" s="1100" t="s">
        <v>4</v>
      </c>
      <c r="K161" s="1100" t="s">
        <v>5</v>
      </c>
      <c r="L161" s="1100" t="s">
        <v>2</v>
      </c>
      <c r="M161" s="1100" t="s">
        <v>3</v>
      </c>
      <c r="N161" s="1100" t="s">
        <v>4</v>
      </c>
      <c r="O161" s="2278" t="s">
        <v>5</v>
      </c>
      <c r="P161" s="2244" t="s">
        <v>2</v>
      </c>
      <c r="Q161" s="1100" t="s">
        <v>3</v>
      </c>
      <c r="R161" s="1100" t="s">
        <v>4</v>
      </c>
      <c r="S161" s="1100" t="s">
        <v>5</v>
      </c>
      <c r="T161" s="2244" t="s">
        <v>2</v>
      </c>
      <c r="U161" s="1100" t="s">
        <v>3</v>
      </c>
      <c r="V161" s="1100" t="s">
        <v>4</v>
      </c>
      <c r="W161" s="1100" t="s">
        <v>5</v>
      </c>
      <c r="X161" s="2244" t="s">
        <v>2</v>
      </c>
      <c r="Y161" s="1100" t="s">
        <v>3</v>
      </c>
      <c r="Z161" s="1100" t="s">
        <v>4</v>
      </c>
      <c r="AA161" s="1100" t="s">
        <v>5</v>
      </c>
      <c r="AB161" s="2244" t="s">
        <v>2</v>
      </c>
      <c r="AC161" s="1100" t="s">
        <v>3</v>
      </c>
      <c r="AD161" s="1100" t="s">
        <v>4</v>
      </c>
      <c r="AE161" s="1100" t="s">
        <v>5</v>
      </c>
    </row>
    <row r="162" spans="1:31" s="1106" customFormat="1">
      <c r="A162" s="3569" t="s">
        <v>125</v>
      </c>
      <c r="B162" s="3618" t="s">
        <v>16</v>
      </c>
      <c r="C162" s="3624">
        <f>COUNTA(A13:A16)</f>
        <v>4</v>
      </c>
      <c r="D162" s="2145">
        <f>COUNTIF(D13:D16,"&lt;=50")</f>
        <v>4</v>
      </c>
      <c r="E162" s="2145">
        <f t="shared" ref="E162:X162" si="45">COUNTIF(E13:E16,"&lt;=50")</f>
        <v>4</v>
      </c>
      <c r="F162" s="2145">
        <f t="shared" si="45"/>
        <v>4</v>
      </c>
      <c r="G162" s="2145">
        <f t="shared" si="45"/>
        <v>4</v>
      </c>
      <c r="H162" s="2145">
        <f>COUNTIF(H13:H16,"&lt;=50")</f>
        <v>3</v>
      </c>
      <c r="I162" s="2145">
        <f t="shared" si="45"/>
        <v>4</v>
      </c>
      <c r="J162" s="2145">
        <f t="shared" si="45"/>
        <v>0</v>
      </c>
      <c r="K162" s="2145">
        <f t="shared" si="45"/>
        <v>4</v>
      </c>
      <c r="L162" s="2145">
        <f t="shared" si="45"/>
        <v>3</v>
      </c>
      <c r="M162" s="2145">
        <f t="shared" si="45"/>
        <v>4</v>
      </c>
      <c r="N162" s="2145">
        <f t="shared" si="45"/>
        <v>0</v>
      </c>
      <c r="O162" s="2279">
        <f t="shared" si="45"/>
        <v>4</v>
      </c>
      <c r="P162" s="2245">
        <f t="shared" si="45"/>
        <v>4</v>
      </c>
      <c r="Q162" s="2145">
        <f t="shared" si="45"/>
        <v>2</v>
      </c>
      <c r="R162" s="2145">
        <f t="shared" si="45"/>
        <v>4</v>
      </c>
      <c r="S162" s="2145">
        <f t="shared" si="45"/>
        <v>4</v>
      </c>
      <c r="T162" s="3001">
        <f t="shared" ref="T162:U162" si="46">COUNTIF(T13:T16,"&lt;=50")</f>
        <v>0</v>
      </c>
      <c r="U162" s="3001">
        <f t="shared" si="46"/>
        <v>0</v>
      </c>
      <c r="V162" s="2875"/>
      <c r="W162" s="2875"/>
      <c r="X162" s="2145">
        <f t="shared" si="45"/>
        <v>3</v>
      </c>
      <c r="Y162" s="3282">
        <f t="shared" ref="Y162:AA162" si="47">COUNTIF(Y13:Y16,"&lt;=50")</f>
        <v>3</v>
      </c>
      <c r="Z162" s="3282">
        <f t="shared" si="47"/>
        <v>3</v>
      </c>
      <c r="AA162" s="3282">
        <f t="shared" si="47"/>
        <v>3</v>
      </c>
      <c r="AB162" s="3489">
        <f t="shared" ref="AB162:AE162" si="48">COUNTIF(AB13:AB16,"&lt;=50")</f>
        <v>3</v>
      </c>
      <c r="AC162" s="3489">
        <f t="shared" si="48"/>
        <v>0</v>
      </c>
      <c r="AD162" s="3489">
        <f t="shared" si="48"/>
        <v>0</v>
      </c>
      <c r="AE162" s="3489">
        <f t="shared" si="48"/>
        <v>0</v>
      </c>
    </row>
    <row r="163" spans="1:31" s="1096" customFormat="1">
      <c r="A163" s="3570"/>
      <c r="B163" s="3619"/>
      <c r="C163" s="3625"/>
      <c r="D163" s="2146">
        <f>COUNT(D13:D16)</f>
        <v>4</v>
      </c>
      <c r="E163" s="2146">
        <f t="shared" ref="E163:X163" si="49">COUNT(E13:E16)</f>
        <v>4</v>
      </c>
      <c r="F163" s="2146">
        <f t="shared" si="49"/>
        <v>4</v>
      </c>
      <c r="G163" s="2146">
        <f t="shared" si="49"/>
        <v>4</v>
      </c>
      <c r="H163" s="2146">
        <f t="shared" si="49"/>
        <v>4</v>
      </c>
      <c r="I163" s="2146">
        <f t="shared" si="49"/>
        <v>4</v>
      </c>
      <c r="J163" s="2146">
        <f t="shared" si="49"/>
        <v>4</v>
      </c>
      <c r="K163" s="2146">
        <f t="shared" si="49"/>
        <v>4</v>
      </c>
      <c r="L163" s="2146">
        <f t="shared" si="49"/>
        <v>4</v>
      </c>
      <c r="M163" s="2146">
        <f t="shared" si="49"/>
        <v>4</v>
      </c>
      <c r="N163" s="2146">
        <f t="shared" si="49"/>
        <v>4</v>
      </c>
      <c r="O163" s="2280">
        <f t="shared" si="49"/>
        <v>4</v>
      </c>
      <c r="P163" s="2246">
        <f t="shared" si="49"/>
        <v>4</v>
      </c>
      <c r="Q163" s="2146">
        <f t="shared" si="49"/>
        <v>4</v>
      </c>
      <c r="R163" s="2146">
        <f t="shared" si="49"/>
        <v>4</v>
      </c>
      <c r="S163" s="2146">
        <f t="shared" si="49"/>
        <v>4</v>
      </c>
      <c r="T163" s="3002">
        <f t="shared" ref="T163:U163" si="50">COUNT(T13:T16)</f>
        <v>0</v>
      </c>
      <c r="U163" s="3002">
        <f t="shared" si="50"/>
        <v>0</v>
      </c>
      <c r="V163" s="2876"/>
      <c r="W163" s="2876"/>
      <c r="X163" s="2146">
        <f t="shared" si="49"/>
        <v>3</v>
      </c>
      <c r="Y163" s="3283">
        <f t="shared" ref="Y163:AA163" si="51">COUNT(Y13:Y16)</f>
        <v>3</v>
      </c>
      <c r="Z163" s="3283">
        <f t="shared" si="51"/>
        <v>3</v>
      </c>
      <c r="AA163" s="3283">
        <f t="shared" si="51"/>
        <v>3</v>
      </c>
      <c r="AB163" s="3490">
        <f t="shared" ref="AB163:AE163" si="52">COUNT(AB13:AB16)</f>
        <v>3</v>
      </c>
      <c r="AC163" s="3490">
        <f t="shared" si="52"/>
        <v>0</v>
      </c>
      <c r="AD163" s="3490">
        <f t="shared" si="52"/>
        <v>0</v>
      </c>
      <c r="AE163" s="3490">
        <f t="shared" si="52"/>
        <v>0</v>
      </c>
    </row>
    <row r="164" spans="1:31" s="1096" customFormat="1">
      <c r="A164" s="3570"/>
      <c r="B164" s="3620"/>
      <c r="C164" s="3626"/>
      <c r="D164" s="1557">
        <f>D162/D163</f>
        <v>1</v>
      </c>
      <c r="E164" s="1557">
        <f t="shared" ref="E164:X164" si="53">E162/E163</f>
        <v>1</v>
      </c>
      <c r="F164" s="1557">
        <f t="shared" si="53"/>
        <v>1</v>
      </c>
      <c r="G164" s="1557">
        <f t="shared" si="53"/>
        <v>1</v>
      </c>
      <c r="H164" s="1557">
        <f t="shared" si="53"/>
        <v>0.75</v>
      </c>
      <c r="I164" s="1557">
        <f t="shared" si="53"/>
        <v>1</v>
      </c>
      <c r="J164" s="1557">
        <f t="shared" si="53"/>
        <v>0</v>
      </c>
      <c r="K164" s="1557">
        <f t="shared" si="53"/>
        <v>1</v>
      </c>
      <c r="L164" s="1557">
        <f t="shared" si="53"/>
        <v>0.75</v>
      </c>
      <c r="M164" s="1557">
        <f t="shared" si="53"/>
        <v>1</v>
      </c>
      <c r="N164" s="1557">
        <f t="shared" si="53"/>
        <v>0</v>
      </c>
      <c r="O164" s="2281">
        <f t="shared" si="53"/>
        <v>1</v>
      </c>
      <c r="P164" s="2247">
        <f t="shared" si="53"/>
        <v>1</v>
      </c>
      <c r="Q164" s="1557">
        <f t="shared" si="53"/>
        <v>0.5</v>
      </c>
      <c r="R164" s="1557">
        <f t="shared" si="53"/>
        <v>1</v>
      </c>
      <c r="S164" s="1557">
        <f t="shared" si="53"/>
        <v>1</v>
      </c>
      <c r="T164" s="1557" t="e">
        <f t="shared" ref="T164:U164" si="54">T162/T163</f>
        <v>#DIV/0!</v>
      </c>
      <c r="U164" s="1557" t="e">
        <f t="shared" si="54"/>
        <v>#DIV/0!</v>
      </c>
      <c r="V164" s="1557"/>
      <c r="W164" s="1557"/>
      <c r="X164" s="1557">
        <f t="shared" si="53"/>
        <v>1</v>
      </c>
      <c r="Y164" s="1557">
        <f t="shared" ref="Y164:AA164" si="55">Y162/Y163</f>
        <v>1</v>
      </c>
      <c r="Z164" s="1557">
        <f t="shared" si="55"/>
        <v>1</v>
      </c>
      <c r="AA164" s="1557">
        <f t="shared" si="55"/>
        <v>1</v>
      </c>
      <c r="AB164" s="1557">
        <f t="shared" ref="AB164:AE164" si="56">AB162/AB163</f>
        <v>1</v>
      </c>
      <c r="AC164" s="1557" t="e">
        <f t="shared" si="56"/>
        <v>#DIV/0!</v>
      </c>
      <c r="AD164" s="1557" t="e">
        <f t="shared" si="56"/>
        <v>#DIV/0!</v>
      </c>
      <c r="AE164" s="1557" t="e">
        <f t="shared" si="56"/>
        <v>#DIV/0!</v>
      </c>
    </row>
    <row r="165" spans="1:31" s="1106" customFormat="1">
      <c r="A165" s="3570"/>
      <c r="B165" s="3618" t="s">
        <v>131</v>
      </c>
      <c r="C165" s="3624">
        <f>COUNTA(A17:A19)</f>
        <v>3</v>
      </c>
      <c r="D165" s="2145">
        <f>COUNTIF(D17:D19,"&lt;=50")</f>
        <v>3</v>
      </c>
      <c r="E165" s="2145">
        <f t="shared" ref="E165:X165" si="57">COUNTIF(E17:E19,"&lt;=50")</f>
        <v>3</v>
      </c>
      <c r="F165" s="2145">
        <f t="shared" si="57"/>
        <v>2</v>
      </c>
      <c r="G165" s="2145">
        <f t="shared" si="57"/>
        <v>3</v>
      </c>
      <c r="H165" s="2145">
        <f t="shared" si="57"/>
        <v>3</v>
      </c>
      <c r="I165" s="2145">
        <f t="shared" si="57"/>
        <v>3</v>
      </c>
      <c r="J165" s="2145">
        <f t="shared" si="57"/>
        <v>3</v>
      </c>
      <c r="K165" s="2145">
        <f t="shared" si="57"/>
        <v>3</v>
      </c>
      <c r="L165" s="2145">
        <f t="shared" si="57"/>
        <v>3</v>
      </c>
      <c r="M165" s="2145">
        <f t="shared" si="57"/>
        <v>3</v>
      </c>
      <c r="N165" s="2145">
        <f t="shared" si="57"/>
        <v>3</v>
      </c>
      <c r="O165" s="2279">
        <f t="shared" si="57"/>
        <v>3</v>
      </c>
      <c r="P165" s="2245">
        <f t="shared" si="57"/>
        <v>3</v>
      </c>
      <c r="Q165" s="2145">
        <f t="shared" si="57"/>
        <v>3</v>
      </c>
      <c r="R165" s="2145">
        <f t="shared" si="57"/>
        <v>3</v>
      </c>
      <c r="S165" s="2145">
        <f t="shared" si="57"/>
        <v>3</v>
      </c>
      <c r="T165" s="3001">
        <f t="shared" ref="T165:U165" si="58">COUNTIF(T17:T19,"&lt;=50")</f>
        <v>3</v>
      </c>
      <c r="U165" s="3001">
        <f t="shared" si="58"/>
        <v>3</v>
      </c>
      <c r="V165" s="2875"/>
      <c r="W165" s="2875"/>
      <c r="X165" s="2145">
        <f t="shared" si="57"/>
        <v>3</v>
      </c>
      <c r="Y165" s="3282">
        <f t="shared" ref="Y165:AA165" si="59">COUNTIF(Y17:Y19,"&lt;=50")</f>
        <v>3</v>
      </c>
      <c r="Z165" s="3282">
        <f t="shared" si="59"/>
        <v>3</v>
      </c>
      <c r="AA165" s="3282">
        <f t="shared" si="59"/>
        <v>3</v>
      </c>
      <c r="AB165" s="3489">
        <f t="shared" ref="AB165:AE165" si="60">COUNTIF(AB17:AB19,"&lt;=50")</f>
        <v>3</v>
      </c>
      <c r="AC165" s="3489">
        <f t="shared" si="60"/>
        <v>0</v>
      </c>
      <c r="AD165" s="3489">
        <f t="shared" si="60"/>
        <v>0</v>
      </c>
      <c r="AE165" s="3489">
        <f t="shared" si="60"/>
        <v>0</v>
      </c>
    </row>
    <row r="166" spans="1:31" s="1096" customFormat="1">
      <c r="A166" s="3570"/>
      <c r="B166" s="3619"/>
      <c r="C166" s="3625"/>
      <c r="D166" s="2146">
        <f>COUNT(D17:D19)</f>
        <v>3</v>
      </c>
      <c r="E166" s="2146">
        <f t="shared" ref="E166:X166" si="61">COUNT(E17:E19)</f>
        <v>3</v>
      </c>
      <c r="F166" s="2146">
        <f t="shared" si="61"/>
        <v>3</v>
      </c>
      <c r="G166" s="2146">
        <f t="shared" si="61"/>
        <v>3</v>
      </c>
      <c r="H166" s="2146">
        <f t="shared" si="61"/>
        <v>3</v>
      </c>
      <c r="I166" s="2146">
        <f t="shared" si="61"/>
        <v>3</v>
      </c>
      <c r="J166" s="2146">
        <f t="shared" si="61"/>
        <v>3</v>
      </c>
      <c r="K166" s="2146">
        <f t="shared" si="61"/>
        <v>3</v>
      </c>
      <c r="L166" s="2146">
        <f t="shared" si="61"/>
        <v>3</v>
      </c>
      <c r="M166" s="2146">
        <f t="shared" si="61"/>
        <v>3</v>
      </c>
      <c r="N166" s="2146">
        <f t="shared" si="61"/>
        <v>3</v>
      </c>
      <c r="O166" s="2280">
        <f t="shared" si="61"/>
        <v>3</v>
      </c>
      <c r="P166" s="2246">
        <f t="shared" si="61"/>
        <v>3</v>
      </c>
      <c r="Q166" s="2146">
        <f t="shared" si="61"/>
        <v>3</v>
      </c>
      <c r="R166" s="2146">
        <f t="shared" si="61"/>
        <v>3</v>
      </c>
      <c r="S166" s="2146">
        <f t="shared" si="61"/>
        <v>3</v>
      </c>
      <c r="T166" s="3002">
        <f t="shared" ref="T166:U166" si="62">COUNT(T17:T19)</f>
        <v>3</v>
      </c>
      <c r="U166" s="3002">
        <f t="shared" si="62"/>
        <v>3</v>
      </c>
      <c r="V166" s="2876"/>
      <c r="W166" s="2876"/>
      <c r="X166" s="2146">
        <f t="shared" si="61"/>
        <v>3</v>
      </c>
      <c r="Y166" s="3283">
        <f t="shared" ref="Y166:AA166" si="63">COUNT(Y17:Y19)</f>
        <v>3</v>
      </c>
      <c r="Z166" s="3283">
        <f t="shared" si="63"/>
        <v>3</v>
      </c>
      <c r="AA166" s="3283">
        <f t="shared" si="63"/>
        <v>3</v>
      </c>
      <c r="AB166" s="3490">
        <f t="shared" ref="AB166:AE166" si="64">COUNT(AB17:AB19)</f>
        <v>3</v>
      </c>
      <c r="AC166" s="3490">
        <f t="shared" si="64"/>
        <v>0</v>
      </c>
      <c r="AD166" s="3490">
        <f t="shared" si="64"/>
        <v>0</v>
      </c>
      <c r="AE166" s="3490">
        <f t="shared" si="64"/>
        <v>0</v>
      </c>
    </row>
    <row r="167" spans="1:31" s="1096" customFormat="1">
      <c r="A167" s="3570"/>
      <c r="B167" s="3620"/>
      <c r="C167" s="3626"/>
      <c r="D167" s="1557">
        <f t="shared" ref="D167:X167" si="65">D165/D166</f>
        <v>1</v>
      </c>
      <c r="E167" s="1557">
        <f t="shared" si="65"/>
        <v>1</v>
      </c>
      <c r="F167" s="1557">
        <f t="shared" si="65"/>
        <v>0.66666666666666663</v>
      </c>
      <c r="G167" s="1557">
        <f t="shared" si="65"/>
        <v>1</v>
      </c>
      <c r="H167" s="1557">
        <f t="shared" si="65"/>
        <v>1</v>
      </c>
      <c r="I167" s="1557">
        <f t="shared" si="65"/>
        <v>1</v>
      </c>
      <c r="J167" s="1557">
        <f t="shared" si="65"/>
        <v>1</v>
      </c>
      <c r="K167" s="1557">
        <f t="shared" si="65"/>
        <v>1</v>
      </c>
      <c r="L167" s="1557">
        <f t="shared" si="65"/>
        <v>1</v>
      </c>
      <c r="M167" s="1557">
        <f t="shared" si="65"/>
        <v>1</v>
      </c>
      <c r="N167" s="1557">
        <f t="shared" si="65"/>
        <v>1</v>
      </c>
      <c r="O167" s="2281">
        <f t="shared" si="65"/>
        <v>1</v>
      </c>
      <c r="P167" s="2247">
        <f t="shared" si="65"/>
        <v>1</v>
      </c>
      <c r="Q167" s="1557">
        <f t="shared" si="65"/>
        <v>1</v>
      </c>
      <c r="R167" s="1557">
        <f t="shared" si="65"/>
        <v>1</v>
      </c>
      <c r="S167" s="1557">
        <f t="shared" si="65"/>
        <v>1</v>
      </c>
      <c r="T167" s="1557">
        <f t="shared" ref="T167:U167" si="66">T165/T166</f>
        <v>1</v>
      </c>
      <c r="U167" s="1557">
        <f t="shared" si="66"/>
        <v>1</v>
      </c>
      <c r="V167" s="1557"/>
      <c r="W167" s="1557"/>
      <c r="X167" s="1557">
        <f t="shared" si="65"/>
        <v>1</v>
      </c>
      <c r="Y167" s="1557">
        <f t="shared" ref="Y167:AA167" si="67">Y165/Y166</f>
        <v>1</v>
      </c>
      <c r="Z167" s="1557">
        <f t="shared" si="67"/>
        <v>1</v>
      </c>
      <c r="AA167" s="1557">
        <f t="shared" si="67"/>
        <v>1</v>
      </c>
      <c r="AB167" s="1557">
        <f t="shared" ref="AB167:AE167" si="68">AB165/AB166</f>
        <v>1</v>
      </c>
      <c r="AC167" s="1557" t="e">
        <f t="shared" si="68"/>
        <v>#DIV/0!</v>
      </c>
      <c r="AD167" s="1557" t="e">
        <f t="shared" si="68"/>
        <v>#DIV/0!</v>
      </c>
      <c r="AE167" s="1557" t="e">
        <f t="shared" si="68"/>
        <v>#DIV/0!</v>
      </c>
    </row>
    <row r="168" spans="1:31" s="1106" customFormat="1">
      <c r="A168" s="3570"/>
      <c r="B168" s="3618" t="s">
        <v>185</v>
      </c>
      <c r="C168" s="3624">
        <f>COUNTA(A20:A22)</f>
        <v>3</v>
      </c>
      <c r="D168" s="2145">
        <f>COUNTIF(D20:D22,"&lt;=50")</f>
        <v>3</v>
      </c>
      <c r="E168" s="2145">
        <f t="shared" ref="E168:X168" si="69">COUNTIF(E20:E22,"&lt;=50")</f>
        <v>3</v>
      </c>
      <c r="F168" s="2145">
        <f t="shared" si="69"/>
        <v>3</v>
      </c>
      <c r="G168" s="2145">
        <f t="shared" si="69"/>
        <v>3</v>
      </c>
      <c r="H168" s="2145">
        <f t="shared" si="69"/>
        <v>3</v>
      </c>
      <c r="I168" s="2145">
        <f t="shared" si="69"/>
        <v>3</v>
      </c>
      <c r="J168" s="2145">
        <f t="shared" si="69"/>
        <v>1</v>
      </c>
      <c r="K168" s="2145">
        <f t="shared" si="69"/>
        <v>3</v>
      </c>
      <c r="L168" s="2145">
        <f>COUNTIF(L20:L22,"&lt;=50")</f>
        <v>0</v>
      </c>
      <c r="M168" s="2145">
        <f t="shared" si="69"/>
        <v>2</v>
      </c>
      <c r="N168" s="2145">
        <f t="shared" si="69"/>
        <v>3</v>
      </c>
      <c r="O168" s="2279">
        <f t="shared" si="69"/>
        <v>1</v>
      </c>
      <c r="P168" s="2245">
        <f t="shared" si="69"/>
        <v>3</v>
      </c>
      <c r="Q168" s="2145">
        <f t="shared" si="69"/>
        <v>2</v>
      </c>
      <c r="R168" s="2145">
        <f t="shared" si="69"/>
        <v>3</v>
      </c>
      <c r="S168" s="2145">
        <f t="shared" si="69"/>
        <v>3</v>
      </c>
      <c r="T168" s="3001">
        <f t="shared" ref="T168:U168" si="70">COUNTIF(T20:T22,"&lt;=50")</f>
        <v>0</v>
      </c>
      <c r="U168" s="3001">
        <f t="shared" si="70"/>
        <v>0</v>
      </c>
      <c r="V168" s="2875"/>
      <c r="W168" s="2875"/>
      <c r="X168" s="2145">
        <f t="shared" si="69"/>
        <v>3</v>
      </c>
      <c r="Y168" s="3282">
        <f t="shared" ref="Y168:AA168" si="71">COUNTIF(Y20:Y22,"&lt;=50")</f>
        <v>3</v>
      </c>
      <c r="Z168" s="3282">
        <f t="shared" si="71"/>
        <v>3</v>
      </c>
      <c r="AA168" s="3282">
        <f t="shared" si="71"/>
        <v>3</v>
      </c>
      <c r="AB168" s="3489">
        <f t="shared" ref="AB168:AE168" si="72">COUNTIF(AB20:AB22,"&lt;=50")</f>
        <v>3</v>
      </c>
      <c r="AC168" s="3489">
        <f t="shared" si="72"/>
        <v>0</v>
      </c>
      <c r="AD168" s="3489">
        <f t="shared" si="72"/>
        <v>0</v>
      </c>
      <c r="AE168" s="3489">
        <f t="shared" si="72"/>
        <v>0</v>
      </c>
    </row>
    <row r="169" spans="1:31" s="1096" customFormat="1">
      <c r="A169" s="3570"/>
      <c r="B169" s="3619"/>
      <c r="C169" s="3625"/>
      <c r="D169" s="2146">
        <f>COUNT(D20:D22)</f>
        <v>3</v>
      </c>
      <c r="E169" s="2146">
        <f t="shared" ref="E169:X169" si="73">COUNT(E20:E22)</f>
        <v>3</v>
      </c>
      <c r="F169" s="2146">
        <f t="shared" si="73"/>
        <v>3</v>
      </c>
      <c r="G169" s="2146">
        <f t="shared" si="73"/>
        <v>3</v>
      </c>
      <c r="H169" s="2146">
        <f t="shared" si="73"/>
        <v>3</v>
      </c>
      <c r="I169" s="2146">
        <f t="shared" si="73"/>
        <v>3</v>
      </c>
      <c r="J169" s="2146">
        <f t="shared" si="73"/>
        <v>3</v>
      </c>
      <c r="K169" s="2146">
        <f t="shared" si="73"/>
        <v>3</v>
      </c>
      <c r="L169" s="2146">
        <f>COUNT(L20:L22)</f>
        <v>0</v>
      </c>
      <c r="M169" s="2146">
        <f t="shared" si="73"/>
        <v>3</v>
      </c>
      <c r="N169" s="2146">
        <f t="shared" si="73"/>
        <v>3</v>
      </c>
      <c r="O169" s="2280">
        <f t="shared" si="73"/>
        <v>3</v>
      </c>
      <c r="P169" s="2246">
        <f t="shared" si="73"/>
        <v>3</v>
      </c>
      <c r="Q169" s="2146">
        <f t="shared" si="73"/>
        <v>3</v>
      </c>
      <c r="R169" s="2146">
        <f t="shared" si="73"/>
        <v>3</v>
      </c>
      <c r="S169" s="2146">
        <f t="shared" si="73"/>
        <v>3</v>
      </c>
      <c r="T169" s="3002">
        <f t="shared" ref="T169:U169" si="74">COUNT(T20:T22)</f>
        <v>0</v>
      </c>
      <c r="U169" s="3002">
        <f t="shared" si="74"/>
        <v>0</v>
      </c>
      <c r="V169" s="2876"/>
      <c r="W169" s="2876"/>
      <c r="X169" s="2146">
        <f t="shared" si="73"/>
        <v>3</v>
      </c>
      <c r="Y169" s="3283">
        <f t="shared" ref="Y169:AA169" si="75">COUNT(Y20:Y22)</f>
        <v>3</v>
      </c>
      <c r="Z169" s="3283">
        <f t="shared" si="75"/>
        <v>3</v>
      </c>
      <c r="AA169" s="3283">
        <f t="shared" si="75"/>
        <v>3</v>
      </c>
      <c r="AB169" s="3490">
        <f t="shared" ref="AB169:AE169" si="76">COUNT(AB20:AB22)</f>
        <v>3</v>
      </c>
      <c r="AC169" s="3490">
        <f t="shared" si="76"/>
        <v>0</v>
      </c>
      <c r="AD169" s="3490">
        <f t="shared" si="76"/>
        <v>0</v>
      </c>
      <c r="AE169" s="3490">
        <f t="shared" si="76"/>
        <v>0</v>
      </c>
    </row>
    <row r="170" spans="1:31" s="1096" customFormat="1">
      <c r="A170" s="3570"/>
      <c r="B170" s="3620"/>
      <c r="C170" s="3626"/>
      <c r="D170" s="1557">
        <f t="shared" ref="D170:X170" si="77">D168/D169</f>
        <v>1</v>
      </c>
      <c r="E170" s="1557">
        <f t="shared" si="77"/>
        <v>1</v>
      </c>
      <c r="F170" s="1557">
        <f t="shared" si="77"/>
        <v>1</v>
      </c>
      <c r="G170" s="1557">
        <f t="shared" si="77"/>
        <v>1</v>
      </c>
      <c r="H170" s="1557">
        <f t="shared" si="77"/>
        <v>1</v>
      </c>
      <c r="I170" s="1557">
        <f t="shared" si="77"/>
        <v>1</v>
      </c>
      <c r="J170" s="1557">
        <f t="shared" si="77"/>
        <v>0.33333333333333331</v>
      </c>
      <c r="K170" s="1557">
        <f t="shared" si="77"/>
        <v>1</v>
      </c>
      <c r="L170" s="1557" t="e">
        <f t="shared" si="77"/>
        <v>#DIV/0!</v>
      </c>
      <c r="M170" s="1557">
        <f t="shared" si="77"/>
        <v>0.66666666666666663</v>
      </c>
      <c r="N170" s="1557">
        <f t="shared" si="77"/>
        <v>1</v>
      </c>
      <c r="O170" s="2281">
        <f t="shared" si="77"/>
        <v>0.33333333333333331</v>
      </c>
      <c r="P170" s="2247">
        <f t="shared" si="77"/>
        <v>1</v>
      </c>
      <c r="Q170" s="1557">
        <f t="shared" si="77"/>
        <v>0.66666666666666663</v>
      </c>
      <c r="R170" s="1557">
        <f t="shared" si="77"/>
        <v>1</v>
      </c>
      <c r="S170" s="1557">
        <f t="shared" si="77"/>
        <v>1</v>
      </c>
      <c r="T170" s="1557" t="e">
        <f t="shared" ref="T170:U170" si="78">T168/T169</f>
        <v>#DIV/0!</v>
      </c>
      <c r="U170" s="1557" t="e">
        <f t="shared" si="78"/>
        <v>#DIV/0!</v>
      </c>
      <c r="V170" s="1557"/>
      <c r="W170" s="1557"/>
      <c r="X170" s="1557">
        <f t="shared" si="77"/>
        <v>1</v>
      </c>
      <c r="Y170" s="1557">
        <f t="shared" ref="Y170:AA170" si="79">Y168/Y169</f>
        <v>1</v>
      </c>
      <c r="Z170" s="1557">
        <f t="shared" si="79"/>
        <v>1</v>
      </c>
      <c r="AA170" s="1557">
        <f t="shared" si="79"/>
        <v>1</v>
      </c>
      <c r="AB170" s="1557">
        <f t="shared" ref="AB170:AE170" si="80">AB168/AB169</f>
        <v>1</v>
      </c>
      <c r="AC170" s="1557" t="e">
        <f t="shared" si="80"/>
        <v>#DIV/0!</v>
      </c>
      <c r="AD170" s="1557" t="e">
        <f t="shared" si="80"/>
        <v>#DIV/0!</v>
      </c>
      <c r="AE170" s="1557" t="e">
        <f t="shared" si="80"/>
        <v>#DIV/0!</v>
      </c>
    </row>
    <row r="171" spans="1:31" s="1106" customFormat="1">
      <c r="A171" s="3570"/>
      <c r="B171" s="3618" t="s">
        <v>132</v>
      </c>
      <c r="C171" s="3624">
        <f>COUNTA(A23:A27)</f>
        <v>5</v>
      </c>
      <c r="D171" s="2145">
        <f>COUNTIF(D23:D27,"&lt;=50")</f>
        <v>5</v>
      </c>
      <c r="E171" s="2145">
        <f t="shared" ref="E171:X171" si="81">COUNTIF(E23:E27,"&lt;=50")</f>
        <v>0</v>
      </c>
      <c r="F171" s="2145">
        <f t="shared" si="81"/>
        <v>0</v>
      </c>
      <c r="G171" s="2145">
        <f t="shared" si="81"/>
        <v>4</v>
      </c>
      <c r="H171" s="2145">
        <f t="shared" si="81"/>
        <v>5</v>
      </c>
      <c r="I171" s="2145">
        <f t="shared" si="81"/>
        <v>5</v>
      </c>
      <c r="J171" s="2145">
        <f t="shared" si="81"/>
        <v>5</v>
      </c>
      <c r="K171" s="2145">
        <f t="shared" si="81"/>
        <v>5</v>
      </c>
      <c r="L171" s="2145">
        <f t="shared" si="81"/>
        <v>5</v>
      </c>
      <c r="M171" s="2145">
        <f t="shared" si="81"/>
        <v>1</v>
      </c>
      <c r="N171" s="2145">
        <f t="shared" si="81"/>
        <v>2</v>
      </c>
      <c r="O171" s="2279">
        <f t="shared" si="81"/>
        <v>5</v>
      </c>
      <c r="P171" s="2245">
        <f t="shared" si="81"/>
        <v>5</v>
      </c>
      <c r="Q171" s="2145">
        <f t="shared" si="81"/>
        <v>5</v>
      </c>
      <c r="R171" s="2145">
        <f t="shared" si="81"/>
        <v>5</v>
      </c>
      <c r="S171" s="2145">
        <f t="shared" si="81"/>
        <v>5</v>
      </c>
      <c r="T171" s="3001">
        <f t="shared" ref="T171:U171" si="82">COUNTIF(T23:T27,"&lt;=50")</f>
        <v>5</v>
      </c>
      <c r="U171" s="3001">
        <f t="shared" si="82"/>
        <v>4</v>
      </c>
      <c r="V171" s="2875"/>
      <c r="W171" s="2875"/>
      <c r="X171" s="2145">
        <f t="shared" si="81"/>
        <v>5</v>
      </c>
      <c r="Y171" s="3282">
        <f t="shared" ref="Y171:AA171" si="83">COUNTIF(Y23:Y27,"&lt;=50")</f>
        <v>5</v>
      </c>
      <c r="Z171" s="3282">
        <f t="shared" si="83"/>
        <v>5</v>
      </c>
      <c r="AA171" s="3282">
        <f t="shared" si="83"/>
        <v>5</v>
      </c>
      <c r="AB171" s="3489">
        <f t="shared" ref="AB171:AE171" si="84">COUNTIF(AB23:AB27,"&lt;=50")</f>
        <v>5</v>
      </c>
      <c r="AC171" s="3489">
        <f t="shared" si="84"/>
        <v>0</v>
      </c>
      <c r="AD171" s="3489">
        <f t="shared" si="84"/>
        <v>0</v>
      </c>
      <c r="AE171" s="3489">
        <f t="shared" si="84"/>
        <v>0</v>
      </c>
    </row>
    <row r="172" spans="1:31" s="1096" customFormat="1">
      <c r="A172" s="3570"/>
      <c r="B172" s="3619"/>
      <c r="C172" s="3625"/>
      <c r="D172" s="2146">
        <f>COUNT(D23:D27)</f>
        <v>5</v>
      </c>
      <c r="E172" s="2146">
        <f t="shared" ref="E172:X172" si="85">COUNT(E23:E27)</f>
        <v>5</v>
      </c>
      <c r="F172" s="2146">
        <f t="shared" si="85"/>
        <v>5</v>
      </c>
      <c r="G172" s="2146">
        <f t="shared" si="85"/>
        <v>5</v>
      </c>
      <c r="H172" s="2146">
        <f t="shared" si="85"/>
        <v>5</v>
      </c>
      <c r="I172" s="2146">
        <f t="shared" si="85"/>
        <v>5</v>
      </c>
      <c r="J172" s="2146">
        <f t="shared" si="85"/>
        <v>5</v>
      </c>
      <c r="K172" s="2146">
        <f t="shared" si="85"/>
        <v>5</v>
      </c>
      <c r="L172" s="2146">
        <f t="shared" si="85"/>
        <v>5</v>
      </c>
      <c r="M172" s="2146">
        <f t="shared" si="85"/>
        <v>5</v>
      </c>
      <c r="N172" s="2146">
        <f t="shared" si="85"/>
        <v>5</v>
      </c>
      <c r="O172" s="2280">
        <f t="shared" si="85"/>
        <v>5</v>
      </c>
      <c r="P172" s="2246">
        <f t="shared" si="85"/>
        <v>5</v>
      </c>
      <c r="Q172" s="2146">
        <f t="shared" si="85"/>
        <v>5</v>
      </c>
      <c r="R172" s="2146">
        <f t="shared" si="85"/>
        <v>5</v>
      </c>
      <c r="S172" s="2146">
        <f t="shared" si="85"/>
        <v>5</v>
      </c>
      <c r="T172" s="3002">
        <f t="shared" ref="T172:U172" si="86">COUNT(T23:T27)</f>
        <v>5</v>
      </c>
      <c r="U172" s="3002">
        <f t="shared" si="86"/>
        <v>5</v>
      </c>
      <c r="V172" s="2876"/>
      <c r="W172" s="2876"/>
      <c r="X172" s="2146">
        <f t="shared" si="85"/>
        <v>5</v>
      </c>
      <c r="Y172" s="3283">
        <f t="shared" ref="Y172:AA172" si="87">COUNT(Y23:Y27)</f>
        <v>5</v>
      </c>
      <c r="Z172" s="3283">
        <f t="shared" si="87"/>
        <v>5</v>
      </c>
      <c r="AA172" s="3283">
        <f t="shared" si="87"/>
        <v>5</v>
      </c>
      <c r="AB172" s="3490">
        <f t="shared" ref="AB172:AE172" si="88">COUNT(AB23:AB27)</f>
        <v>5</v>
      </c>
      <c r="AC172" s="3490">
        <f t="shared" si="88"/>
        <v>0</v>
      </c>
      <c r="AD172" s="3490">
        <f t="shared" si="88"/>
        <v>0</v>
      </c>
      <c r="AE172" s="3490">
        <f t="shared" si="88"/>
        <v>0</v>
      </c>
    </row>
    <row r="173" spans="1:31" s="1096" customFormat="1">
      <c r="A173" s="3570"/>
      <c r="B173" s="3620"/>
      <c r="C173" s="3626"/>
      <c r="D173" s="1557">
        <f t="shared" ref="D173:X173" si="89">D171/D172</f>
        <v>1</v>
      </c>
      <c r="E173" s="1557">
        <f t="shared" si="89"/>
        <v>0</v>
      </c>
      <c r="F173" s="1557">
        <f t="shared" si="89"/>
        <v>0</v>
      </c>
      <c r="G173" s="1557">
        <f t="shared" si="89"/>
        <v>0.8</v>
      </c>
      <c r="H173" s="1557">
        <f t="shared" si="89"/>
        <v>1</v>
      </c>
      <c r="I173" s="1557">
        <f t="shared" si="89"/>
        <v>1</v>
      </c>
      <c r="J173" s="1557">
        <f t="shared" si="89"/>
        <v>1</v>
      </c>
      <c r="K173" s="1557">
        <f t="shared" si="89"/>
        <v>1</v>
      </c>
      <c r="L173" s="1557">
        <f t="shared" si="89"/>
        <v>1</v>
      </c>
      <c r="M173" s="1557">
        <f t="shared" si="89"/>
        <v>0.2</v>
      </c>
      <c r="N173" s="1557">
        <f t="shared" si="89"/>
        <v>0.4</v>
      </c>
      <c r="O173" s="2281">
        <f t="shared" si="89"/>
        <v>1</v>
      </c>
      <c r="P173" s="2247">
        <f t="shared" si="89"/>
        <v>1</v>
      </c>
      <c r="Q173" s="1557">
        <f t="shared" si="89"/>
        <v>1</v>
      </c>
      <c r="R173" s="1557">
        <f t="shared" si="89"/>
        <v>1</v>
      </c>
      <c r="S173" s="1557">
        <f t="shared" si="89"/>
        <v>1</v>
      </c>
      <c r="T173" s="1557">
        <f t="shared" ref="T173:U173" si="90">T171/T172</f>
        <v>1</v>
      </c>
      <c r="U173" s="1557">
        <f t="shared" si="90"/>
        <v>0.8</v>
      </c>
      <c r="V173" s="1557"/>
      <c r="W173" s="1557"/>
      <c r="X173" s="1557">
        <f t="shared" si="89"/>
        <v>1</v>
      </c>
      <c r="Y173" s="1557">
        <f t="shared" ref="Y173:AA173" si="91">Y171/Y172</f>
        <v>1</v>
      </c>
      <c r="Z173" s="1557">
        <f t="shared" si="91"/>
        <v>1</v>
      </c>
      <c r="AA173" s="1557">
        <f t="shared" si="91"/>
        <v>1</v>
      </c>
      <c r="AB173" s="1557">
        <f t="shared" ref="AB173:AE173" si="92">AB171/AB172</f>
        <v>1</v>
      </c>
      <c r="AC173" s="1557" t="e">
        <f t="shared" si="92"/>
        <v>#DIV/0!</v>
      </c>
      <c r="AD173" s="1557" t="e">
        <f t="shared" si="92"/>
        <v>#DIV/0!</v>
      </c>
      <c r="AE173" s="1557" t="e">
        <f t="shared" si="92"/>
        <v>#DIV/0!</v>
      </c>
    </row>
    <row r="174" spans="1:31" s="1106" customFormat="1">
      <c r="A174" s="3570"/>
      <c r="B174" s="3618" t="s">
        <v>63</v>
      </c>
      <c r="C174" s="3624">
        <f>COUNTA(A28:A32)</f>
        <v>5</v>
      </c>
      <c r="D174" s="2145">
        <f>COUNTIF(D28:D32,"&lt;=50")</f>
        <v>4</v>
      </c>
      <c r="E174" s="2145">
        <f t="shared" ref="E174:X174" si="93">COUNTIF(E28:E32,"&lt;=50")</f>
        <v>4</v>
      </c>
      <c r="F174" s="2145">
        <f t="shared" si="93"/>
        <v>4</v>
      </c>
      <c r="G174" s="2145">
        <f t="shared" si="93"/>
        <v>3</v>
      </c>
      <c r="H174" s="2145">
        <f t="shared" si="93"/>
        <v>5</v>
      </c>
      <c r="I174" s="2145">
        <f t="shared" si="93"/>
        <v>3</v>
      </c>
      <c r="J174" s="2145">
        <f t="shared" si="93"/>
        <v>5</v>
      </c>
      <c r="K174" s="2145">
        <f t="shared" si="93"/>
        <v>4</v>
      </c>
      <c r="L174" s="2145">
        <f t="shared" si="93"/>
        <v>3</v>
      </c>
      <c r="M174" s="2145">
        <f t="shared" si="93"/>
        <v>1</v>
      </c>
      <c r="N174" s="2145">
        <f t="shared" si="93"/>
        <v>5</v>
      </c>
      <c r="O174" s="2279">
        <f t="shared" si="93"/>
        <v>5</v>
      </c>
      <c r="P174" s="2245">
        <f t="shared" si="93"/>
        <v>5</v>
      </c>
      <c r="Q174" s="2145">
        <f t="shared" si="93"/>
        <v>4</v>
      </c>
      <c r="R174" s="2145">
        <f t="shared" si="93"/>
        <v>5</v>
      </c>
      <c r="S174" s="2145">
        <f t="shared" si="93"/>
        <v>5</v>
      </c>
      <c r="T174" s="3001">
        <f t="shared" ref="T174:U174" si="94">COUNTIF(T28:T32,"&lt;=50")</f>
        <v>0</v>
      </c>
      <c r="U174" s="3001">
        <f t="shared" si="94"/>
        <v>5</v>
      </c>
      <c r="V174" s="2875"/>
      <c r="W174" s="2875"/>
      <c r="X174" s="2145">
        <f t="shared" si="93"/>
        <v>5</v>
      </c>
      <c r="Y174" s="3282">
        <f t="shared" ref="Y174:AA174" si="95">COUNTIF(Y28:Y32,"&lt;=50")</f>
        <v>5</v>
      </c>
      <c r="Z174" s="3282">
        <f t="shared" si="95"/>
        <v>5</v>
      </c>
      <c r="AA174" s="3282">
        <f t="shared" si="95"/>
        <v>5</v>
      </c>
      <c r="AB174" s="3489">
        <f t="shared" ref="AB174:AE174" si="96">COUNTIF(AB28:AB32,"&lt;=50")</f>
        <v>3</v>
      </c>
      <c r="AC174" s="3489">
        <f t="shared" si="96"/>
        <v>0</v>
      </c>
      <c r="AD174" s="3489">
        <f t="shared" si="96"/>
        <v>0</v>
      </c>
      <c r="AE174" s="3489">
        <f t="shared" si="96"/>
        <v>0</v>
      </c>
    </row>
    <row r="175" spans="1:31" s="1096" customFormat="1">
      <c r="A175" s="3570"/>
      <c r="B175" s="3619"/>
      <c r="C175" s="3625"/>
      <c r="D175" s="2146">
        <f>COUNT(D28:D32)</f>
        <v>5</v>
      </c>
      <c r="E175" s="2146">
        <f t="shared" ref="E175:X175" si="97">COUNT(E28:E32)</f>
        <v>5</v>
      </c>
      <c r="F175" s="2146">
        <f t="shared" si="97"/>
        <v>5</v>
      </c>
      <c r="G175" s="2146">
        <f t="shared" si="97"/>
        <v>5</v>
      </c>
      <c r="H175" s="2146">
        <f t="shared" si="97"/>
        <v>5</v>
      </c>
      <c r="I175" s="2146">
        <f t="shared" si="97"/>
        <v>5</v>
      </c>
      <c r="J175" s="2146">
        <f t="shared" si="97"/>
        <v>5</v>
      </c>
      <c r="K175" s="2146">
        <f t="shared" si="97"/>
        <v>5</v>
      </c>
      <c r="L175" s="2146">
        <f t="shared" si="97"/>
        <v>5</v>
      </c>
      <c r="M175" s="2146">
        <f t="shared" si="97"/>
        <v>5</v>
      </c>
      <c r="N175" s="2146">
        <f t="shared" si="97"/>
        <v>5</v>
      </c>
      <c r="O175" s="2280">
        <f t="shared" si="97"/>
        <v>5</v>
      </c>
      <c r="P175" s="2246">
        <f t="shared" si="97"/>
        <v>5</v>
      </c>
      <c r="Q175" s="2146">
        <f t="shared" si="97"/>
        <v>5</v>
      </c>
      <c r="R175" s="2146">
        <f t="shared" si="97"/>
        <v>5</v>
      </c>
      <c r="S175" s="2146">
        <f t="shared" si="97"/>
        <v>5</v>
      </c>
      <c r="T175" s="3002">
        <f t="shared" ref="T175:U175" si="98">COUNT(T28:T32)</f>
        <v>0</v>
      </c>
      <c r="U175" s="3002">
        <f t="shared" si="98"/>
        <v>5</v>
      </c>
      <c r="V175" s="2876"/>
      <c r="W175" s="2876"/>
      <c r="X175" s="2146">
        <f t="shared" si="97"/>
        <v>5</v>
      </c>
      <c r="Y175" s="3283">
        <f t="shared" ref="Y175:AA175" si="99">COUNT(Y28:Y32)</f>
        <v>5</v>
      </c>
      <c r="Z175" s="3283">
        <f t="shared" si="99"/>
        <v>5</v>
      </c>
      <c r="AA175" s="3283">
        <f t="shared" si="99"/>
        <v>5</v>
      </c>
      <c r="AB175" s="3490">
        <f t="shared" ref="AB175:AE175" si="100">COUNT(AB28:AB32)</f>
        <v>5</v>
      </c>
      <c r="AC175" s="3490">
        <f t="shared" si="100"/>
        <v>0</v>
      </c>
      <c r="AD175" s="3490">
        <f t="shared" si="100"/>
        <v>0</v>
      </c>
      <c r="AE175" s="3490">
        <f t="shared" si="100"/>
        <v>0</v>
      </c>
    </row>
    <row r="176" spans="1:31" s="1096" customFormat="1">
      <c r="A176" s="3570"/>
      <c r="B176" s="3620"/>
      <c r="C176" s="3626"/>
      <c r="D176" s="1557">
        <f t="shared" ref="D176:X176" si="101">D174/D175</f>
        <v>0.8</v>
      </c>
      <c r="E176" s="1557">
        <f t="shared" si="101"/>
        <v>0.8</v>
      </c>
      <c r="F176" s="1557">
        <f t="shared" si="101"/>
        <v>0.8</v>
      </c>
      <c r="G176" s="1557">
        <f t="shared" si="101"/>
        <v>0.6</v>
      </c>
      <c r="H176" s="1557">
        <f t="shared" si="101"/>
        <v>1</v>
      </c>
      <c r="I176" s="1557">
        <f t="shared" si="101"/>
        <v>0.6</v>
      </c>
      <c r="J176" s="1557">
        <f t="shared" si="101"/>
        <v>1</v>
      </c>
      <c r="K176" s="1557">
        <f t="shared" si="101"/>
        <v>0.8</v>
      </c>
      <c r="L176" s="1557">
        <f t="shared" si="101"/>
        <v>0.6</v>
      </c>
      <c r="M176" s="1557">
        <f t="shared" si="101"/>
        <v>0.2</v>
      </c>
      <c r="N176" s="1557">
        <f t="shared" si="101"/>
        <v>1</v>
      </c>
      <c r="O176" s="2281">
        <f t="shared" si="101"/>
        <v>1</v>
      </c>
      <c r="P176" s="2247">
        <f t="shared" si="101"/>
        <v>1</v>
      </c>
      <c r="Q176" s="1557">
        <f t="shared" si="101"/>
        <v>0.8</v>
      </c>
      <c r="R176" s="1557">
        <f t="shared" si="101"/>
        <v>1</v>
      </c>
      <c r="S176" s="1557">
        <f t="shared" si="101"/>
        <v>1</v>
      </c>
      <c r="T176" s="1557" t="e">
        <f t="shared" ref="T176:U176" si="102">T174/T175</f>
        <v>#DIV/0!</v>
      </c>
      <c r="U176" s="1557">
        <f t="shared" si="102"/>
        <v>1</v>
      </c>
      <c r="V176" s="1557"/>
      <c r="W176" s="1557"/>
      <c r="X176" s="1557">
        <f t="shared" si="101"/>
        <v>1</v>
      </c>
      <c r="Y176" s="1557">
        <f t="shared" ref="Y176:AA176" si="103">Y174/Y175</f>
        <v>1</v>
      </c>
      <c r="Z176" s="1557">
        <f t="shared" si="103"/>
        <v>1</v>
      </c>
      <c r="AA176" s="1557">
        <f t="shared" si="103"/>
        <v>1</v>
      </c>
      <c r="AB176" s="1557">
        <f t="shared" ref="AB176:AE176" si="104">AB174/AB175</f>
        <v>0.6</v>
      </c>
      <c r="AC176" s="1557" t="e">
        <f t="shared" si="104"/>
        <v>#DIV/0!</v>
      </c>
      <c r="AD176" s="1557" t="e">
        <f t="shared" si="104"/>
        <v>#DIV/0!</v>
      </c>
      <c r="AE176" s="1557" t="e">
        <f t="shared" si="104"/>
        <v>#DIV/0!</v>
      </c>
    </row>
    <row r="177" spans="1:31" s="1106" customFormat="1">
      <c r="A177" s="3570"/>
      <c r="B177" s="3618" t="s">
        <v>23</v>
      </c>
      <c r="C177" s="3624">
        <f>COUNTA(A33:A35)</f>
        <v>3</v>
      </c>
      <c r="D177" s="2145">
        <f>COUNTIF(D33:D35,"&lt;=50")</f>
        <v>3</v>
      </c>
      <c r="E177" s="2145">
        <f t="shared" ref="E177:X177" si="105">COUNTIF(E33:E35,"&lt;=50")</f>
        <v>3</v>
      </c>
      <c r="F177" s="2145">
        <f t="shared" si="105"/>
        <v>3</v>
      </c>
      <c r="G177" s="2145">
        <f t="shared" si="105"/>
        <v>2</v>
      </c>
      <c r="H177" s="2145">
        <f t="shared" si="105"/>
        <v>2</v>
      </c>
      <c r="I177" s="2145">
        <f t="shared" si="105"/>
        <v>1</v>
      </c>
      <c r="J177" s="2145">
        <f t="shared" si="105"/>
        <v>3</v>
      </c>
      <c r="K177" s="2145">
        <f t="shared" si="105"/>
        <v>3</v>
      </c>
      <c r="L177" s="2145">
        <f t="shared" si="105"/>
        <v>1</v>
      </c>
      <c r="M177" s="2145">
        <f t="shared" si="105"/>
        <v>3</v>
      </c>
      <c r="N177" s="2145">
        <f t="shared" si="105"/>
        <v>3</v>
      </c>
      <c r="O177" s="2279">
        <f t="shared" si="105"/>
        <v>3</v>
      </c>
      <c r="P177" s="2245">
        <f t="shared" si="105"/>
        <v>3</v>
      </c>
      <c r="Q177" s="2145">
        <f t="shared" si="105"/>
        <v>3</v>
      </c>
      <c r="R177" s="2145">
        <f t="shared" si="105"/>
        <v>3</v>
      </c>
      <c r="S177" s="2145">
        <f t="shared" si="105"/>
        <v>3</v>
      </c>
      <c r="T177" s="3001">
        <f t="shared" ref="T177:U177" si="106">COUNTIF(T33:T35,"&lt;=50")</f>
        <v>0</v>
      </c>
      <c r="U177" s="3001">
        <f t="shared" si="106"/>
        <v>0</v>
      </c>
      <c r="V177" s="2875"/>
      <c r="W177" s="2875"/>
      <c r="X177" s="2145">
        <f t="shared" si="105"/>
        <v>3</v>
      </c>
      <c r="Y177" s="3282">
        <f t="shared" ref="Y177:AA177" si="107">COUNTIF(Y33:Y35,"&lt;=50")</f>
        <v>3</v>
      </c>
      <c r="Z177" s="3282">
        <f t="shared" si="107"/>
        <v>3</v>
      </c>
      <c r="AA177" s="3282">
        <f t="shared" si="107"/>
        <v>3</v>
      </c>
      <c r="AB177" s="3489">
        <f t="shared" ref="AB177:AE177" si="108">COUNTIF(AB33:AB35,"&lt;=50")</f>
        <v>1</v>
      </c>
      <c r="AC177" s="3489">
        <f t="shared" si="108"/>
        <v>0</v>
      </c>
      <c r="AD177" s="3489">
        <f t="shared" si="108"/>
        <v>0</v>
      </c>
      <c r="AE177" s="3489">
        <f t="shared" si="108"/>
        <v>0</v>
      </c>
    </row>
    <row r="178" spans="1:31" s="1096" customFormat="1">
      <c r="A178" s="3570"/>
      <c r="B178" s="3619"/>
      <c r="C178" s="3625"/>
      <c r="D178" s="2146">
        <f>COUNT(D33:D35)</f>
        <v>3</v>
      </c>
      <c r="E178" s="2146">
        <f t="shared" ref="E178:X178" si="109">COUNT(E33:E35)</f>
        <v>3</v>
      </c>
      <c r="F178" s="2146">
        <f t="shared" si="109"/>
        <v>3</v>
      </c>
      <c r="G178" s="2146">
        <f t="shared" si="109"/>
        <v>3</v>
      </c>
      <c r="H178" s="2146">
        <f t="shared" si="109"/>
        <v>3</v>
      </c>
      <c r="I178" s="2146">
        <f t="shared" si="109"/>
        <v>3</v>
      </c>
      <c r="J178" s="2146">
        <f t="shared" si="109"/>
        <v>3</v>
      </c>
      <c r="K178" s="2146">
        <f t="shared" si="109"/>
        <v>3</v>
      </c>
      <c r="L178" s="2146">
        <f t="shared" si="109"/>
        <v>3</v>
      </c>
      <c r="M178" s="2146">
        <f t="shared" si="109"/>
        <v>3</v>
      </c>
      <c r="N178" s="2146">
        <f t="shared" si="109"/>
        <v>3</v>
      </c>
      <c r="O178" s="2280">
        <f t="shared" si="109"/>
        <v>3</v>
      </c>
      <c r="P178" s="2246">
        <f t="shared" si="109"/>
        <v>3</v>
      </c>
      <c r="Q178" s="2146">
        <f t="shared" si="109"/>
        <v>3</v>
      </c>
      <c r="R178" s="2146">
        <f t="shared" si="109"/>
        <v>3</v>
      </c>
      <c r="S178" s="2146">
        <f t="shared" si="109"/>
        <v>3</v>
      </c>
      <c r="T178" s="3002">
        <f t="shared" ref="T178:U178" si="110">COUNT(T33:T35)</f>
        <v>0</v>
      </c>
      <c r="U178" s="3002">
        <f t="shared" si="110"/>
        <v>0</v>
      </c>
      <c r="V178" s="2876"/>
      <c r="W178" s="2876"/>
      <c r="X178" s="2146">
        <f t="shared" si="109"/>
        <v>3</v>
      </c>
      <c r="Y178" s="3283">
        <f t="shared" ref="Y178:AA178" si="111">COUNT(Y33:Y35)</f>
        <v>3</v>
      </c>
      <c r="Z178" s="3283">
        <f t="shared" si="111"/>
        <v>3</v>
      </c>
      <c r="AA178" s="3283">
        <f t="shared" si="111"/>
        <v>3</v>
      </c>
      <c r="AB178" s="3490">
        <f t="shared" ref="AB178:AE178" si="112">COUNT(AB33:AB35)</f>
        <v>3</v>
      </c>
      <c r="AC178" s="3490">
        <f t="shared" si="112"/>
        <v>0</v>
      </c>
      <c r="AD178" s="3490">
        <f t="shared" si="112"/>
        <v>0</v>
      </c>
      <c r="AE178" s="3490">
        <f t="shared" si="112"/>
        <v>0</v>
      </c>
    </row>
    <row r="179" spans="1:31" s="1096" customFormat="1">
      <c r="A179" s="3570"/>
      <c r="B179" s="3620"/>
      <c r="C179" s="3626"/>
      <c r="D179" s="1557">
        <f t="shared" ref="D179:X179" si="113">D177/D178</f>
        <v>1</v>
      </c>
      <c r="E179" s="1557">
        <f t="shared" si="113"/>
        <v>1</v>
      </c>
      <c r="F179" s="1557">
        <f t="shared" si="113"/>
        <v>1</v>
      </c>
      <c r="G179" s="1557">
        <f t="shared" si="113"/>
        <v>0.66666666666666663</v>
      </c>
      <c r="H179" s="1557">
        <f t="shared" si="113"/>
        <v>0.66666666666666663</v>
      </c>
      <c r="I179" s="1557">
        <f t="shared" si="113"/>
        <v>0.33333333333333331</v>
      </c>
      <c r="J179" s="1557">
        <f t="shared" si="113"/>
        <v>1</v>
      </c>
      <c r="K179" s="1557">
        <f t="shared" si="113"/>
        <v>1</v>
      </c>
      <c r="L179" s="1557">
        <f t="shared" si="113"/>
        <v>0.33333333333333331</v>
      </c>
      <c r="M179" s="1557">
        <f t="shared" si="113"/>
        <v>1</v>
      </c>
      <c r="N179" s="1557">
        <f t="shared" si="113"/>
        <v>1</v>
      </c>
      <c r="O179" s="2281">
        <f t="shared" si="113"/>
        <v>1</v>
      </c>
      <c r="P179" s="2247">
        <f t="shared" si="113"/>
        <v>1</v>
      </c>
      <c r="Q179" s="1557">
        <f t="shared" si="113"/>
        <v>1</v>
      </c>
      <c r="R179" s="1557">
        <f t="shared" si="113"/>
        <v>1</v>
      </c>
      <c r="S179" s="1557">
        <f t="shared" si="113"/>
        <v>1</v>
      </c>
      <c r="T179" s="1557" t="e">
        <f t="shared" ref="T179:U179" si="114">T177/T178</f>
        <v>#DIV/0!</v>
      </c>
      <c r="U179" s="1557" t="e">
        <f t="shared" si="114"/>
        <v>#DIV/0!</v>
      </c>
      <c r="V179" s="1557"/>
      <c r="W179" s="1557"/>
      <c r="X179" s="1557">
        <f t="shared" si="113"/>
        <v>1</v>
      </c>
      <c r="Y179" s="1557">
        <f t="shared" ref="Y179:AA179" si="115">Y177/Y178</f>
        <v>1</v>
      </c>
      <c r="Z179" s="1557">
        <f t="shared" si="115"/>
        <v>1</v>
      </c>
      <c r="AA179" s="1557">
        <f t="shared" si="115"/>
        <v>1</v>
      </c>
      <c r="AB179" s="1557">
        <f t="shared" ref="AB179:AE179" si="116">AB177/AB178</f>
        <v>0.33333333333333331</v>
      </c>
      <c r="AC179" s="1557" t="e">
        <f t="shared" si="116"/>
        <v>#DIV/0!</v>
      </c>
      <c r="AD179" s="1557" t="e">
        <f t="shared" si="116"/>
        <v>#DIV/0!</v>
      </c>
      <c r="AE179" s="1557" t="e">
        <f t="shared" si="116"/>
        <v>#DIV/0!</v>
      </c>
    </row>
    <row r="180" spans="1:31" s="1106" customFormat="1">
      <c r="A180" s="3570"/>
      <c r="B180" s="3618" t="s">
        <v>6</v>
      </c>
      <c r="C180" s="3624">
        <f>COUNTA(A36:A40)</f>
        <v>5</v>
      </c>
      <c r="D180" s="2145">
        <f>COUNTIF(D36:D40,"&lt;=50")</f>
        <v>3</v>
      </c>
      <c r="E180" s="2145">
        <f t="shared" ref="E180:X180" si="117">COUNTIF(E36:E40,"&lt;=50")</f>
        <v>4</v>
      </c>
      <c r="F180" s="2145">
        <f t="shared" si="117"/>
        <v>0</v>
      </c>
      <c r="G180" s="2145">
        <f t="shared" si="117"/>
        <v>0</v>
      </c>
      <c r="H180" s="2145">
        <f t="shared" si="117"/>
        <v>5</v>
      </c>
      <c r="I180" s="2145">
        <f t="shared" si="117"/>
        <v>3</v>
      </c>
      <c r="J180" s="2145">
        <f t="shared" si="117"/>
        <v>0</v>
      </c>
      <c r="K180" s="2145">
        <f t="shared" si="117"/>
        <v>5</v>
      </c>
      <c r="L180" s="2145">
        <f t="shared" si="117"/>
        <v>0</v>
      </c>
      <c r="M180" s="2145">
        <f t="shared" si="117"/>
        <v>5</v>
      </c>
      <c r="N180" s="2145">
        <f t="shared" si="117"/>
        <v>5</v>
      </c>
      <c r="O180" s="2279">
        <f t="shared" si="117"/>
        <v>0</v>
      </c>
      <c r="P180" s="2245">
        <f t="shared" si="117"/>
        <v>0</v>
      </c>
      <c r="Q180" s="2145">
        <f t="shared" si="117"/>
        <v>0</v>
      </c>
      <c r="R180" s="2145">
        <f t="shared" si="117"/>
        <v>0</v>
      </c>
      <c r="S180" s="2145">
        <f t="shared" si="117"/>
        <v>5</v>
      </c>
      <c r="T180" s="3001">
        <f t="shared" ref="T180:U180" si="118">COUNTIF(T36:T40,"&lt;=50")</f>
        <v>0</v>
      </c>
      <c r="U180" s="3001">
        <f t="shared" si="118"/>
        <v>0</v>
      </c>
      <c r="V180" s="2875"/>
      <c r="W180" s="2875"/>
      <c r="X180" s="2145">
        <f t="shared" si="117"/>
        <v>5</v>
      </c>
      <c r="Y180" s="3282">
        <f t="shared" ref="Y180:AA180" si="119">COUNTIF(Y36:Y40,"&lt;=50")</f>
        <v>0</v>
      </c>
      <c r="Z180" s="3282">
        <f t="shared" si="119"/>
        <v>1</v>
      </c>
      <c r="AA180" s="3282">
        <f t="shared" si="119"/>
        <v>1</v>
      </c>
      <c r="AB180" s="3489">
        <f t="shared" ref="AB180:AE180" si="120">COUNTIF(AB36:AB40,"&lt;=50")</f>
        <v>0</v>
      </c>
      <c r="AC180" s="3489">
        <f t="shared" si="120"/>
        <v>0</v>
      </c>
      <c r="AD180" s="3489">
        <f t="shared" si="120"/>
        <v>0</v>
      </c>
      <c r="AE180" s="3489">
        <f t="shared" si="120"/>
        <v>0</v>
      </c>
    </row>
    <row r="181" spans="1:31" s="1096" customFormat="1">
      <c r="A181" s="3570"/>
      <c r="B181" s="3619"/>
      <c r="C181" s="3625"/>
      <c r="D181" s="2146">
        <f>COUNT(D36:D40)</f>
        <v>5</v>
      </c>
      <c r="E181" s="2146">
        <f t="shared" ref="E181:X181" si="121">COUNT(E36:E40)</f>
        <v>5</v>
      </c>
      <c r="F181" s="2146">
        <f t="shared" si="121"/>
        <v>5</v>
      </c>
      <c r="G181" s="2146">
        <f t="shared" si="121"/>
        <v>5</v>
      </c>
      <c r="H181" s="2146">
        <f t="shared" si="121"/>
        <v>5</v>
      </c>
      <c r="I181" s="2146">
        <f t="shared" si="121"/>
        <v>5</v>
      </c>
      <c r="J181" s="2146">
        <f t="shared" si="121"/>
        <v>5</v>
      </c>
      <c r="K181" s="2146">
        <f t="shared" si="121"/>
        <v>5</v>
      </c>
      <c r="L181" s="2146">
        <f t="shared" si="121"/>
        <v>5</v>
      </c>
      <c r="M181" s="2146">
        <f t="shared" si="121"/>
        <v>5</v>
      </c>
      <c r="N181" s="2146">
        <f t="shared" si="121"/>
        <v>5</v>
      </c>
      <c r="O181" s="2280">
        <f t="shared" si="121"/>
        <v>0</v>
      </c>
      <c r="P181" s="2246">
        <f t="shared" si="121"/>
        <v>0</v>
      </c>
      <c r="Q181" s="2146">
        <f t="shared" si="121"/>
        <v>0</v>
      </c>
      <c r="R181" s="2146">
        <f t="shared" si="121"/>
        <v>0</v>
      </c>
      <c r="S181" s="2146">
        <f t="shared" si="121"/>
        <v>5</v>
      </c>
      <c r="T181" s="3002">
        <f t="shared" ref="T181:U181" si="122">COUNT(T36:T40)</f>
        <v>0</v>
      </c>
      <c r="U181" s="3002">
        <f t="shared" si="122"/>
        <v>0</v>
      </c>
      <c r="V181" s="2876"/>
      <c r="W181" s="2876"/>
      <c r="X181" s="2146">
        <f t="shared" si="121"/>
        <v>5</v>
      </c>
      <c r="Y181" s="3283">
        <f t="shared" ref="Y181:AA181" si="123">COUNT(Y36:Y40)</f>
        <v>5</v>
      </c>
      <c r="Z181" s="3283">
        <f t="shared" si="123"/>
        <v>5</v>
      </c>
      <c r="AA181" s="3283">
        <f t="shared" si="123"/>
        <v>5</v>
      </c>
      <c r="AB181" s="3490">
        <f t="shared" ref="AB181:AE181" si="124">COUNT(AB36:AB40)</f>
        <v>5</v>
      </c>
      <c r="AC181" s="3490">
        <f t="shared" si="124"/>
        <v>0</v>
      </c>
      <c r="AD181" s="3490">
        <f t="shared" si="124"/>
        <v>0</v>
      </c>
      <c r="AE181" s="3490">
        <f t="shared" si="124"/>
        <v>0</v>
      </c>
    </row>
    <row r="182" spans="1:31" s="1096" customFormat="1">
      <c r="A182" s="3570"/>
      <c r="B182" s="3620"/>
      <c r="C182" s="3626"/>
      <c r="D182" s="1557">
        <f t="shared" ref="D182:X182" si="125">D180/D181</f>
        <v>0.6</v>
      </c>
      <c r="E182" s="1557">
        <f t="shared" si="125"/>
        <v>0.8</v>
      </c>
      <c r="F182" s="1557">
        <f t="shared" si="125"/>
        <v>0</v>
      </c>
      <c r="G182" s="1557">
        <f t="shared" si="125"/>
        <v>0</v>
      </c>
      <c r="H182" s="1557">
        <f t="shared" si="125"/>
        <v>1</v>
      </c>
      <c r="I182" s="1557">
        <f t="shared" si="125"/>
        <v>0.6</v>
      </c>
      <c r="J182" s="1557">
        <f t="shared" si="125"/>
        <v>0</v>
      </c>
      <c r="K182" s="1557">
        <f t="shared" si="125"/>
        <v>1</v>
      </c>
      <c r="L182" s="1557">
        <f t="shared" si="125"/>
        <v>0</v>
      </c>
      <c r="M182" s="1557">
        <f t="shared" si="125"/>
        <v>1</v>
      </c>
      <c r="N182" s="1557">
        <f t="shared" si="125"/>
        <v>1</v>
      </c>
      <c r="O182" s="2281" t="e">
        <f t="shared" si="125"/>
        <v>#DIV/0!</v>
      </c>
      <c r="P182" s="2247" t="e">
        <f t="shared" si="125"/>
        <v>#DIV/0!</v>
      </c>
      <c r="Q182" s="1557" t="e">
        <f t="shared" si="125"/>
        <v>#DIV/0!</v>
      </c>
      <c r="R182" s="1557" t="e">
        <f t="shared" si="125"/>
        <v>#DIV/0!</v>
      </c>
      <c r="S182" s="1557">
        <f t="shared" si="125"/>
        <v>1</v>
      </c>
      <c r="T182" s="1557" t="e">
        <f t="shared" ref="T182:U182" si="126">T180/T181</f>
        <v>#DIV/0!</v>
      </c>
      <c r="U182" s="1557" t="e">
        <f t="shared" si="126"/>
        <v>#DIV/0!</v>
      </c>
      <c r="V182" s="1557"/>
      <c r="W182" s="1557"/>
      <c r="X182" s="1557">
        <f t="shared" si="125"/>
        <v>1</v>
      </c>
      <c r="Y182" s="1557">
        <f t="shared" ref="Y182:AA182" si="127">Y180/Y181</f>
        <v>0</v>
      </c>
      <c r="Z182" s="1557">
        <f t="shared" si="127"/>
        <v>0.2</v>
      </c>
      <c r="AA182" s="1557">
        <f t="shared" si="127"/>
        <v>0.2</v>
      </c>
      <c r="AB182" s="1557">
        <f t="shared" ref="AB182:AE182" si="128">AB180/AB181</f>
        <v>0</v>
      </c>
      <c r="AC182" s="1557" t="e">
        <f t="shared" si="128"/>
        <v>#DIV/0!</v>
      </c>
      <c r="AD182" s="1557" t="e">
        <f t="shared" si="128"/>
        <v>#DIV/0!</v>
      </c>
      <c r="AE182" s="1557" t="e">
        <f t="shared" si="128"/>
        <v>#DIV/0!</v>
      </c>
    </row>
    <row r="183" spans="1:31" s="1106" customFormat="1">
      <c r="A183" s="3570"/>
      <c r="B183" s="3618" t="s">
        <v>28</v>
      </c>
      <c r="C183" s="3624">
        <f>COUNTA(A41:A43)</f>
        <v>3</v>
      </c>
      <c r="D183" s="2145">
        <f>COUNTIF(D41:D43,"&lt;=50")</f>
        <v>3</v>
      </c>
      <c r="E183" s="2145">
        <f t="shared" ref="E183:X183" si="129">COUNTIF(E41:E43,"&lt;=50")</f>
        <v>3</v>
      </c>
      <c r="F183" s="2145">
        <f t="shared" si="129"/>
        <v>3</v>
      </c>
      <c r="G183" s="2145">
        <f t="shared" si="129"/>
        <v>3</v>
      </c>
      <c r="H183" s="2145">
        <f t="shared" si="129"/>
        <v>3</v>
      </c>
      <c r="I183" s="2145">
        <f t="shared" si="129"/>
        <v>3</v>
      </c>
      <c r="J183" s="2145">
        <f t="shared" si="129"/>
        <v>1</v>
      </c>
      <c r="K183" s="2145">
        <f t="shared" si="129"/>
        <v>3</v>
      </c>
      <c r="L183" s="2145">
        <f t="shared" si="129"/>
        <v>0</v>
      </c>
      <c r="M183" s="2145">
        <f t="shared" si="129"/>
        <v>3</v>
      </c>
      <c r="N183" s="2145">
        <f t="shared" si="129"/>
        <v>1</v>
      </c>
      <c r="O183" s="2279">
        <f t="shared" si="129"/>
        <v>1</v>
      </c>
      <c r="P183" s="2245">
        <f t="shared" si="129"/>
        <v>3</v>
      </c>
      <c r="Q183" s="2145">
        <f t="shared" si="129"/>
        <v>3</v>
      </c>
      <c r="R183" s="2145">
        <f t="shared" si="129"/>
        <v>3</v>
      </c>
      <c r="S183" s="2145">
        <f t="shared" si="129"/>
        <v>3</v>
      </c>
      <c r="T183" s="3001">
        <f t="shared" ref="T183:U183" si="130">COUNTIF(T41:T43,"&lt;=50")</f>
        <v>0</v>
      </c>
      <c r="U183" s="3001">
        <f t="shared" si="130"/>
        <v>0</v>
      </c>
      <c r="V183" s="2875"/>
      <c r="W183" s="2875"/>
      <c r="X183" s="2145">
        <f t="shared" si="129"/>
        <v>3</v>
      </c>
      <c r="Y183" s="3282">
        <f t="shared" ref="Y183:AA183" si="131">COUNTIF(Y41:Y43,"&lt;=50")</f>
        <v>3</v>
      </c>
      <c r="Z183" s="3282">
        <f t="shared" si="131"/>
        <v>1</v>
      </c>
      <c r="AA183" s="3282">
        <f t="shared" si="131"/>
        <v>3</v>
      </c>
      <c r="AB183" s="3489">
        <f t="shared" ref="AB183:AE183" si="132">COUNTIF(AB41:AB43,"&lt;=50")</f>
        <v>2</v>
      </c>
      <c r="AC183" s="3489">
        <f t="shared" si="132"/>
        <v>0</v>
      </c>
      <c r="AD183" s="3489">
        <f t="shared" si="132"/>
        <v>0</v>
      </c>
      <c r="AE183" s="3489">
        <f t="shared" si="132"/>
        <v>0</v>
      </c>
    </row>
    <row r="184" spans="1:31" s="1096" customFormat="1">
      <c r="A184" s="3570"/>
      <c r="B184" s="3619"/>
      <c r="C184" s="3625"/>
      <c r="D184" s="2146">
        <f>COUNT(D41:D43)</f>
        <v>3</v>
      </c>
      <c r="E184" s="2146">
        <f t="shared" ref="E184:X184" si="133">COUNT(E41:E43)</f>
        <v>3</v>
      </c>
      <c r="F184" s="2146">
        <f t="shared" si="133"/>
        <v>3</v>
      </c>
      <c r="G184" s="2146">
        <f t="shared" si="133"/>
        <v>3</v>
      </c>
      <c r="H184" s="2146">
        <f t="shared" si="133"/>
        <v>3</v>
      </c>
      <c r="I184" s="2146">
        <f t="shared" si="133"/>
        <v>3</v>
      </c>
      <c r="J184" s="2146">
        <f t="shared" si="133"/>
        <v>3</v>
      </c>
      <c r="K184" s="2146">
        <f t="shared" si="133"/>
        <v>3</v>
      </c>
      <c r="L184" s="2146">
        <f t="shared" si="133"/>
        <v>3</v>
      </c>
      <c r="M184" s="2146">
        <f t="shared" si="133"/>
        <v>3</v>
      </c>
      <c r="N184" s="2146">
        <f t="shared" si="133"/>
        <v>3</v>
      </c>
      <c r="O184" s="2280">
        <f t="shared" si="133"/>
        <v>3</v>
      </c>
      <c r="P184" s="2246">
        <f t="shared" si="133"/>
        <v>3</v>
      </c>
      <c r="Q184" s="2146">
        <f t="shared" si="133"/>
        <v>3</v>
      </c>
      <c r="R184" s="2146">
        <f t="shared" si="133"/>
        <v>3</v>
      </c>
      <c r="S184" s="2146">
        <f t="shared" si="133"/>
        <v>3</v>
      </c>
      <c r="T184" s="3002">
        <f t="shared" ref="T184:U184" si="134">COUNT(T41:T43)</f>
        <v>0</v>
      </c>
      <c r="U184" s="3002">
        <f t="shared" si="134"/>
        <v>0</v>
      </c>
      <c r="V184" s="2876"/>
      <c r="W184" s="2876"/>
      <c r="X184" s="2146">
        <f t="shared" si="133"/>
        <v>3</v>
      </c>
      <c r="Y184" s="3283">
        <f t="shared" ref="Y184:AA184" si="135">COUNT(Y41:Y43)</f>
        <v>3</v>
      </c>
      <c r="Z184" s="3283">
        <f t="shared" si="135"/>
        <v>3</v>
      </c>
      <c r="AA184" s="3283">
        <f t="shared" si="135"/>
        <v>3</v>
      </c>
      <c r="AB184" s="3490">
        <f t="shared" ref="AB184:AE184" si="136">COUNT(AB41:AB43)</f>
        <v>3</v>
      </c>
      <c r="AC184" s="3490">
        <f t="shared" si="136"/>
        <v>0</v>
      </c>
      <c r="AD184" s="3490">
        <f t="shared" si="136"/>
        <v>0</v>
      </c>
      <c r="AE184" s="3490">
        <f t="shared" si="136"/>
        <v>0</v>
      </c>
    </row>
    <row r="185" spans="1:31" s="1096" customFormat="1">
      <c r="A185" s="3570"/>
      <c r="B185" s="3620"/>
      <c r="C185" s="3626"/>
      <c r="D185" s="1557">
        <f t="shared" ref="D185:X185" si="137">D183/D184</f>
        <v>1</v>
      </c>
      <c r="E185" s="1557">
        <f t="shared" si="137"/>
        <v>1</v>
      </c>
      <c r="F185" s="1557">
        <f t="shared" si="137"/>
        <v>1</v>
      </c>
      <c r="G185" s="1557">
        <f t="shared" si="137"/>
        <v>1</v>
      </c>
      <c r="H185" s="1557">
        <f t="shared" si="137"/>
        <v>1</v>
      </c>
      <c r="I185" s="1557">
        <f t="shared" si="137"/>
        <v>1</v>
      </c>
      <c r="J185" s="1557">
        <f t="shared" si="137"/>
        <v>0.33333333333333331</v>
      </c>
      <c r="K185" s="1557">
        <f t="shared" si="137"/>
        <v>1</v>
      </c>
      <c r="L185" s="1557">
        <f t="shared" si="137"/>
        <v>0</v>
      </c>
      <c r="M185" s="1557">
        <f t="shared" si="137"/>
        <v>1</v>
      </c>
      <c r="N185" s="1557">
        <f t="shared" si="137"/>
        <v>0.33333333333333331</v>
      </c>
      <c r="O185" s="2281">
        <f t="shared" si="137"/>
        <v>0.33333333333333331</v>
      </c>
      <c r="P185" s="2247">
        <f t="shared" si="137"/>
        <v>1</v>
      </c>
      <c r="Q185" s="1557">
        <f t="shared" si="137"/>
        <v>1</v>
      </c>
      <c r="R185" s="1557">
        <f t="shared" si="137"/>
        <v>1</v>
      </c>
      <c r="S185" s="1557">
        <f t="shared" si="137"/>
        <v>1</v>
      </c>
      <c r="T185" s="1557" t="e">
        <f t="shared" ref="T185:U185" si="138">T183/T184</f>
        <v>#DIV/0!</v>
      </c>
      <c r="U185" s="1557" t="e">
        <f t="shared" si="138"/>
        <v>#DIV/0!</v>
      </c>
      <c r="V185" s="1557"/>
      <c r="W185" s="1557"/>
      <c r="X185" s="1557">
        <f t="shared" si="137"/>
        <v>1</v>
      </c>
      <c r="Y185" s="1557">
        <f t="shared" ref="Y185:AA185" si="139">Y183/Y184</f>
        <v>1</v>
      </c>
      <c r="Z185" s="1557">
        <f t="shared" si="139"/>
        <v>0.33333333333333331</v>
      </c>
      <c r="AA185" s="1557">
        <f t="shared" si="139"/>
        <v>1</v>
      </c>
      <c r="AB185" s="1557">
        <f t="shared" ref="AB185:AE185" si="140">AB183/AB184</f>
        <v>0.66666666666666663</v>
      </c>
      <c r="AC185" s="1557" t="e">
        <f t="shared" si="140"/>
        <v>#DIV/0!</v>
      </c>
      <c r="AD185" s="1557" t="e">
        <f t="shared" si="140"/>
        <v>#DIV/0!</v>
      </c>
      <c r="AE185" s="1557" t="e">
        <f t="shared" si="140"/>
        <v>#DIV/0!</v>
      </c>
    </row>
    <row r="186" spans="1:31" s="1106" customFormat="1">
      <c r="A186" s="3570"/>
      <c r="B186" s="3618" t="s">
        <v>8</v>
      </c>
      <c r="C186" s="3624">
        <f>COUNTA(A44:A46)</f>
        <v>3</v>
      </c>
      <c r="D186" s="2145">
        <f>COUNTIF(D44:D46,"&lt;=50")</f>
        <v>0</v>
      </c>
      <c r="E186" s="2145">
        <f t="shared" ref="E186:X186" si="141">COUNTIF(E44:E46,"&lt;=50")</f>
        <v>0</v>
      </c>
      <c r="F186" s="2145">
        <f t="shared" si="141"/>
        <v>2</v>
      </c>
      <c r="G186" s="2145">
        <f t="shared" si="141"/>
        <v>3</v>
      </c>
      <c r="H186" s="2145">
        <f t="shared" si="141"/>
        <v>3</v>
      </c>
      <c r="I186" s="2145">
        <f t="shared" si="141"/>
        <v>3</v>
      </c>
      <c r="J186" s="2145">
        <f t="shared" si="141"/>
        <v>3</v>
      </c>
      <c r="K186" s="2145">
        <f t="shared" si="141"/>
        <v>3</v>
      </c>
      <c r="L186" s="2145">
        <f t="shared" si="141"/>
        <v>2</v>
      </c>
      <c r="M186" s="2145">
        <f t="shared" si="141"/>
        <v>3</v>
      </c>
      <c r="N186" s="2145">
        <f t="shared" si="141"/>
        <v>2</v>
      </c>
      <c r="O186" s="2279">
        <f t="shared" si="141"/>
        <v>3</v>
      </c>
      <c r="P186" s="2245">
        <f t="shared" si="141"/>
        <v>3</v>
      </c>
      <c r="Q186" s="2145">
        <f t="shared" si="141"/>
        <v>3</v>
      </c>
      <c r="R186" s="2145">
        <f t="shared" si="141"/>
        <v>3</v>
      </c>
      <c r="S186" s="2145">
        <f t="shared" si="141"/>
        <v>3</v>
      </c>
      <c r="T186" s="3001">
        <f t="shared" ref="T186:U186" si="142">COUNTIF(T44:T46,"&lt;=50")</f>
        <v>0</v>
      </c>
      <c r="U186" s="3001">
        <f t="shared" si="142"/>
        <v>0</v>
      </c>
      <c r="V186" s="2875"/>
      <c r="W186" s="2875"/>
      <c r="X186" s="2145">
        <f t="shared" si="141"/>
        <v>3</v>
      </c>
      <c r="Y186" s="3282">
        <f t="shared" ref="Y186:AA186" si="143">COUNTIF(Y44:Y46,"&lt;=50")</f>
        <v>2</v>
      </c>
      <c r="Z186" s="3282">
        <f t="shared" si="143"/>
        <v>3</v>
      </c>
      <c r="AA186" s="3282">
        <f t="shared" si="143"/>
        <v>3</v>
      </c>
      <c r="AB186" s="3489">
        <f t="shared" ref="AB186:AE186" si="144">COUNTIF(AB44:AB46,"&lt;=50")</f>
        <v>3</v>
      </c>
      <c r="AC186" s="3489">
        <f t="shared" si="144"/>
        <v>0</v>
      </c>
      <c r="AD186" s="3489">
        <f t="shared" si="144"/>
        <v>0</v>
      </c>
      <c r="AE186" s="3489">
        <f t="shared" si="144"/>
        <v>0</v>
      </c>
    </row>
    <row r="187" spans="1:31" s="1096" customFormat="1">
      <c r="A187" s="3570"/>
      <c r="B187" s="3619"/>
      <c r="C187" s="3625"/>
      <c r="D187" s="2146">
        <f>COUNT(D44:D46)</f>
        <v>0</v>
      </c>
      <c r="E187" s="2146">
        <f t="shared" ref="E187:X187" si="145">COUNT(E44:E46)</f>
        <v>0</v>
      </c>
      <c r="F187" s="2146">
        <f t="shared" si="145"/>
        <v>3</v>
      </c>
      <c r="G187" s="2146">
        <f t="shared" si="145"/>
        <v>3</v>
      </c>
      <c r="H187" s="2146">
        <f t="shared" si="145"/>
        <v>3</v>
      </c>
      <c r="I187" s="2146">
        <f t="shared" si="145"/>
        <v>3</v>
      </c>
      <c r="J187" s="2146">
        <f t="shared" si="145"/>
        <v>3</v>
      </c>
      <c r="K187" s="2146">
        <f t="shared" si="145"/>
        <v>3</v>
      </c>
      <c r="L187" s="2146">
        <f t="shared" si="145"/>
        <v>3</v>
      </c>
      <c r="M187" s="2146">
        <f t="shared" si="145"/>
        <v>3</v>
      </c>
      <c r="N187" s="2146">
        <f t="shared" si="145"/>
        <v>3</v>
      </c>
      <c r="O187" s="2280">
        <f t="shared" si="145"/>
        <v>3</v>
      </c>
      <c r="P187" s="2246">
        <f t="shared" si="145"/>
        <v>3</v>
      </c>
      <c r="Q187" s="2146">
        <f t="shared" si="145"/>
        <v>3</v>
      </c>
      <c r="R187" s="2146">
        <f t="shared" si="145"/>
        <v>3</v>
      </c>
      <c r="S187" s="2146">
        <f t="shared" si="145"/>
        <v>3</v>
      </c>
      <c r="T187" s="3002">
        <f t="shared" ref="T187:U187" si="146">COUNT(T44:T46)</f>
        <v>0</v>
      </c>
      <c r="U187" s="3002">
        <f t="shared" si="146"/>
        <v>0</v>
      </c>
      <c r="V187" s="2876"/>
      <c r="W187" s="2876"/>
      <c r="X187" s="2146">
        <f t="shared" si="145"/>
        <v>3</v>
      </c>
      <c r="Y187" s="3283">
        <f t="shared" ref="Y187:AA187" si="147">COUNT(Y44:Y46)</f>
        <v>3</v>
      </c>
      <c r="Z187" s="3283">
        <f t="shared" si="147"/>
        <v>3</v>
      </c>
      <c r="AA187" s="3283">
        <f t="shared" si="147"/>
        <v>3</v>
      </c>
      <c r="AB187" s="3490">
        <f t="shared" ref="AB187:AE187" si="148">COUNT(AB44:AB46)</f>
        <v>3</v>
      </c>
      <c r="AC187" s="3490">
        <f t="shared" si="148"/>
        <v>0</v>
      </c>
      <c r="AD187" s="3490">
        <f t="shared" si="148"/>
        <v>0</v>
      </c>
      <c r="AE187" s="3490">
        <f t="shared" si="148"/>
        <v>0</v>
      </c>
    </row>
    <row r="188" spans="1:31" s="1096" customFormat="1">
      <c r="A188" s="3571"/>
      <c r="B188" s="3620"/>
      <c r="C188" s="3626"/>
      <c r="D188" s="1557" t="e">
        <f t="shared" ref="D188:X188" si="149">D186/D187</f>
        <v>#DIV/0!</v>
      </c>
      <c r="E188" s="1557" t="e">
        <f t="shared" si="149"/>
        <v>#DIV/0!</v>
      </c>
      <c r="F188" s="1557">
        <f t="shared" si="149"/>
        <v>0.66666666666666663</v>
      </c>
      <c r="G188" s="1557">
        <f t="shared" si="149"/>
        <v>1</v>
      </c>
      <c r="H188" s="1557">
        <f t="shared" si="149"/>
        <v>1</v>
      </c>
      <c r="I188" s="1557">
        <f t="shared" si="149"/>
        <v>1</v>
      </c>
      <c r="J188" s="1557">
        <f t="shared" si="149"/>
        <v>1</v>
      </c>
      <c r="K188" s="1557">
        <f t="shared" si="149"/>
        <v>1</v>
      </c>
      <c r="L188" s="1557">
        <f t="shared" si="149"/>
        <v>0.66666666666666663</v>
      </c>
      <c r="M188" s="1557">
        <f t="shared" si="149"/>
        <v>1</v>
      </c>
      <c r="N188" s="1557">
        <f t="shared" si="149"/>
        <v>0.66666666666666663</v>
      </c>
      <c r="O188" s="2281">
        <f t="shared" si="149"/>
        <v>1</v>
      </c>
      <c r="P188" s="2247">
        <f t="shared" si="149"/>
        <v>1</v>
      </c>
      <c r="Q188" s="1557">
        <f t="shared" si="149"/>
        <v>1</v>
      </c>
      <c r="R188" s="1557">
        <f t="shared" si="149"/>
        <v>1</v>
      </c>
      <c r="S188" s="1557">
        <f t="shared" si="149"/>
        <v>1</v>
      </c>
      <c r="T188" s="1557" t="e">
        <f t="shared" ref="T188:U188" si="150">T186/T187</f>
        <v>#DIV/0!</v>
      </c>
      <c r="U188" s="1557" t="e">
        <f t="shared" si="150"/>
        <v>#DIV/0!</v>
      </c>
      <c r="V188" s="1557"/>
      <c r="W188" s="1557"/>
      <c r="X188" s="1557">
        <f t="shared" si="149"/>
        <v>1</v>
      </c>
      <c r="Y188" s="1557">
        <f t="shared" ref="Y188:AA188" si="151">Y186/Y187</f>
        <v>0.66666666666666663</v>
      </c>
      <c r="Z188" s="1557">
        <f t="shared" si="151"/>
        <v>1</v>
      </c>
      <c r="AA188" s="1557">
        <f t="shared" si="151"/>
        <v>1</v>
      </c>
      <c r="AB188" s="1557">
        <f t="shared" ref="AB188:AE188" si="152">AB186/AB187</f>
        <v>1</v>
      </c>
      <c r="AC188" s="1557" t="e">
        <f t="shared" si="152"/>
        <v>#DIV/0!</v>
      </c>
      <c r="AD188" s="1557" t="e">
        <f t="shared" si="152"/>
        <v>#DIV/0!</v>
      </c>
      <c r="AE188" s="1557" t="e">
        <f t="shared" si="152"/>
        <v>#DIV/0!</v>
      </c>
    </row>
    <row r="189" spans="1:31" s="1106" customFormat="1">
      <c r="A189" s="3569" t="s">
        <v>126</v>
      </c>
      <c r="B189" s="3621" t="s">
        <v>42</v>
      </c>
      <c r="C189" s="3624">
        <f>COUNTA(A69:A75)</f>
        <v>7</v>
      </c>
      <c r="D189" s="2145">
        <f>COUNTIF(D69:D75,"&lt;=50")</f>
        <v>6</v>
      </c>
      <c r="E189" s="2145">
        <f t="shared" ref="E189:X189" si="153">COUNTIF(E69:E75,"&lt;=50")</f>
        <v>7</v>
      </c>
      <c r="F189" s="2145">
        <f t="shared" si="153"/>
        <v>7</v>
      </c>
      <c r="G189" s="2145">
        <f t="shared" si="153"/>
        <v>7</v>
      </c>
      <c r="H189" s="2145">
        <f t="shared" si="153"/>
        <v>7</v>
      </c>
      <c r="I189" s="2145">
        <f t="shared" si="153"/>
        <v>6</v>
      </c>
      <c r="J189" s="2145">
        <f t="shared" si="153"/>
        <v>7</v>
      </c>
      <c r="K189" s="2145">
        <f t="shared" si="153"/>
        <v>7</v>
      </c>
      <c r="L189" s="2145">
        <f t="shared" si="153"/>
        <v>5</v>
      </c>
      <c r="M189" s="2145">
        <f t="shared" si="153"/>
        <v>6</v>
      </c>
      <c r="N189" s="2145">
        <f t="shared" si="153"/>
        <v>7</v>
      </c>
      <c r="O189" s="2279">
        <f t="shared" si="153"/>
        <v>0</v>
      </c>
      <c r="P189" s="2245">
        <f t="shared" si="153"/>
        <v>4</v>
      </c>
      <c r="Q189" s="2145">
        <f t="shared" si="153"/>
        <v>5</v>
      </c>
      <c r="R189" s="2145">
        <f t="shared" si="153"/>
        <v>6</v>
      </c>
      <c r="S189" s="2145">
        <f t="shared" si="153"/>
        <v>3</v>
      </c>
      <c r="T189" s="3001">
        <f t="shared" ref="T189:U189" si="154">COUNTIF(T69:T75,"&lt;=50")</f>
        <v>4</v>
      </c>
      <c r="U189" s="3001">
        <f t="shared" si="154"/>
        <v>4</v>
      </c>
      <c r="V189" s="2875"/>
      <c r="W189" s="2875"/>
      <c r="X189" s="2145">
        <f t="shared" si="153"/>
        <v>7</v>
      </c>
      <c r="Y189" s="3282">
        <f t="shared" ref="Y189:AA189" si="155">COUNTIF(Y69:Y75,"&lt;=50")</f>
        <v>7</v>
      </c>
      <c r="Z189" s="3282">
        <f t="shared" si="155"/>
        <v>7</v>
      </c>
      <c r="AA189" s="3282">
        <f t="shared" si="155"/>
        <v>5</v>
      </c>
      <c r="AB189" s="3489">
        <f t="shared" ref="AB189:AE189" si="156">COUNTIF(AB69:AB75,"&lt;=50")</f>
        <v>6</v>
      </c>
      <c r="AC189" s="3489">
        <f t="shared" si="156"/>
        <v>0</v>
      </c>
      <c r="AD189" s="3489">
        <f t="shared" si="156"/>
        <v>0</v>
      </c>
      <c r="AE189" s="3489">
        <f t="shared" si="156"/>
        <v>0</v>
      </c>
    </row>
    <row r="190" spans="1:31" s="1096" customFormat="1">
      <c r="A190" s="3570"/>
      <c r="B190" s="3622"/>
      <c r="C190" s="3625"/>
      <c r="D190" s="2146">
        <f>COUNT(D69:D75)</f>
        <v>6</v>
      </c>
      <c r="E190" s="2146">
        <f t="shared" ref="E190:X190" si="157">COUNT(E69:E75)</f>
        <v>7</v>
      </c>
      <c r="F190" s="2146">
        <f t="shared" si="157"/>
        <v>7</v>
      </c>
      <c r="G190" s="2146">
        <f t="shared" si="157"/>
        <v>7</v>
      </c>
      <c r="H190" s="2146">
        <f t="shared" si="157"/>
        <v>7</v>
      </c>
      <c r="I190" s="2146">
        <f t="shared" si="157"/>
        <v>7</v>
      </c>
      <c r="J190" s="2146">
        <f t="shared" si="157"/>
        <v>7</v>
      </c>
      <c r="K190" s="2146">
        <f t="shared" si="157"/>
        <v>7</v>
      </c>
      <c r="L190" s="2146">
        <f t="shared" si="157"/>
        <v>6</v>
      </c>
      <c r="M190" s="2146">
        <f t="shared" si="157"/>
        <v>7</v>
      </c>
      <c r="N190" s="2146">
        <f t="shared" si="157"/>
        <v>7</v>
      </c>
      <c r="O190" s="2280">
        <f t="shared" si="157"/>
        <v>0</v>
      </c>
      <c r="P190" s="2246">
        <f t="shared" si="157"/>
        <v>7</v>
      </c>
      <c r="Q190" s="2146">
        <f t="shared" si="157"/>
        <v>6</v>
      </c>
      <c r="R190" s="2146">
        <f t="shared" si="157"/>
        <v>7</v>
      </c>
      <c r="S190" s="2146">
        <f t="shared" si="157"/>
        <v>7</v>
      </c>
      <c r="T190" s="3002">
        <f t="shared" ref="T190:U190" si="158">COUNT(T69:T75)</f>
        <v>7</v>
      </c>
      <c r="U190" s="3002">
        <f t="shared" si="158"/>
        <v>6</v>
      </c>
      <c r="V190" s="2876"/>
      <c r="W190" s="2876"/>
      <c r="X190" s="2146">
        <f t="shared" si="157"/>
        <v>7</v>
      </c>
      <c r="Y190" s="3283">
        <f t="shared" ref="Y190:AA190" si="159">COUNT(Y69:Y75)</f>
        <v>7</v>
      </c>
      <c r="Z190" s="3283">
        <f t="shared" si="159"/>
        <v>7</v>
      </c>
      <c r="AA190" s="3283">
        <f t="shared" si="159"/>
        <v>7</v>
      </c>
      <c r="AB190" s="3490">
        <f t="shared" ref="AB190:AE190" si="160">COUNT(AB69:AB75)</f>
        <v>7</v>
      </c>
      <c r="AC190" s="3490">
        <f t="shared" si="160"/>
        <v>0</v>
      </c>
      <c r="AD190" s="3490">
        <f t="shared" si="160"/>
        <v>0</v>
      </c>
      <c r="AE190" s="3490">
        <f t="shared" si="160"/>
        <v>0</v>
      </c>
    </row>
    <row r="191" spans="1:31" s="1096" customFormat="1">
      <c r="A191" s="3570"/>
      <c r="B191" s="3623"/>
      <c r="C191" s="3626"/>
      <c r="D191" s="1557">
        <f t="shared" ref="D191:X191" si="161">D189/D190</f>
        <v>1</v>
      </c>
      <c r="E191" s="1557">
        <f t="shared" si="161"/>
        <v>1</v>
      </c>
      <c r="F191" s="1557">
        <f t="shared" si="161"/>
        <v>1</v>
      </c>
      <c r="G191" s="1557">
        <f t="shared" si="161"/>
        <v>1</v>
      </c>
      <c r="H191" s="1557">
        <f t="shared" si="161"/>
        <v>1</v>
      </c>
      <c r="I191" s="1557">
        <f t="shared" si="161"/>
        <v>0.8571428571428571</v>
      </c>
      <c r="J191" s="1557">
        <f t="shared" si="161"/>
        <v>1</v>
      </c>
      <c r="K191" s="1557">
        <f t="shared" si="161"/>
        <v>1</v>
      </c>
      <c r="L191" s="1557">
        <f t="shared" si="161"/>
        <v>0.83333333333333337</v>
      </c>
      <c r="M191" s="1557">
        <f t="shared" si="161"/>
        <v>0.8571428571428571</v>
      </c>
      <c r="N191" s="1557">
        <f t="shared" si="161"/>
        <v>1</v>
      </c>
      <c r="O191" s="2281" t="e">
        <f t="shared" si="161"/>
        <v>#DIV/0!</v>
      </c>
      <c r="P191" s="2247">
        <f t="shared" si="161"/>
        <v>0.5714285714285714</v>
      </c>
      <c r="Q191" s="1557">
        <f t="shared" si="161"/>
        <v>0.83333333333333337</v>
      </c>
      <c r="R191" s="1557">
        <f t="shared" si="161"/>
        <v>0.8571428571428571</v>
      </c>
      <c r="S191" s="1557">
        <f t="shared" si="161"/>
        <v>0.42857142857142855</v>
      </c>
      <c r="T191" s="1557">
        <f t="shared" ref="T191:U191" si="162">T189/T190</f>
        <v>0.5714285714285714</v>
      </c>
      <c r="U191" s="1557">
        <f t="shared" si="162"/>
        <v>0.66666666666666663</v>
      </c>
      <c r="V191" s="1557"/>
      <c r="W191" s="1557"/>
      <c r="X191" s="1557">
        <f t="shared" si="161"/>
        <v>1</v>
      </c>
      <c r="Y191" s="1557">
        <f t="shared" ref="Y191:AA191" si="163">Y189/Y190</f>
        <v>1</v>
      </c>
      <c r="Z191" s="1557">
        <f t="shared" si="163"/>
        <v>1</v>
      </c>
      <c r="AA191" s="1557">
        <f t="shared" si="163"/>
        <v>0.7142857142857143</v>
      </c>
      <c r="AB191" s="1557">
        <f t="shared" ref="AB191:AE191" si="164">AB189/AB190</f>
        <v>0.8571428571428571</v>
      </c>
      <c r="AC191" s="1557" t="e">
        <f t="shared" si="164"/>
        <v>#DIV/0!</v>
      </c>
      <c r="AD191" s="1557" t="e">
        <f t="shared" si="164"/>
        <v>#DIV/0!</v>
      </c>
      <c r="AE191" s="1557" t="e">
        <f t="shared" si="164"/>
        <v>#DIV/0!</v>
      </c>
    </row>
    <row r="192" spans="1:31" s="1106" customFormat="1">
      <c r="A192" s="3570"/>
      <c r="B192" s="3618" t="s">
        <v>49</v>
      </c>
      <c r="C192" s="3624">
        <f>COUNTA(A76:A84)</f>
        <v>9</v>
      </c>
      <c r="D192" s="2145">
        <f>COUNTIF(D76:D84,"&lt;=50")</f>
        <v>9</v>
      </c>
      <c r="E192" s="2145">
        <f t="shared" ref="E192:X192" si="165">COUNTIF(E76:E84,"&lt;=50")</f>
        <v>9</v>
      </c>
      <c r="F192" s="2145">
        <f t="shared" si="165"/>
        <v>9</v>
      </c>
      <c r="G192" s="2145">
        <f t="shared" si="165"/>
        <v>9</v>
      </c>
      <c r="H192" s="2145">
        <f t="shared" si="165"/>
        <v>9</v>
      </c>
      <c r="I192" s="2145">
        <f t="shared" si="165"/>
        <v>9</v>
      </c>
      <c r="J192" s="2145">
        <f t="shared" si="165"/>
        <v>9</v>
      </c>
      <c r="K192" s="2145">
        <f t="shared" si="165"/>
        <v>9</v>
      </c>
      <c r="L192" s="2145">
        <f t="shared" si="165"/>
        <v>9</v>
      </c>
      <c r="M192" s="2145">
        <f t="shared" si="165"/>
        <v>8</v>
      </c>
      <c r="N192" s="2145">
        <f t="shared" si="165"/>
        <v>9</v>
      </c>
      <c r="O192" s="2279">
        <f t="shared" si="165"/>
        <v>0</v>
      </c>
      <c r="P192" s="2245">
        <f t="shared" si="165"/>
        <v>8</v>
      </c>
      <c r="Q192" s="2145">
        <f t="shared" si="165"/>
        <v>9</v>
      </c>
      <c r="R192" s="2145">
        <f t="shared" si="165"/>
        <v>9</v>
      </c>
      <c r="S192" s="2145">
        <f t="shared" si="165"/>
        <v>9</v>
      </c>
      <c r="T192" s="3001">
        <f t="shared" ref="T192:U192" si="166">COUNTIF(T76:T84,"&lt;=50")</f>
        <v>8</v>
      </c>
      <c r="U192" s="3001">
        <f t="shared" si="166"/>
        <v>9</v>
      </c>
      <c r="V192" s="2875"/>
      <c r="W192" s="2875"/>
      <c r="X192" s="2145">
        <f t="shared" si="165"/>
        <v>9</v>
      </c>
      <c r="Y192" s="3282">
        <f t="shared" ref="Y192:AA192" si="167">COUNTIF(Y76:Y84,"&lt;=50")</f>
        <v>9</v>
      </c>
      <c r="Z192" s="3282">
        <f t="shared" si="167"/>
        <v>9</v>
      </c>
      <c r="AA192" s="3282">
        <f t="shared" si="167"/>
        <v>8</v>
      </c>
      <c r="AB192" s="3489">
        <f t="shared" ref="AB192:AE192" si="168">COUNTIF(AB76:AB84,"&lt;=50")</f>
        <v>9</v>
      </c>
      <c r="AC192" s="3489">
        <f t="shared" si="168"/>
        <v>0</v>
      </c>
      <c r="AD192" s="3489">
        <f t="shared" si="168"/>
        <v>0</v>
      </c>
      <c r="AE192" s="3489">
        <f t="shared" si="168"/>
        <v>0</v>
      </c>
    </row>
    <row r="193" spans="1:127" s="1096" customFormat="1">
      <c r="A193" s="3570"/>
      <c r="B193" s="3619"/>
      <c r="C193" s="3625"/>
      <c r="D193" s="2146">
        <f>COUNT(D76:D84)</f>
        <v>9</v>
      </c>
      <c r="E193" s="2146">
        <f t="shared" ref="E193:X193" si="169">COUNT(E76:E84)</f>
        <v>9</v>
      </c>
      <c r="F193" s="2146">
        <f t="shared" si="169"/>
        <v>9</v>
      </c>
      <c r="G193" s="2146">
        <f t="shared" si="169"/>
        <v>9</v>
      </c>
      <c r="H193" s="2146">
        <f t="shared" si="169"/>
        <v>9</v>
      </c>
      <c r="I193" s="2146">
        <f t="shared" si="169"/>
        <v>9</v>
      </c>
      <c r="J193" s="2146">
        <f t="shared" si="169"/>
        <v>9</v>
      </c>
      <c r="K193" s="2146">
        <f t="shared" si="169"/>
        <v>9</v>
      </c>
      <c r="L193" s="2146">
        <f t="shared" si="169"/>
        <v>9</v>
      </c>
      <c r="M193" s="2146">
        <f t="shared" si="169"/>
        <v>9</v>
      </c>
      <c r="N193" s="2146">
        <f t="shared" si="169"/>
        <v>9</v>
      </c>
      <c r="O193" s="2280">
        <f t="shared" si="169"/>
        <v>0</v>
      </c>
      <c r="P193" s="2246">
        <f t="shared" si="169"/>
        <v>9</v>
      </c>
      <c r="Q193" s="2146">
        <f t="shared" si="169"/>
        <v>9</v>
      </c>
      <c r="R193" s="2146">
        <f t="shared" si="169"/>
        <v>9</v>
      </c>
      <c r="S193" s="2146">
        <f t="shared" si="169"/>
        <v>9</v>
      </c>
      <c r="T193" s="3002">
        <f t="shared" ref="T193:U193" si="170">COUNT(T76:T84)</f>
        <v>9</v>
      </c>
      <c r="U193" s="3002">
        <f t="shared" si="170"/>
        <v>9</v>
      </c>
      <c r="V193" s="2876"/>
      <c r="W193" s="2876"/>
      <c r="X193" s="2146">
        <f t="shared" si="169"/>
        <v>9</v>
      </c>
      <c r="Y193" s="3283">
        <f t="shared" ref="Y193:AA193" si="171">COUNT(Y76:Y84)</f>
        <v>9</v>
      </c>
      <c r="Z193" s="3283">
        <f t="shared" si="171"/>
        <v>9</v>
      </c>
      <c r="AA193" s="3283">
        <f t="shared" si="171"/>
        <v>9</v>
      </c>
      <c r="AB193" s="3490">
        <f t="shared" ref="AB193:AE193" si="172">COUNT(AB76:AB84)</f>
        <v>9</v>
      </c>
      <c r="AC193" s="3490">
        <f t="shared" si="172"/>
        <v>0</v>
      </c>
      <c r="AD193" s="3490">
        <f t="shared" si="172"/>
        <v>0</v>
      </c>
      <c r="AE193" s="3490">
        <f t="shared" si="172"/>
        <v>0</v>
      </c>
    </row>
    <row r="194" spans="1:127" s="1096" customFormat="1">
      <c r="A194" s="3570"/>
      <c r="B194" s="3620"/>
      <c r="C194" s="3626"/>
      <c r="D194" s="1557">
        <f t="shared" ref="D194:X194" si="173">D192/D193</f>
        <v>1</v>
      </c>
      <c r="E194" s="1557">
        <f t="shared" si="173"/>
        <v>1</v>
      </c>
      <c r="F194" s="1557">
        <f t="shared" si="173"/>
        <v>1</v>
      </c>
      <c r="G194" s="1557">
        <f t="shared" si="173"/>
        <v>1</v>
      </c>
      <c r="H194" s="1557">
        <f t="shared" si="173"/>
        <v>1</v>
      </c>
      <c r="I194" s="1557">
        <f t="shared" si="173"/>
        <v>1</v>
      </c>
      <c r="J194" s="1557">
        <f t="shared" si="173"/>
        <v>1</v>
      </c>
      <c r="K194" s="1557">
        <f t="shared" si="173"/>
        <v>1</v>
      </c>
      <c r="L194" s="1557">
        <f t="shared" si="173"/>
        <v>1</v>
      </c>
      <c r="M194" s="1557">
        <f t="shared" si="173"/>
        <v>0.88888888888888884</v>
      </c>
      <c r="N194" s="1557">
        <f t="shared" si="173"/>
        <v>1</v>
      </c>
      <c r="O194" s="2281" t="e">
        <f t="shared" si="173"/>
        <v>#DIV/0!</v>
      </c>
      <c r="P194" s="2247">
        <f t="shared" si="173"/>
        <v>0.88888888888888884</v>
      </c>
      <c r="Q194" s="1557">
        <f t="shared" si="173"/>
        <v>1</v>
      </c>
      <c r="R194" s="1557">
        <f t="shared" si="173"/>
        <v>1</v>
      </c>
      <c r="S194" s="1557">
        <f t="shared" si="173"/>
        <v>1</v>
      </c>
      <c r="T194" s="1557">
        <f t="shared" ref="T194:U194" si="174">T192/T193</f>
        <v>0.88888888888888884</v>
      </c>
      <c r="U194" s="1557">
        <f t="shared" si="174"/>
        <v>1</v>
      </c>
      <c r="V194" s="1557"/>
      <c r="W194" s="1557"/>
      <c r="X194" s="1557">
        <f t="shared" si="173"/>
        <v>1</v>
      </c>
      <c r="Y194" s="1557">
        <f t="shared" ref="Y194:AA194" si="175">Y192/Y193</f>
        <v>1</v>
      </c>
      <c r="Z194" s="1557">
        <f t="shared" si="175"/>
        <v>1</v>
      </c>
      <c r="AA194" s="1557">
        <f t="shared" si="175"/>
        <v>0.88888888888888884</v>
      </c>
      <c r="AB194" s="1557">
        <f t="shared" ref="AB194:AE194" si="176">AB192/AB193</f>
        <v>1</v>
      </c>
      <c r="AC194" s="1557" t="e">
        <f t="shared" si="176"/>
        <v>#DIV/0!</v>
      </c>
      <c r="AD194" s="1557" t="e">
        <f t="shared" si="176"/>
        <v>#DIV/0!</v>
      </c>
      <c r="AE194" s="1557" t="e">
        <f t="shared" si="176"/>
        <v>#DIV/0!</v>
      </c>
    </row>
    <row r="195" spans="1:127" s="1106" customFormat="1">
      <c r="A195" s="3570"/>
      <c r="B195" s="3621" t="s">
        <v>40</v>
      </c>
      <c r="C195" s="3624">
        <f>COUNTA(A85:A94)</f>
        <v>10</v>
      </c>
      <c r="D195" s="2145">
        <f>COUNTIF(D85:D94,"&lt;=50")</f>
        <v>10</v>
      </c>
      <c r="E195" s="2145">
        <f t="shared" ref="E195:X195" si="177">COUNTIF(E85:E94,"&lt;=50")</f>
        <v>10</v>
      </c>
      <c r="F195" s="2145">
        <f t="shared" si="177"/>
        <v>10</v>
      </c>
      <c r="G195" s="2145">
        <f t="shared" si="177"/>
        <v>10</v>
      </c>
      <c r="H195" s="2145">
        <f t="shared" si="177"/>
        <v>10</v>
      </c>
      <c r="I195" s="2145">
        <f t="shared" si="177"/>
        <v>7</v>
      </c>
      <c r="J195" s="2145">
        <f t="shared" si="177"/>
        <v>10</v>
      </c>
      <c r="K195" s="2145">
        <f t="shared" si="177"/>
        <v>10</v>
      </c>
      <c r="L195" s="2145">
        <f t="shared" si="177"/>
        <v>9</v>
      </c>
      <c r="M195" s="2145">
        <f t="shared" si="177"/>
        <v>9</v>
      </c>
      <c r="N195" s="2145">
        <f t="shared" si="177"/>
        <v>7</v>
      </c>
      <c r="O195" s="2279">
        <f t="shared" si="177"/>
        <v>0</v>
      </c>
      <c r="P195" s="2245">
        <f t="shared" si="177"/>
        <v>2</v>
      </c>
      <c r="Q195" s="2145">
        <f t="shared" si="177"/>
        <v>5</v>
      </c>
      <c r="R195" s="2145">
        <f t="shared" si="177"/>
        <v>8</v>
      </c>
      <c r="S195" s="2145">
        <f t="shared" si="177"/>
        <v>5</v>
      </c>
      <c r="T195" s="3001">
        <f t="shared" ref="T195:U195" si="178">COUNTIF(T85:T94,"&lt;=50")</f>
        <v>6</v>
      </c>
      <c r="U195" s="3001">
        <f t="shared" si="178"/>
        <v>5</v>
      </c>
      <c r="V195" s="2875"/>
      <c r="W195" s="2875"/>
      <c r="X195" s="2145">
        <f t="shared" si="177"/>
        <v>8</v>
      </c>
      <c r="Y195" s="3282">
        <f t="shared" ref="Y195:AA195" si="179">COUNTIF(Y85:Y94,"&lt;=50")</f>
        <v>6</v>
      </c>
      <c r="Z195" s="3282">
        <f t="shared" si="179"/>
        <v>9</v>
      </c>
      <c r="AA195" s="3282">
        <f t="shared" si="179"/>
        <v>0</v>
      </c>
      <c r="AB195" s="3489">
        <f t="shared" ref="AB195:AE195" si="180">COUNTIF(AB85:AB94,"&lt;=50")</f>
        <v>10</v>
      </c>
      <c r="AC195" s="3489">
        <f t="shared" si="180"/>
        <v>0</v>
      </c>
      <c r="AD195" s="3489">
        <f t="shared" si="180"/>
        <v>0</v>
      </c>
      <c r="AE195" s="3489">
        <f t="shared" si="180"/>
        <v>0</v>
      </c>
    </row>
    <row r="196" spans="1:127" s="4" customFormat="1">
      <c r="A196" s="3570"/>
      <c r="B196" s="3622"/>
      <c r="C196" s="3625"/>
      <c r="D196" s="2146">
        <f>COUNT(D85:D94)</f>
        <v>10</v>
      </c>
      <c r="E196" s="2146">
        <f t="shared" ref="E196:X196" si="181">COUNT(E85:E94)</f>
        <v>10</v>
      </c>
      <c r="F196" s="2146">
        <f t="shared" si="181"/>
        <v>10</v>
      </c>
      <c r="G196" s="2146">
        <f t="shared" si="181"/>
        <v>10</v>
      </c>
      <c r="H196" s="2146">
        <f t="shared" si="181"/>
        <v>10</v>
      </c>
      <c r="I196" s="2146">
        <f t="shared" si="181"/>
        <v>10</v>
      </c>
      <c r="J196" s="2146">
        <f t="shared" si="181"/>
        <v>10</v>
      </c>
      <c r="K196" s="2146">
        <f t="shared" si="181"/>
        <v>10</v>
      </c>
      <c r="L196" s="2146">
        <f t="shared" si="181"/>
        <v>10</v>
      </c>
      <c r="M196" s="2146">
        <f t="shared" si="181"/>
        <v>10</v>
      </c>
      <c r="N196" s="2146">
        <f t="shared" si="181"/>
        <v>10</v>
      </c>
      <c r="O196" s="2280">
        <f t="shared" si="181"/>
        <v>0</v>
      </c>
      <c r="P196" s="2246">
        <f t="shared" si="181"/>
        <v>10</v>
      </c>
      <c r="Q196" s="2146">
        <f t="shared" si="181"/>
        <v>10</v>
      </c>
      <c r="R196" s="2146">
        <f t="shared" si="181"/>
        <v>10</v>
      </c>
      <c r="S196" s="2146">
        <f t="shared" si="181"/>
        <v>10</v>
      </c>
      <c r="T196" s="3002">
        <f t="shared" ref="T196:U196" si="182">COUNT(T85:T94)</f>
        <v>10</v>
      </c>
      <c r="U196" s="3002">
        <f t="shared" si="182"/>
        <v>10</v>
      </c>
      <c r="V196" s="2876"/>
      <c r="W196" s="2876"/>
      <c r="X196" s="2146">
        <f t="shared" si="181"/>
        <v>10</v>
      </c>
      <c r="Y196" s="3283">
        <f t="shared" ref="Y196:AA196" si="183">COUNT(Y85:Y94)</f>
        <v>10</v>
      </c>
      <c r="Z196" s="3283">
        <f t="shared" si="183"/>
        <v>10</v>
      </c>
      <c r="AA196" s="3283">
        <f t="shared" si="183"/>
        <v>0</v>
      </c>
      <c r="AB196" s="3490">
        <f t="shared" ref="AB196:AE196" si="184">COUNT(AB85:AB94)</f>
        <v>10</v>
      </c>
      <c r="AC196" s="3490">
        <f t="shared" si="184"/>
        <v>0</v>
      </c>
      <c r="AD196" s="3490">
        <f t="shared" si="184"/>
        <v>0</v>
      </c>
      <c r="AE196" s="3490">
        <f t="shared" si="184"/>
        <v>0</v>
      </c>
    </row>
    <row r="197" spans="1:127">
      <c r="A197" s="3571"/>
      <c r="B197" s="3623"/>
      <c r="C197" s="3626"/>
      <c r="D197" s="1557">
        <f t="shared" ref="D197:X197" si="185">D195/D196</f>
        <v>1</v>
      </c>
      <c r="E197" s="1557">
        <f t="shared" si="185"/>
        <v>1</v>
      </c>
      <c r="F197" s="1557">
        <f t="shared" si="185"/>
        <v>1</v>
      </c>
      <c r="G197" s="1557">
        <f t="shared" si="185"/>
        <v>1</v>
      </c>
      <c r="H197" s="1557">
        <f t="shared" si="185"/>
        <v>1</v>
      </c>
      <c r="I197" s="1557">
        <f t="shared" si="185"/>
        <v>0.7</v>
      </c>
      <c r="J197" s="1557">
        <f t="shared" si="185"/>
        <v>1</v>
      </c>
      <c r="K197" s="1557">
        <f t="shared" si="185"/>
        <v>1</v>
      </c>
      <c r="L197" s="1557">
        <f t="shared" si="185"/>
        <v>0.9</v>
      </c>
      <c r="M197" s="1557">
        <f t="shared" si="185"/>
        <v>0.9</v>
      </c>
      <c r="N197" s="1557">
        <f t="shared" si="185"/>
        <v>0.7</v>
      </c>
      <c r="O197" s="2281" t="e">
        <f t="shared" si="185"/>
        <v>#DIV/0!</v>
      </c>
      <c r="P197" s="2247">
        <f t="shared" si="185"/>
        <v>0.2</v>
      </c>
      <c r="Q197" s="1557">
        <f t="shared" si="185"/>
        <v>0.5</v>
      </c>
      <c r="R197" s="1557">
        <f t="shared" si="185"/>
        <v>0.8</v>
      </c>
      <c r="S197" s="1557">
        <f t="shared" si="185"/>
        <v>0.5</v>
      </c>
      <c r="T197" s="1557">
        <f t="shared" ref="T197:U197" si="186">T195/T196</f>
        <v>0.6</v>
      </c>
      <c r="U197" s="1557">
        <f t="shared" si="186"/>
        <v>0.5</v>
      </c>
      <c r="V197" s="1557"/>
      <c r="W197" s="1557"/>
      <c r="X197" s="1557">
        <f t="shared" si="185"/>
        <v>0.8</v>
      </c>
      <c r="Y197" s="1557">
        <f t="shared" ref="Y197:AA197" si="187">Y195/Y196</f>
        <v>0.6</v>
      </c>
      <c r="Z197" s="1557">
        <f t="shared" si="187"/>
        <v>0.9</v>
      </c>
      <c r="AA197" s="1557" t="e">
        <f t="shared" si="187"/>
        <v>#DIV/0!</v>
      </c>
      <c r="AB197" s="1557">
        <f t="shared" ref="AB197:AE197" si="188">AB195/AB196</f>
        <v>1</v>
      </c>
      <c r="AC197" s="1557" t="e">
        <f t="shared" si="188"/>
        <v>#DIV/0!</v>
      </c>
      <c r="AD197" s="1557" t="e">
        <f t="shared" si="188"/>
        <v>#DIV/0!</v>
      </c>
      <c r="AE197" s="1557" t="e">
        <f t="shared" si="188"/>
        <v>#DIV/0!</v>
      </c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  <c r="CS197" s="61"/>
      <c r="CT197" s="61"/>
      <c r="CU197" s="61"/>
      <c r="CV197" s="61"/>
      <c r="CW197" s="61"/>
      <c r="CX197" s="61"/>
      <c r="CY197" s="61"/>
      <c r="CZ197" s="61"/>
      <c r="DA197" s="61"/>
      <c r="DB197" s="61"/>
      <c r="DC197" s="61"/>
      <c r="DD197" s="61"/>
      <c r="DE197" s="61"/>
      <c r="DF197" s="61"/>
      <c r="DG197" s="61"/>
      <c r="DH197" s="61"/>
      <c r="DI197" s="61"/>
      <c r="DJ197" s="61"/>
      <c r="DK197" s="61"/>
      <c r="DL197" s="61"/>
      <c r="DM197" s="61"/>
      <c r="DN197" s="61"/>
      <c r="DO197" s="61"/>
      <c r="DP197" s="61"/>
      <c r="DQ197" s="61"/>
      <c r="DR197" s="61"/>
      <c r="DS197" s="61"/>
      <c r="DT197" s="61"/>
      <c r="DU197" s="61"/>
      <c r="DV197" s="61"/>
      <c r="DW197" s="61"/>
    </row>
    <row r="198" spans="1:127">
      <c r="A198" s="3569" t="s">
        <v>300</v>
      </c>
      <c r="B198" s="3621" t="s">
        <v>67</v>
      </c>
      <c r="C198" s="3624">
        <f>COUNTA(A101:A106)</f>
        <v>6</v>
      </c>
      <c r="D198" s="2145">
        <f>COUNTIF(D101:D106,"&lt;=50")</f>
        <v>3</v>
      </c>
      <c r="E198" s="2145">
        <f t="shared" ref="E198:X198" si="189">COUNTIF(E101:E106,"&lt;=50")</f>
        <v>3</v>
      </c>
      <c r="F198" s="2145">
        <f t="shared" si="189"/>
        <v>3</v>
      </c>
      <c r="G198" s="2145">
        <f t="shared" si="189"/>
        <v>3</v>
      </c>
      <c r="H198" s="2145">
        <f t="shared" si="189"/>
        <v>3</v>
      </c>
      <c r="I198" s="2145">
        <f t="shared" si="189"/>
        <v>3</v>
      </c>
      <c r="J198" s="2145">
        <f t="shared" si="189"/>
        <v>3</v>
      </c>
      <c r="K198" s="2145">
        <f t="shared" si="189"/>
        <v>3</v>
      </c>
      <c r="L198" s="2145">
        <f t="shared" si="189"/>
        <v>6</v>
      </c>
      <c r="M198" s="2145">
        <f t="shared" si="189"/>
        <v>6</v>
      </c>
      <c r="N198" s="2145">
        <f t="shared" si="189"/>
        <v>4</v>
      </c>
      <c r="O198" s="2279">
        <f t="shared" si="189"/>
        <v>6</v>
      </c>
      <c r="P198" s="2245">
        <f t="shared" si="189"/>
        <v>6</v>
      </c>
      <c r="Q198" s="2145">
        <f t="shared" si="189"/>
        <v>6</v>
      </c>
      <c r="R198" s="2145">
        <f t="shared" si="189"/>
        <v>0</v>
      </c>
      <c r="S198" s="2145">
        <f t="shared" si="189"/>
        <v>6</v>
      </c>
      <c r="T198" s="3001">
        <f t="shared" ref="T198:U198" si="190">COUNTIF(T101:T106,"&lt;=50")</f>
        <v>6</v>
      </c>
      <c r="U198" s="3001">
        <f t="shared" si="190"/>
        <v>0</v>
      </c>
      <c r="V198" s="2875"/>
      <c r="W198" s="2875"/>
      <c r="X198" s="2145">
        <f t="shared" si="189"/>
        <v>0</v>
      </c>
      <c r="Y198" s="3282">
        <f t="shared" ref="Y198:AA198" si="191">COUNTIF(Y101:Y106,"&lt;=50")</f>
        <v>0</v>
      </c>
      <c r="Z198" s="3282">
        <f t="shared" si="191"/>
        <v>0</v>
      </c>
      <c r="AA198" s="3282">
        <f t="shared" si="191"/>
        <v>0</v>
      </c>
      <c r="AB198" s="3489">
        <f t="shared" ref="AB198:AE198" si="192">COUNTIF(AB101:AB106,"&lt;=50")</f>
        <v>6</v>
      </c>
      <c r="AC198" s="3489">
        <f t="shared" si="192"/>
        <v>0</v>
      </c>
      <c r="AD198" s="3489">
        <f t="shared" si="192"/>
        <v>0</v>
      </c>
      <c r="AE198" s="3489">
        <f t="shared" si="192"/>
        <v>0</v>
      </c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  <c r="CS198" s="61"/>
      <c r="CT198" s="61"/>
      <c r="CU198" s="61"/>
      <c r="CV198" s="61"/>
      <c r="CW198" s="61"/>
      <c r="CX198" s="61"/>
      <c r="CY198" s="61"/>
      <c r="CZ198" s="61"/>
      <c r="DA198" s="61"/>
      <c r="DB198" s="61"/>
      <c r="DC198" s="61"/>
      <c r="DD198" s="61"/>
      <c r="DE198" s="61"/>
      <c r="DF198" s="61"/>
      <c r="DG198" s="61"/>
      <c r="DH198" s="61"/>
      <c r="DI198" s="61"/>
      <c r="DJ198" s="61"/>
      <c r="DK198" s="61"/>
      <c r="DL198" s="61"/>
      <c r="DM198" s="61"/>
      <c r="DN198" s="61"/>
      <c r="DO198" s="61"/>
      <c r="DP198" s="61"/>
      <c r="DQ198" s="61"/>
      <c r="DR198" s="61"/>
      <c r="DS198" s="61"/>
      <c r="DT198" s="61"/>
      <c r="DU198" s="61"/>
      <c r="DV198" s="61"/>
      <c r="DW198" s="61"/>
    </row>
    <row r="199" spans="1:127">
      <c r="A199" s="3570"/>
      <c r="B199" s="3622"/>
      <c r="C199" s="3625"/>
      <c r="D199" s="2146">
        <f>COUNT(D101:D106)</f>
        <v>3</v>
      </c>
      <c r="E199" s="2146">
        <f t="shared" ref="E199:X199" si="193">COUNT(E101:E106)</f>
        <v>3</v>
      </c>
      <c r="F199" s="2146">
        <f t="shared" si="193"/>
        <v>3</v>
      </c>
      <c r="G199" s="2146">
        <f t="shared" si="193"/>
        <v>3</v>
      </c>
      <c r="H199" s="2146">
        <f t="shared" si="193"/>
        <v>3</v>
      </c>
      <c r="I199" s="2146">
        <f t="shared" si="193"/>
        <v>3</v>
      </c>
      <c r="J199" s="2146">
        <f t="shared" si="193"/>
        <v>3</v>
      </c>
      <c r="K199" s="2146">
        <f t="shared" si="193"/>
        <v>3</v>
      </c>
      <c r="L199" s="2146">
        <f t="shared" si="193"/>
        <v>6</v>
      </c>
      <c r="M199" s="2146">
        <f t="shared" si="193"/>
        <v>6</v>
      </c>
      <c r="N199" s="2146">
        <f t="shared" si="193"/>
        <v>6</v>
      </c>
      <c r="O199" s="2280">
        <f t="shared" si="193"/>
        <v>6</v>
      </c>
      <c r="P199" s="2246">
        <f t="shared" si="193"/>
        <v>6</v>
      </c>
      <c r="Q199" s="2146">
        <f t="shared" si="193"/>
        <v>6</v>
      </c>
      <c r="R199" s="2146">
        <f t="shared" si="193"/>
        <v>6</v>
      </c>
      <c r="S199" s="2146">
        <f t="shared" si="193"/>
        <v>6</v>
      </c>
      <c r="T199" s="3002">
        <f t="shared" ref="T199:U199" si="194">COUNT(T101:T106)</f>
        <v>6</v>
      </c>
      <c r="U199" s="3002">
        <f t="shared" si="194"/>
        <v>0</v>
      </c>
      <c r="V199" s="2876"/>
      <c r="W199" s="2876"/>
      <c r="X199" s="2146">
        <f t="shared" si="193"/>
        <v>0</v>
      </c>
      <c r="Y199" s="3283">
        <f t="shared" ref="Y199:AA199" si="195">COUNT(Y101:Y106)</f>
        <v>0</v>
      </c>
      <c r="Z199" s="3283">
        <f t="shared" si="195"/>
        <v>0</v>
      </c>
      <c r="AA199" s="3283">
        <f t="shared" si="195"/>
        <v>0</v>
      </c>
      <c r="AB199" s="3490">
        <f t="shared" ref="AB199:AE199" si="196">COUNT(AB101:AB106)</f>
        <v>6</v>
      </c>
      <c r="AC199" s="3490">
        <f t="shared" si="196"/>
        <v>0</v>
      </c>
      <c r="AD199" s="3490">
        <f t="shared" si="196"/>
        <v>0</v>
      </c>
      <c r="AE199" s="3490">
        <f t="shared" si="196"/>
        <v>0</v>
      </c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/>
      <c r="CV199" s="61"/>
      <c r="CW199" s="61"/>
      <c r="CX199" s="61"/>
      <c r="CY199" s="61"/>
      <c r="CZ199" s="61"/>
      <c r="DA199" s="61"/>
      <c r="DB199" s="61"/>
      <c r="DC199" s="61"/>
      <c r="DD199" s="61"/>
      <c r="DE199" s="61"/>
      <c r="DF199" s="61"/>
      <c r="DG199" s="61"/>
      <c r="DH199" s="61"/>
      <c r="DI199" s="61"/>
      <c r="DJ199" s="61"/>
      <c r="DK199" s="61"/>
      <c r="DL199" s="61"/>
      <c r="DM199" s="61"/>
      <c r="DN199" s="61"/>
      <c r="DO199" s="61"/>
      <c r="DP199" s="61"/>
      <c r="DQ199" s="61"/>
      <c r="DR199" s="61"/>
      <c r="DS199" s="61"/>
      <c r="DT199" s="61"/>
      <c r="DU199" s="61"/>
      <c r="DV199" s="61"/>
      <c r="DW199" s="61"/>
    </row>
    <row r="200" spans="1:127">
      <c r="A200" s="3570"/>
      <c r="B200" s="3623"/>
      <c r="C200" s="3626"/>
      <c r="D200" s="1557">
        <f t="shared" ref="D200:X200" si="197">D198/D199</f>
        <v>1</v>
      </c>
      <c r="E200" s="1557">
        <f t="shared" si="197"/>
        <v>1</v>
      </c>
      <c r="F200" s="1557">
        <f t="shared" si="197"/>
        <v>1</v>
      </c>
      <c r="G200" s="1557">
        <f t="shared" si="197"/>
        <v>1</v>
      </c>
      <c r="H200" s="1557">
        <f t="shared" si="197"/>
        <v>1</v>
      </c>
      <c r="I200" s="1557">
        <f t="shared" si="197"/>
        <v>1</v>
      </c>
      <c r="J200" s="1557">
        <f t="shared" si="197"/>
        <v>1</v>
      </c>
      <c r="K200" s="1557">
        <f t="shared" si="197"/>
        <v>1</v>
      </c>
      <c r="L200" s="1557">
        <f t="shared" si="197"/>
        <v>1</v>
      </c>
      <c r="M200" s="1557">
        <f t="shared" si="197"/>
        <v>1</v>
      </c>
      <c r="N200" s="1557">
        <f t="shared" si="197"/>
        <v>0.66666666666666663</v>
      </c>
      <c r="O200" s="2281">
        <f t="shared" si="197"/>
        <v>1</v>
      </c>
      <c r="P200" s="2247">
        <f t="shared" si="197"/>
        <v>1</v>
      </c>
      <c r="Q200" s="1557">
        <f t="shared" si="197"/>
        <v>1</v>
      </c>
      <c r="R200" s="1557">
        <f t="shared" si="197"/>
        <v>0</v>
      </c>
      <c r="S200" s="1557">
        <f t="shared" si="197"/>
        <v>1</v>
      </c>
      <c r="T200" s="1557">
        <f t="shared" ref="T200:U200" si="198">T198/T199</f>
        <v>1</v>
      </c>
      <c r="U200" s="1557" t="e">
        <f t="shared" si="198"/>
        <v>#DIV/0!</v>
      </c>
      <c r="V200" s="1557"/>
      <c r="W200" s="1557"/>
      <c r="X200" s="1557" t="e">
        <f t="shared" si="197"/>
        <v>#DIV/0!</v>
      </c>
      <c r="Y200" s="1557" t="e">
        <f t="shared" ref="Y200:AA200" si="199">Y198/Y199</f>
        <v>#DIV/0!</v>
      </c>
      <c r="Z200" s="1557" t="e">
        <f t="shared" si="199"/>
        <v>#DIV/0!</v>
      </c>
      <c r="AA200" s="1557" t="e">
        <f t="shared" si="199"/>
        <v>#DIV/0!</v>
      </c>
      <c r="AB200" s="1557">
        <f t="shared" ref="AB200:AE200" si="200">AB198/AB199</f>
        <v>1</v>
      </c>
      <c r="AC200" s="1557" t="e">
        <f t="shared" si="200"/>
        <v>#DIV/0!</v>
      </c>
      <c r="AD200" s="1557" t="e">
        <f t="shared" si="200"/>
        <v>#DIV/0!</v>
      </c>
      <c r="AE200" s="1557" t="e">
        <f t="shared" si="200"/>
        <v>#DIV/0!</v>
      </c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/>
      <c r="CV200" s="61"/>
      <c r="CW200" s="61"/>
      <c r="CX200" s="61"/>
      <c r="CY200" s="61"/>
      <c r="CZ200" s="61"/>
      <c r="DA200" s="61"/>
      <c r="DB200" s="61"/>
      <c r="DC200" s="61"/>
      <c r="DD200" s="61"/>
      <c r="DE200" s="61"/>
      <c r="DF200" s="61"/>
      <c r="DG200" s="61"/>
      <c r="DH200" s="61"/>
      <c r="DI200" s="61"/>
      <c r="DJ200" s="61"/>
      <c r="DK200" s="61"/>
      <c r="DL200" s="61"/>
      <c r="DM200" s="61"/>
      <c r="DN200" s="61"/>
      <c r="DO200" s="61"/>
      <c r="DP200" s="61"/>
      <c r="DQ200" s="61"/>
      <c r="DR200" s="61"/>
      <c r="DS200" s="61"/>
      <c r="DT200" s="61"/>
      <c r="DU200" s="61"/>
      <c r="DV200" s="61"/>
      <c r="DW200" s="61"/>
    </row>
    <row r="201" spans="1:127">
      <c r="A201" s="3570"/>
      <c r="B201" s="3621" t="s">
        <v>186</v>
      </c>
      <c r="C201" s="3624">
        <f>COUNTA(A107:A114)</f>
        <v>8</v>
      </c>
      <c r="D201" s="2145">
        <f>COUNTIF(D107:D114,"&lt;=50")</f>
        <v>6</v>
      </c>
      <c r="E201" s="2145">
        <f t="shared" ref="E201:X201" si="201">COUNTIF(E107:E114,"&lt;=50")</f>
        <v>6</v>
      </c>
      <c r="F201" s="2145">
        <f t="shared" si="201"/>
        <v>6</v>
      </c>
      <c r="G201" s="2145">
        <f t="shared" si="201"/>
        <v>1</v>
      </c>
      <c r="H201" s="2145">
        <f t="shared" si="201"/>
        <v>5</v>
      </c>
      <c r="I201" s="2145">
        <f t="shared" si="201"/>
        <v>6</v>
      </c>
      <c r="J201" s="2145">
        <f t="shared" si="201"/>
        <v>6</v>
      </c>
      <c r="K201" s="2145">
        <f t="shared" si="201"/>
        <v>6</v>
      </c>
      <c r="L201" s="2145">
        <f t="shared" si="201"/>
        <v>8</v>
      </c>
      <c r="M201" s="2145">
        <f t="shared" si="201"/>
        <v>8</v>
      </c>
      <c r="N201" s="2145">
        <f t="shared" si="201"/>
        <v>5</v>
      </c>
      <c r="O201" s="2279">
        <f t="shared" si="201"/>
        <v>7</v>
      </c>
      <c r="P201" s="2245">
        <f t="shared" si="201"/>
        <v>8</v>
      </c>
      <c r="Q201" s="2145">
        <f t="shared" si="201"/>
        <v>0</v>
      </c>
      <c r="R201" s="2145">
        <f t="shared" si="201"/>
        <v>8</v>
      </c>
      <c r="S201" s="2145">
        <f t="shared" si="201"/>
        <v>8</v>
      </c>
      <c r="T201" s="3001">
        <f t="shared" ref="T201:U201" si="202">COUNTIF(T107:T114,"&lt;=50")</f>
        <v>8</v>
      </c>
      <c r="U201" s="3001">
        <f t="shared" si="202"/>
        <v>0</v>
      </c>
      <c r="V201" s="2875"/>
      <c r="W201" s="2875"/>
      <c r="X201" s="2145">
        <f t="shared" si="201"/>
        <v>8</v>
      </c>
      <c r="Y201" s="3282">
        <f t="shared" ref="Y201:AA201" si="203">COUNTIF(Y107:Y114,"&lt;=50")</f>
        <v>5</v>
      </c>
      <c r="Z201" s="3282">
        <f t="shared" si="203"/>
        <v>0</v>
      </c>
      <c r="AA201" s="3282">
        <f t="shared" si="203"/>
        <v>7</v>
      </c>
      <c r="AB201" s="3489">
        <f t="shared" ref="AB201:AE201" si="204">COUNTIF(AB107:AB114,"&lt;=50")</f>
        <v>6</v>
      </c>
      <c r="AC201" s="3489">
        <f t="shared" si="204"/>
        <v>0</v>
      </c>
      <c r="AD201" s="3489">
        <f t="shared" si="204"/>
        <v>0</v>
      </c>
      <c r="AE201" s="3489">
        <f t="shared" si="204"/>
        <v>0</v>
      </c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  <c r="CS201" s="61"/>
      <c r="CT201" s="61"/>
      <c r="CU201" s="61"/>
      <c r="CV201" s="61"/>
      <c r="CW201" s="61"/>
      <c r="CX201" s="61"/>
      <c r="CY201" s="61"/>
      <c r="CZ201" s="61"/>
      <c r="DA201" s="61"/>
      <c r="DB201" s="61"/>
      <c r="DC201" s="61"/>
      <c r="DD201" s="61"/>
      <c r="DE201" s="61"/>
      <c r="DF201" s="61"/>
      <c r="DG201" s="61"/>
      <c r="DH201" s="61"/>
      <c r="DI201" s="61"/>
      <c r="DJ201" s="61"/>
      <c r="DK201" s="61"/>
      <c r="DL201" s="61"/>
      <c r="DM201" s="61"/>
      <c r="DN201" s="61"/>
      <c r="DO201" s="61"/>
      <c r="DP201" s="61"/>
      <c r="DQ201" s="61"/>
      <c r="DR201" s="61"/>
      <c r="DS201" s="61"/>
      <c r="DT201" s="61"/>
      <c r="DU201" s="61"/>
      <c r="DV201" s="61"/>
      <c r="DW201" s="61"/>
    </row>
    <row r="202" spans="1:127">
      <c r="A202" s="3570"/>
      <c r="B202" s="3622"/>
      <c r="C202" s="3625"/>
      <c r="D202" s="2146">
        <f>COUNT(D107:D114)</f>
        <v>6</v>
      </c>
      <c r="E202" s="2146">
        <f t="shared" ref="E202:X202" si="205">COUNT(E107:E114)</f>
        <v>6</v>
      </c>
      <c r="F202" s="2146">
        <f t="shared" si="205"/>
        <v>6</v>
      </c>
      <c r="G202" s="2146">
        <f t="shared" si="205"/>
        <v>6</v>
      </c>
      <c r="H202" s="2146">
        <f t="shared" si="205"/>
        <v>5</v>
      </c>
      <c r="I202" s="2146">
        <f t="shared" si="205"/>
        <v>6</v>
      </c>
      <c r="J202" s="2146">
        <f t="shared" si="205"/>
        <v>6</v>
      </c>
      <c r="K202" s="2146">
        <f t="shared" si="205"/>
        <v>6</v>
      </c>
      <c r="L202" s="2146">
        <f t="shared" si="205"/>
        <v>8</v>
      </c>
      <c r="M202" s="2146">
        <f t="shared" si="205"/>
        <v>8</v>
      </c>
      <c r="N202" s="2146">
        <f t="shared" si="205"/>
        <v>8</v>
      </c>
      <c r="O202" s="2280">
        <f t="shared" si="205"/>
        <v>8</v>
      </c>
      <c r="P202" s="2246">
        <f t="shared" si="205"/>
        <v>8</v>
      </c>
      <c r="Q202" s="2146">
        <f t="shared" si="205"/>
        <v>0</v>
      </c>
      <c r="R202" s="2146">
        <f t="shared" si="205"/>
        <v>8</v>
      </c>
      <c r="S202" s="2146">
        <f t="shared" si="205"/>
        <v>8</v>
      </c>
      <c r="T202" s="3002">
        <f t="shared" ref="T202:U202" si="206">COUNT(T107:T114)</f>
        <v>8</v>
      </c>
      <c r="U202" s="3002">
        <f t="shared" si="206"/>
        <v>0</v>
      </c>
      <c r="V202" s="2876"/>
      <c r="W202" s="2876"/>
      <c r="X202" s="2146">
        <f t="shared" si="205"/>
        <v>8</v>
      </c>
      <c r="Y202" s="3283">
        <f t="shared" ref="Y202:AA202" si="207">COUNT(Y107:Y114)</f>
        <v>8</v>
      </c>
      <c r="Z202" s="3283">
        <f t="shared" si="207"/>
        <v>0</v>
      </c>
      <c r="AA202" s="3283">
        <f t="shared" si="207"/>
        <v>8</v>
      </c>
      <c r="AB202" s="3490">
        <f t="shared" ref="AB202:AE202" si="208">COUNT(AB107:AB114)</f>
        <v>8</v>
      </c>
      <c r="AC202" s="3490">
        <f t="shared" si="208"/>
        <v>0</v>
      </c>
      <c r="AD202" s="3490">
        <f t="shared" si="208"/>
        <v>0</v>
      </c>
      <c r="AE202" s="3490">
        <f t="shared" si="208"/>
        <v>0</v>
      </c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/>
      <c r="CV202" s="61"/>
      <c r="CW202" s="61"/>
      <c r="CX202" s="61"/>
      <c r="CY202" s="61"/>
      <c r="CZ202" s="61"/>
      <c r="DA202" s="61"/>
      <c r="DB202" s="61"/>
      <c r="DC202" s="61"/>
      <c r="DD202" s="61"/>
      <c r="DE202" s="61"/>
      <c r="DF202" s="61"/>
      <c r="DG202" s="61"/>
      <c r="DH202" s="61"/>
      <c r="DI202" s="61"/>
      <c r="DJ202" s="61"/>
      <c r="DK202" s="61"/>
      <c r="DL202" s="61"/>
      <c r="DM202" s="61"/>
      <c r="DN202" s="61"/>
      <c r="DO202" s="61"/>
      <c r="DP202" s="61"/>
      <c r="DQ202" s="61"/>
      <c r="DR202" s="61"/>
      <c r="DS202" s="61"/>
      <c r="DT202" s="61"/>
      <c r="DU202" s="61"/>
      <c r="DV202" s="61"/>
      <c r="DW202" s="61"/>
    </row>
    <row r="203" spans="1:127">
      <c r="A203" s="3570"/>
      <c r="B203" s="3623"/>
      <c r="C203" s="3626"/>
      <c r="D203" s="1557">
        <f t="shared" ref="D203:X203" si="209">D201/D202</f>
        <v>1</v>
      </c>
      <c r="E203" s="1557">
        <f t="shared" si="209"/>
        <v>1</v>
      </c>
      <c r="F203" s="1557">
        <f t="shared" si="209"/>
        <v>1</v>
      </c>
      <c r="G203" s="1557">
        <f t="shared" si="209"/>
        <v>0.16666666666666666</v>
      </c>
      <c r="H203" s="1557">
        <f t="shared" si="209"/>
        <v>1</v>
      </c>
      <c r="I203" s="1557">
        <f t="shared" si="209"/>
        <v>1</v>
      </c>
      <c r="J203" s="1557">
        <f t="shared" si="209"/>
        <v>1</v>
      </c>
      <c r="K203" s="1557">
        <f t="shared" si="209"/>
        <v>1</v>
      </c>
      <c r="L203" s="1557">
        <f t="shared" si="209"/>
        <v>1</v>
      </c>
      <c r="M203" s="1557">
        <f t="shared" si="209"/>
        <v>1</v>
      </c>
      <c r="N203" s="1557">
        <f t="shared" si="209"/>
        <v>0.625</v>
      </c>
      <c r="O203" s="2281">
        <f t="shared" si="209"/>
        <v>0.875</v>
      </c>
      <c r="P203" s="2247">
        <f t="shared" si="209"/>
        <v>1</v>
      </c>
      <c r="Q203" s="1557" t="e">
        <f t="shared" si="209"/>
        <v>#DIV/0!</v>
      </c>
      <c r="R203" s="1557">
        <f t="shared" si="209"/>
        <v>1</v>
      </c>
      <c r="S203" s="1557">
        <f t="shared" si="209"/>
        <v>1</v>
      </c>
      <c r="T203" s="1557">
        <f t="shared" ref="T203:U203" si="210">T201/T202</f>
        <v>1</v>
      </c>
      <c r="U203" s="1557" t="e">
        <f t="shared" si="210"/>
        <v>#DIV/0!</v>
      </c>
      <c r="V203" s="1557"/>
      <c r="W203" s="1557"/>
      <c r="X203" s="1557">
        <f t="shared" si="209"/>
        <v>1</v>
      </c>
      <c r="Y203" s="1557">
        <f t="shared" ref="Y203:AA203" si="211">Y201/Y202</f>
        <v>0.625</v>
      </c>
      <c r="Z203" s="1557" t="e">
        <f t="shared" si="211"/>
        <v>#DIV/0!</v>
      </c>
      <c r="AA203" s="1557">
        <f t="shared" si="211"/>
        <v>0.875</v>
      </c>
      <c r="AB203" s="1557">
        <f t="shared" ref="AB203:AE203" si="212">AB201/AB202</f>
        <v>0.75</v>
      </c>
      <c r="AC203" s="1557" t="e">
        <f t="shared" si="212"/>
        <v>#DIV/0!</v>
      </c>
      <c r="AD203" s="1557" t="e">
        <f t="shared" si="212"/>
        <v>#DIV/0!</v>
      </c>
      <c r="AE203" s="1557" t="e">
        <f t="shared" si="212"/>
        <v>#DIV/0!</v>
      </c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  <c r="BW203" s="61"/>
      <c r="BX203" s="61"/>
      <c r="BY203" s="61"/>
      <c r="BZ203" s="61"/>
      <c r="CA203" s="61"/>
      <c r="CB203" s="61"/>
      <c r="CC203" s="61"/>
      <c r="CD203" s="61"/>
      <c r="CE203" s="61"/>
      <c r="CF203" s="61"/>
      <c r="CG203" s="61"/>
      <c r="CH203" s="61"/>
      <c r="CI203" s="61"/>
      <c r="CJ203" s="61"/>
      <c r="CK203" s="61"/>
      <c r="CL203" s="61"/>
      <c r="CM203" s="61"/>
      <c r="CN203" s="61"/>
      <c r="CO203" s="61"/>
      <c r="CP203" s="61"/>
      <c r="CQ203" s="61"/>
      <c r="CR203" s="61"/>
      <c r="CS203" s="61"/>
      <c r="CT203" s="61"/>
      <c r="CU203" s="61"/>
      <c r="CV203" s="61"/>
      <c r="CW203" s="61"/>
      <c r="CX203" s="61"/>
      <c r="CY203" s="61"/>
      <c r="CZ203" s="61"/>
      <c r="DA203" s="61"/>
      <c r="DB203" s="61"/>
      <c r="DC203" s="61"/>
      <c r="DD203" s="61"/>
      <c r="DE203" s="61"/>
      <c r="DF203" s="61"/>
      <c r="DG203" s="61"/>
      <c r="DH203" s="61"/>
      <c r="DI203" s="61"/>
      <c r="DJ203" s="61"/>
      <c r="DK203" s="61"/>
      <c r="DL203" s="61"/>
      <c r="DM203" s="61"/>
      <c r="DN203" s="61"/>
      <c r="DO203" s="61"/>
      <c r="DP203" s="61"/>
      <c r="DQ203" s="61"/>
      <c r="DR203" s="61"/>
      <c r="DS203" s="61"/>
      <c r="DT203" s="61"/>
      <c r="DU203" s="61"/>
      <c r="DV203" s="61"/>
      <c r="DW203" s="61"/>
    </row>
    <row r="204" spans="1:127">
      <c r="A204" s="3570"/>
      <c r="B204" s="3621" t="s">
        <v>133</v>
      </c>
      <c r="C204" s="3624">
        <f>COUNTA(A115:A119)</f>
        <v>5</v>
      </c>
      <c r="D204" s="2145">
        <f>COUNTIF(D115:D119,"&lt;=50")</f>
        <v>0</v>
      </c>
      <c r="E204" s="2145">
        <f t="shared" ref="E204:X204" si="213">COUNTIF(E115:E119,"&lt;=50")</f>
        <v>0</v>
      </c>
      <c r="F204" s="2145">
        <f t="shared" si="213"/>
        <v>0</v>
      </c>
      <c r="G204" s="2145">
        <f t="shared" si="213"/>
        <v>0</v>
      </c>
      <c r="H204" s="2145">
        <f t="shared" si="213"/>
        <v>0</v>
      </c>
      <c r="I204" s="2145">
        <f t="shared" si="213"/>
        <v>4</v>
      </c>
      <c r="J204" s="2145">
        <f t="shared" si="213"/>
        <v>4</v>
      </c>
      <c r="K204" s="2145">
        <f t="shared" si="213"/>
        <v>5</v>
      </c>
      <c r="L204" s="2145">
        <f t="shared" si="213"/>
        <v>5</v>
      </c>
      <c r="M204" s="2145">
        <f t="shared" si="213"/>
        <v>5</v>
      </c>
      <c r="N204" s="2145">
        <f t="shared" si="213"/>
        <v>5</v>
      </c>
      <c r="O204" s="2279">
        <f t="shared" si="213"/>
        <v>4</v>
      </c>
      <c r="P204" s="2245">
        <f t="shared" si="213"/>
        <v>5</v>
      </c>
      <c r="Q204" s="2145">
        <f t="shared" si="213"/>
        <v>5</v>
      </c>
      <c r="R204" s="2145">
        <f t="shared" si="213"/>
        <v>3</v>
      </c>
      <c r="S204" s="2145">
        <f t="shared" si="213"/>
        <v>5</v>
      </c>
      <c r="T204" s="3001">
        <f t="shared" ref="T204:U204" si="214">COUNTIF(T115:T119,"&lt;=50")</f>
        <v>2</v>
      </c>
      <c r="U204" s="3001">
        <f t="shared" si="214"/>
        <v>0</v>
      </c>
      <c r="V204" s="2875"/>
      <c r="W204" s="2875"/>
      <c r="X204" s="2145">
        <f t="shared" si="213"/>
        <v>5</v>
      </c>
      <c r="Y204" s="3282">
        <f t="shared" ref="Y204:AA204" si="215">COUNTIF(Y115:Y119,"&lt;=50")</f>
        <v>1</v>
      </c>
      <c r="Z204" s="3282">
        <f t="shared" si="215"/>
        <v>1</v>
      </c>
      <c r="AA204" s="3282">
        <f t="shared" si="215"/>
        <v>1</v>
      </c>
      <c r="AB204" s="3489">
        <f t="shared" ref="AB204:AE204" si="216">COUNTIF(AB115:AB119,"&lt;=50")</f>
        <v>3</v>
      </c>
      <c r="AC204" s="3489">
        <f t="shared" si="216"/>
        <v>0</v>
      </c>
      <c r="AD204" s="3489">
        <f t="shared" si="216"/>
        <v>0</v>
      </c>
      <c r="AE204" s="3489">
        <f t="shared" si="216"/>
        <v>0</v>
      </c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1"/>
      <c r="BW204" s="61"/>
      <c r="BX204" s="61"/>
      <c r="BY204" s="61"/>
      <c r="BZ204" s="61"/>
      <c r="CA204" s="61"/>
      <c r="CB204" s="61"/>
      <c r="CC204" s="61"/>
      <c r="CD204" s="61"/>
      <c r="CE204" s="61"/>
      <c r="CF204" s="61"/>
      <c r="CG204" s="61"/>
      <c r="CH204" s="61"/>
      <c r="CI204" s="61"/>
      <c r="CJ204" s="61"/>
      <c r="CK204" s="61"/>
      <c r="CL204" s="61"/>
      <c r="CM204" s="61"/>
      <c r="CN204" s="61"/>
      <c r="CO204" s="61"/>
      <c r="CP204" s="61"/>
      <c r="CQ204" s="61"/>
      <c r="CR204" s="61"/>
      <c r="CS204" s="61"/>
      <c r="CT204" s="61"/>
      <c r="CU204" s="61"/>
      <c r="CV204" s="61"/>
      <c r="CW204" s="61"/>
      <c r="CX204" s="61"/>
      <c r="CY204" s="61"/>
      <c r="CZ204" s="61"/>
      <c r="DA204" s="61"/>
      <c r="DB204" s="61"/>
      <c r="DC204" s="61"/>
      <c r="DD204" s="61"/>
      <c r="DE204" s="61"/>
      <c r="DF204" s="61"/>
      <c r="DG204" s="61"/>
      <c r="DH204" s="61"/>
      <c r="DI204" s="61"/>
      <c r="DJ204" s="61"/>
      <c r="DK204" s="61"/>
      <c r="DL204" s="61"/>
      <c r="DM204" s="61"/>
      <c r="DN204" s="61"/>
      <c r="DO204" s="61"/>
      <c r="DP204" s="61"/>
      <c r="DQ204" s="61"/>
      <c r="DR204" s="61"/>
      <c r="DS204" s="61"/>
      <c r="DT204" s="61"/>
      <c r="DU204" s="61"/>
      <c r="DV204" s="61"/>
      <c r="DW204" s="61"/>
    </row>
    <row r="205" spans="1:127">
      <c r="A205" s="3570"/>
      <c r="B205" s="3622"/>
      <c r="C205" s="3625"/>
      <c r="D205" s="2146">
        <f>COUNT(D115:D119)</f>
        <v>0</v>
      </c>
      <c r="E205" s="2146">
        <f t="shared" ref="E205:X205" si="217">COUNT(E115:E119)</f>
        <v>0</v>
      </c>
      <c r="F205" s="2146">
        <f t="shared" si="217"/>
        <v>0</v>
      </c>
      <c r="G205" s="2146">
        <f t="shared" si="217"/>
        <v>0</v>
      </c>
      <c r="H205" s="2146">
        <f t="shared" si="217"/>
        <v>0</v>
      </c>
      <c r="I205" s="2146">
        <f t="shared" si="217"/>
        <v>5</v>
      </c>
      <c r="J205" s="2146">
        <f t="shared" si="217"/>
        <v>5</v>
      </c>
      <c r="K205" s="2146">
        <f t="shared" si="217"/>
        <v>5</v>
      </c>
      <c r="L205" s="2146">
        <f t="shared" si="217"/>
        <v>5</v>
      </c>
      <c r="M205" s="2146">
        <f t="shared" si="217"/>
        <v>5</v>
      </c>
      <c r="N205" s="2146">
        <f t="shared" si="217"/>
        <v>5</v>
      </c>
      <c r="O205" s="2280">
        <f t="shared" si="217"/>
        <v>5</v>
      </c>
      <c r="P205" s="2246">
        <f t="shared" si="217"/>
        <v>5</v>
      </c>
      <c r="Q205" s="2146">
        <f t="shared" si="217"/>
        <v>5</v>
      </c>
      <c r="R205" s="2146">
        <f t="shared" si="217"/>
        <v>5</v>
      </c>
      <c r="S205" s="2146">
        <f t="shared" si="217"/>
        <v>5</v>
      </c>
      <c r="T205" s="3002">
        <f t="shared" ref="T205:U205" si="218">COUNT(T115:T119)</f>
        <v>5</v>
      </c>
      <c r="U205" s="3002">
        <f t="shared" si="218"/>
        <v>0</v>
      </c>
      <c r="V205" s="2876"/>
      <c r="W205" s="2876"/>
      <c r="X205" s="2146">
        <f t="shared" si="217"/>
        <v>5</v>
      </c>
      <c r="Y205" s="3283">
        <f t="shared" ref="Y205:AA205" si="219">COUNT(Y115:Y119)</f>
        <v>4</v>
      </c>
      <c r="Z205" s="3283">
        <f t="shared" si="219"/>
        <v>5</v>
      </c>
      <c r="AA205" s="3283">
        <f t="shared" si="219"/>
        <v>5</v>
      </c>
      <c r="AB205" s="3490">
        <f t="shared" ref="AB205:AE205" si="220">COUNT(AB115:AB119)</f>
        <v>3</v>
      </c>
      <c r="AC205" s="3490">
        <f t="shared" si="220"/>
        <v>0</v>
      </c>
      <c r="AD205" s="3490">
        <f t="shared" si="220"/>
        <v>0</v>
      </c>
      <c r="AE205" s="3490">
        <f t="shared" si="220"/>
        <v>0</v>
      </c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  <c r="BW205" s="61"/>
      <c r="BX205" s="61"/>
      <c r="BY205" s="61"/>
      <c r="BZ205" s="61"/>
      <c r="CA205" s="61"/>
      <c r="CB205" s="61"/>
      <c r="CC205" s="61"/>
      <c r="CD205" s="61"/>
      <c r="CE205" s="61"/>
      <c r="CF205" s="61"/>
      <c r="CG205" s="61"/>
      <c r="CH205" s="61"/>
      <c r="CI205" s="61"/>
      <c r="CJ205" s="61"/>
      <c r="CK205" s="61"/>
      <c r="CL205" s="61"/>
      <c r="CM205" s="61"/>
      <c r="CN205" s="61"/>
      <c r="CO205" s="61"/>
      <c r="CP205" s="61"/>
      <c r="CQ205" s="61"/>
      <c r="CR205" s="61"/>
      <c r="CS205" s="61"/>
      <c r="CT205" s="61"/>
      <c r="CU205" s="61"/>
      <c r="CV205" s="61"/>
      <c r="CW205" s="61"/>
      <c r="CX205" s="61"/>
      <c r="CY205" s="61"/>
      <c r="CZ205" s="61"/>
      <c r="DA205" s="61"/>
      <c r="DB205" s="61"/>
      <c r="DC205" s="61"/>
      <c r="DD205" s="61"/>
      <c r="DE205" s="61"/>
      <c r="DF205" s="61"/>
      <c r="DG205" s="61"/>
      <c r="DH205" s="61"/>
      <c r="DI205" s="61"/>
      <c r="DJ205" s="61"/>
      <c r="DK205" s="61"/>
      <c r="DL205" s="61"/>
      <c r="DM205" s="61"/>
      <c r="DN205" s="61"/>
      <c r="DO205" s="61"/>
      <c r="DP205" s="61"/>
      <c r="DQ205" s="61"/>
      <c r="DR205" s="61"/>
      <c r="DS205" s="61"/>
      <c r="DT205" s="61"/>
      <c r="DU205" s="61"/>
      <c r="DV205" s="61"/>
      <c r="DW205" s="61"/>
    </row>
    <row r="206" spans="1:127">
      <c r="A206" s="3570"/>
      <c r="B206" s="3623"/>
      <c r="C206" s="3626"/>
      <c r="D206" s="1557" t="e">
        <f t="shared" ref="D206:X206" si="221">D204/D205</f>
        <v>#DIV/0!</v>
      </c>
      <c r="E206" s="1557" t="e">
        <f t="shared" si="221"/>
        <v>#DIV/0!</v>
      </c>
      <c r="F206" s="1557" t="e">
        <f t="shared" si="221"/>
        <v>#DIV/0!</v>
      </c>
      <c r="G206" s="1557" t="e">
        <f t="shared" si="221"/>
        <v>#DIV/0!</v>
      </c>
      <c r="H206" s="1557" t="e">
        <f t="shared" si="221"/>
        <v>#DIV/0!</v>
      </c>
      <c r="I206" s="1557">
        <f t="shared" si="221"/>
        <v>0.8</v>
      </c>
      <c r="J206" s="1557">
        <f t="shared" si="221"/>
        <v>0.8</v>
      </c>
      <c r="K206" s="1557">
        <f t="shared" si="221"/>
        <v>1</v>
      </c>
      <c r="L206" s="1557">
        <f t="shared" si="221"/>
        <v>1</v>
      </c>
      <c r="M206" s="1557">
        <f t="shared" si="221"/>
        <v>1</v>
      </c>
      <c r="N206" s="1557">
        <f t="shared" si="221"/>
        <v>1</v>
      </c>
      <c r="O206" s="2281">
        <f t="shared" si="221"/>
        <v>0.8</v>
      </c>
      <c r="P206" s="2247">
        <f t="shared" si="221"/>
        <v>1</v>
      </c>
      <c r="Q206" s="1557">
        <f t="shared" si="221"/>
        <v>1</v>
      </c>
      <c r="R206" s="1557">
        <f t="shared" si="221"/>
        <v>0.6</v>
      </c>
      <c r="S206" s="1557">
        <f t="shared" si="221"/>
        <v>1</v>
      </c>
      <c r="T206" s="1557">
        <f t="shared" ref="T206:U206" si="222">T204/T205</f>
        <v>0.4</v>
      </c>
      <c r="U206" s="1557" t="e">
        <f t="shared" si="222"/>
        <v>#DIV/0!</v>
      </c>
      <c r="V206" s="1557"/>
      <c r="W206" s="1557"/>
      <c r="X206" s="1557">
        <f t="shared" si="221"/>
        <v>1</v>
      </c>
      <c r="Y206" s="1557">
        <f t="shared" ref="Y206:AA206" si="223">Y204/Y205</f>
        <v>0.25</v>
      </c>
      <c r="Z206" s="1557">
        <f t="shared" si="223"/>
        <v>0.2</v>
      </c>
      <c r="AA206" s="1557">
        <f t="shared" si="223"/>
        <v>0.2</v>
      </c>
      <c r="AB206" s="1557">
        <f t="shared" ref="AB206:AE206" si="224">AB204/AB205</f>
        <v>1</v>
      </c>
      <c r="AC206" s="1557" t="e">
        <f t="shared" si="224"/>
        <v>#DIV/0!</v>
      </c>
      <c r="AD206" s="1557" t="e">
        <f t="shared" si="224"/>
        <v>#DIV/0!</v>
      </c>
      <c r="AE206" s="1557" t="e">
        <f t="shared" si="224"/>
        <v>#DIV/0!</v>
      </c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/>
      <c r="CI206" s="61"/>
      <c r="CJ206" s="61"/>
      <c r="CK206" s="61"/>
      <c r="CL206" s="61"/>
      <c r="CM206" s="61"/>
      <c r="CN206" s="61"/>
      <c r="CO206" s="61"/>
      <c r="CP206" s="61"/>
      <c r="CQ206" s="61"/>
      <c r="CR206" s="61"/>
      <c r="CS206" s="61"/>
      <c r="CT206" s="61"/>
      <c r="CU206" s="61"/>
      <c r="CV206" s="61"/>
      <c r="CW206" s="61"/>
      <c r="CX206" s="61"/>
      <c r="CY206" s="61"/>
      <c r="CZ206" s="61"/>
      <c r="DA206" s="61"/>
      <c r="DB206" s="61"/>
      <c r="DC206" s="61"/>
      <c r="DD206" s="61"/>
      <c r="DE206" s="61"/>
      <c r="DF206" s="61"/>
      <c r="DG206" s="61"/>
      <c r="DH206" s="61"/>
      <c r="DI206" s="61"/>
      <c r="DJ206" s="61"/>
      <c r="DK206" s="61"/>
      <c r="DL206" s="61"/>
      <c r="DM206" s="61"/>
      <c r="DN206" s="61"/>
      <c r="DO206" s="61"/>
      <c r="DP206" s="61"/>
      <c r="DQ206" s="61"/>
      <c r="DR206" s="61"/>
      <c r="DS206" s="61"/>
      <c r="DT206" s="61"/>
      <c r="DU206" s="61"/>
      <c r="DV206" s="61"/>
      <c r="DW206" s="61"/>
    </row>
    <row r="207" spans="1:127">
      <c r="A207" s="3570"/>
      <c r="B207" s="3621" t="s">
        <v>70</v>
      </c>
      <c r="C207" s="3624">
        <f>COUNTA(A120:A124)</f>
        <v>5</v>
      </c>
      <c r="D207" s="2145">
        <f>COUNTIF(D120:D124,"&lt;=50")</f>
        <v>5</v>
      </c>
      <c r="E207" s="2145">
        <f t="shared" ref="E207:X207" si="225">COUNTIF(E120:E124,"&lt;=50")</f>
        <v>4</v>
      </c>
      <c r="F207" s="2145">
        <f t="shared" si="225"/>
        <v>5</v>
      </c>
      <c r="G207" s="2145">
        <f t="shared" si="225"/>
        <v>2</v>
      </c>
      <c r="H207" s="2145">
        <f t="shared" si="225"/>
        <v>5</v>
      </c>
      <c r="I207" s="2145">
        <f t="shared" si="225"/>
        <v>4</v>
      </c>
      <c r="J207" s="2145">
        <f t="shared" si="225"/>
        <v>5</v>
      </c>
      <c r="K207" s="2145">
        <f t="shared" si="225"/>
        <v>5</v>
      </c>
      <c r="L207" s="2145">
        <f t="shared" si="225"/>
        <v>5</v>
      </c>
      <c r="M207" s="2145">
        <f t="shared" si="225"/>
        <v>5</v>
      </c>
      <c r="N207" s="2145">
        <f t="shared" si="225"/>
        <v>2</v>
      </c>
      <c r="O207" s="2279">
        <f t="shared" si="225"/>
        <v>2</v>
      </c>
      <c r="P207" s="2245">
        <f t="shared" si="225"/>
        <v>4</v>
      </c>
      <c r="Q207" s="2145">
        <f t="shared" si="225"/>
        <v>3</v>
      </c>
      <c r="R207" s="2145">
        <f t="shared" si="225"/>
        <v>2</v>
      </c>
      <c r="S207" s="2145">
        <f t="shared" si="225"/>
        <v>4</v>
      </c>
      <c r="T207" s="3001">
        <f t="shared" ref="T207:U207" si="226">COUNTIF(T120:T124,"&lt;=50")</f>
        <v>3</v>
      </c>
      <c r="U207" s="3001">
        <f t="shared" si="226"/>
        <v>0</v>
      </c>
      <c r="V207" s="2875"/>
      <c r="W207" s="2875"/>
      <c r="X207" s="2145">
        <f t="shared" si="225"/>
        <v>4</v>
      </c>
      <c r="Y207" s="3282">
        <f t="shared" ref="Y207:AA207" si="227">COUNTIF(Y120:Y124,"&lt;=50")</f>
        <v>2</v>
      </c>
      <c r="Z207" s="3282">
        <f t="shared" si="227"/>
        <v>0</v>
      </c>
      <c r="AA207" s="3282">
        <f t="shared" si="227"/>
        <v>4</v>
      </c>
      <c r="AB207" s="3489">
        <f t="shared" ref="AB207:AE207" si="228">COUNTIF(AB120:AB124,"&lt;=50")</f>
        <v>3</v>
      </c>
      <c r="AC207" s="3489">
        <f t="shared" si="228"/>
        <v>0</v>
      </c>
      <c r="AD207" s="3489">
        <f t="shared" si="228"/>
        <v>0</v>
      </c>
      <c r="AE207" s="3489">
        <f t="shared" si="228"/>
        <v>0</v>
      </c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  <c r="BW207" s="61"/>
      <c r="BX207" s="61"/>
      <c r="BY207" s="61"/>
      <c r="BZ207" s="61"/>
      <c r="CA207" s="61"/>
      <c r="CB207" s="61"/>
      <c r="CC207" s="61"/>
      <c r="CD207" s="61"/>
      <c r="CE207" s="61"/>
      <c r="CF207" s="61"/>
      <c r="CG207" s="61"/>
      <c r="CH207" s="61"/>
      <c r="CI207" s="61"/>
      <c r="CJ207" s="61"/>
      <c r="CK207" s="61"/>
      <c r="CL207" s="61"/>
      <c r="CM207" s="61"/>
      <c r="CN207" s="61"/>
      <c r="CO207" s="61"/>
      <c r="CP207" s="61"/>
      <c r="CQ207" s="61"/>
      <c r="CR207" s="61"/>
      <c r="CS207" s="61"/>
      <c r="CT207" s="61"/>
      <c r="CU207" s="61"/>
      <c r="CV207" s="61"/>
      <c r="CW207" s="61"/>
      <c r="CX207" s="61"/>
      <c r="CY207" s="61"/>
      <c r="CZ207" s="61"/>
      <c r="DA207" s="61"/>
      <c r="DB207" s="61"/>
      <c r="DC207" s="61"/>
      <c r="DD207" s="61"/>
      <c r="DE207" s="61"/>
      <c r="DF207" s="61"/>
      <c r="DG207" s="61"/>
      <c r="DH207" s="61"/>
      <c r="DI207" s="61"/>
      <c r="DJ207" s="61"/>
      <c r="DK207" s="61"/>
      <c r="DL207" s="61"/>
      <c r="DM207" s="61"/>
      <c r="DN207" s="61"/>
      <c r="DO207" s="61"/>
      <c r="DP207" s="61"/>
      <c r="DQ207" s="61"/>
      <c r="DR207" s="61"/>
      <c r="DS207" s="61"/>
      <c r="DT207" s="61"/>
      <c r="DU207" s="61"/>
      <c r="DV207" s="61"/>
      <c r="DW207" s="61"/>
    </row>
    <row r="208" spans="1:127">
      <c r="A208" s="3570"/>
      <c r="B208" s="3622"/>
      <c r="C208" s="3625"/>
      <c r="D208" s="2146">
        <f>COUNT(D120:D124)</f>
        <v>5</v>
      </c>
      <c r="E208" s="2146">
        <f t="shared" ref="E208:X208" si="229">COUNT(E120:E124)</f>
        <v>5</v>
      </c>
      <c r="F208" s="2146">
        <f t="shared" si="229"/>
        <v>5</v>
      </c>
      <c r="G208" s="2146">
        <f t="shared" si="229"/>
        <v>5</v>
      </c>
      <c r="H208" s="2146">
        <f t="shared" si="229"/>
        <v>5</v>
      </c>
      <c r="I208" s="2146">
        <f t="shared" si="229"/>
        <v>5</v>
      </c>
      <c r="J208" s="2146">
        <f t="shared" si="229"/>
        <v>5</v>
      </c>
      <c r="K208" s="2146">
        <f t="shared" si="229"/>
        <v>5</v>
      </c>
      <c r="L208" s="2146">
        <f t="shared" si="229"/>
        <v>5</v>
      </c>
      <c r="M208" s="2146">
        <f t="shared" si="229"/>
        <v>5</v>
      </c>
      <c r="N208" s="2146">
        <f t="shared" si="229"/>
        <v>5</v>
      </c>
      <c r="O208" s="2280">
        <f t="shared" si="229"/>
        <v>5</v>
      </c>
      <c r="P208" s="2246">
        <f t="shared" si="229"/>
        <v>5</v>
      </c>
      <c r="Q208" s="2146">
        <f t="shared" si="229"/>
        <v>5</v>
      </c>
      <c r="R208" s="2146">
        <f t="shared" si="229"/>
        <v>5</v>
      </c>
      <c r="S208" s="2146">
        <f t="shared" si="229"/>
        <v>5</v>
      </c>
      <c r="T208" s="3002">
        <f t="shared" ref="T208:U208" si="230">COUNT(T120:T124)</f>
        <v>5</v>
      </c>
      <c r="U208" s="3002">
        <f t="shared" si="230"/>
        <v>0</v>
      </c>
      <c r="V208" s="2876"/>
      <c r="W208" s="2876"/>
      <c r="X208" s="2146">
        <f t="shared" si="229"/>
        <v>5</v>
      </c>
      <c r="Y208" s="3283">
        <f t="shared" ref="Y208:AA208" si="231">COUNT(Y120:Y124)</f>
        <v>5</v>
      </c>
      <c r="Z208" s="3283">
        <f t="shared" si="231"/>
        <v>0</v>
      </c>
      <c r="AA208" s="3283">
        <f t="shared" si="231"/>
        <v>5</v>
      </c>
      <c r="AB208" s="3490">
        <f t="shared" ref="AB208:AE208" si="232">COUNT(AB120:AB124)</f>
        <v>5</v>
      </c>
      <c r="AC208" s="3490">
        <f t="shared" si="232"/>
        <v>0</v>
      </c>
      <c r="AD208" s="3490">
        <f t="shared" si="232"/>
        <v>0</v>
      </c>
      <c r="AE208" s="3490">
        <f t="shared" si="232"/>
        <v>0</v>
      </c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  <c r="BW208" s="61"/>
      <c r="BX208" s="61"/>
      <c r="BY208" s="61"/>
      <c r="BZ208" s="61"/>
      <c r="CA208" s="61"/>
      <c r="CB208" s="61"/>
      <c r="CC208" s="61"/>
      <c r="CD208" s="61"/>
      <c r="CE208" s="61"/>
      <c r="CF208" s="61"/>
      <c r="CG208" s="61"/>
      <c r="CH208" s="61"/>
      <c r="CI208" s="61"/>
      <c r="CJ208" s="61"/>
      <c r="CK208" s="61"/>
      <c r="CL208" s="61"/>
      <c r="CM208" s="61"/>
      <c r="CN208" s="61"/>
      <c r="CO208" s="61"/>
      <c r="CP208" s="61"/>
      <c r="CQ208" s="61"/>
      <c r="CR208" s="61"/>
      <c r="CS208" s="61"/>
      <c r="CT208" s="61"/>
      <c r="CU208" s="61"/>
      <c r="CV208" s="61"/>
      <c r="CW208" s="61"/>
      <c r="CX208" s="61"/>
      <c r="CY208" s="61"/>
      <c r="CZ208" s="61"/>
      <c r="DA208" s="61"/>
      <c r="DB208" s="61"/>
      <c r="DC208" s="61"/>
      <c r="DD208" s="61"/>
      <c r="DE208" s="61"/>
      <c r="DF208" s="61"/>
      <c r="DG208" s="61"/>
      <c r="DH208" s="61"/>
      <c r="DI208" s="61"/>
      <c r="DJ208" s="61"/>
      <c r="DK208" s="61"/>
      <c r="DL208" s="61"/>
      <c r="DM208" s="61"/>
      <c r="DN208" s="61"/>
      <c r="DO208" s="61"/>
      <c r="DP208" s="61"/>
      <c r="DQ208" s="61"/>
      <c r="DR208" s="61"/>
      <c r="DS208" s="61"/>
      <c r="DT208" s="61"/>
      <c r="DU208" s="61"/>
      <c r="DV208" s="61"/>
      <c r="DW208" s="61"/>
    </row>
    <row r="209" spans="1:127">
      <c r="A209" s="3571"/>
      <c r="B209" s="3623"/>
      <c r="C209" s="3626"/>
      <c r="D209" s="1557">
        <f t="shared" ref="D209:X209" si="233">D207/D208</f>
        <v>1</v>
      </c>
      <c r="E209" s="1557">
        <f t="shared" si="233"/>
        <v>0.8</v>
      </c>
      <c r="F209" s="1557">
        <f t="shared" si="233"/>
        <v>1</v>
      </c>
      <c r="G209" s="1557">
        <f t="shared" si="233"/>
        <v>0.4</v>
      </c>
      <c r="H209" s="1557">
        <f t="shared" si="233"/>
        <v>1</v>
      </c>
      <c r="I209" s="1557">
        <f t="shared" si="233"/>
        <v>0.8</v>
      </c>
      <c r="J209" s="1557">
        <f t="shared" si="233"/>
        <v>1</v>
      </c>
      <c r="K209" s="1557">
        <f t="shared" si="233"/>
        <v>1</v>
      </c>
      <c r="L209" s="1557">
        <f t="shared" si="233"/>
        <v>1</v>
      </c>
      <c r="M209" s="1557">
        <f t="shared" si="233"/>
        <v>1</v>
      </c>
      <c r="N209" s="1557">
        <f t="shared" si="233"/>
        <v>0.4</v>
      </c>
      <c r="O209" s="2281">
        <f t="shared" si="233"/>
        <v>0.4</v>
      </c>
      <c r="P209" s="2247">
        <f t="shared" si="233"/>
        <v>0.8</v>
      </c>
      <c r="Q209" s="1557">
        <f t="shared" si="233"/>
        <v>0.6</v>
      </c>
      <c r="R209" s="1557">
        <f t="shared" si="233"/>
        <v>0.4</v>
      </c>
      <c r="S209" s="1557">
        <f t="shared" si="233"/>
        <v>0.8</v>
      </c>
      <c r="T209" s="1557">
        <f t="shared" ref="T209:U209" si="234">T207/T208</f>
        <v>0.6</v>
      </c>
      <c r="U209" s="1557" t="e">
        <f t="shared" si="234"/>
        <v>#DIV/0!</v>
      </c>
      <c r="V209" s="1557"/>
      <c r="W209" s="1557"/>
      <c r="X209" s="1557">
        <f t="shared" si="233"/>
        <v>0.8</v>
      </c>
      <c r="Y209" s="1557">
        <f t="shared" ref="Y209:AA209" si="235">Y207/Y208</f>
        <v>0.4</v>
      </c>
      <c r="Z209" s="1557" t="e">
        <f t="shared" si="235"/>
        <v>#DIV/0!</v>
      </c>
      <c r="AA209" s="1557">
        <f t="shared" si="235"/>
        <v>0.8</v>
      </c>
      <c r="AB209" s="1557">
        <f t="shared" ref="AB209:AE209" si="236">AB207/AB208</f>
        <v>0.6</v>
      </c>
      <c r="AC209" s="1557" t="e">
        <f t="shared" si="236"/>
        <v>#DIV/0!</v>
      </c>
      <c r="AD209" s="1557" t="e">
        <f t="shared" si="236"/>
        <v>#DIV/0!</v>
      </c>
      <c r="AE209" s="1557" t="e">
        <f t="shared" si="236"/>
        <v>#DIV/0!</v>
      </c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  <c r="CL209" s="61"/>
      <c r="CM209" s="61"/>
      <c r="CN209" s="61"/>
      <c r="CO209" s="61"/>
      <c r="CP209" s="61"/>
      <c r="CQ209" s="61"/>
      <c r="CR209" s="61"/>
      <c r="CS209" s="61"/>
      <c r="CT209" s="61"/>
      <c r="CU209" s="61"/>
      <c r="CV209" s="61"/>
      <c r="CW209" s="61"/>
      <c r="CX209" s="61"/>
      <c r="CY209" s="61"/>
      <c r="CZ209" s="61"/>
      <c r="DA209" s="61"/>
      <c r="DB209" s="61"/>
      <c r="DC209" s="61"/>
      <c r="DD209" s="61"/>
      <c r="DE209" s="61"/>
      <c r="DF209" s="61"/>
      <c r="DG209" s="61"/>
      <c r="DH209" s="61"/>
      <c r="DI209" s="61"/>
      <c r="DJ209" s="61"/>
      <c r="DK209" s="61"/>
      <c r="DL209" s="61"/>
      <c r="DM209" s="61"/>
      <c r="DN209" s="61"/>
      <c r="DO209" s="61"/>
      <c r="DP209" s="61"/>
      <c r="DQ209" s="61"/>
      <c r="DR209" s="61"/>
      <c r="DS209" s="61"/>
      <c r="DT209" s="61"/>
      <c r="DU209" s="61"/>
      <c r="DV209" s="61"/>
      <c r="DW209" s="61"/>
    </row>
    <row r="210" spans="1:127">
      <c r="A210" s="3572" t="s">
        <v>291</v>
      </c>
      <c r="B210" s="3574"/>
      <c r="C210" s="1104">
        <f>SUM(C162:C207)</f>
        <v>84</v>
      </c>
      <c r="D210" s="1104">
        <f>SUM(D162,D165,D168,D171,D174,D177,D180,D183,D186,D189,D192,D195,D198,D201,D204,D207)</f>
        <v>67</v>
      </c>
      <c r="E210" s="1104">
        <f t="shared" ref="E210:X210" si="237">SUM(E162,E165,E168,E171,E174,E177,E180,E183,E186,E189,E192,E195,E198,E201,E204,E207)</f>
        <v>63</v>
      </c>
      <c r="F210" s="1104">
        <f t="shared" si="237"/>
        <v>61</v>
      </c>
      <c r="G210" s="1104">
        <f t="shared" si="237"/>
        <v>57</v>
      </c>
      <c r="H210" s="1104">
        <f t="shared" si="237"/>
        <v>71</v>
      </c>
      <c r="I210" s="1104">
        <f t="shared" si="237"/>
        <v>67</v>
      </c>
      <c r="J210" s="1104">
        <f t="shared" si="237"/>
        <v>65</v>
      </c>
      <c r="K210" s="1104">
        <f t="shared" si="237"/>
        <v>78</v>
      </c>
      <c r="L210" s="1104">
        <f t="shared" si="237"/>
        <v>64</v>
      </c>
      <c r="M210" s="1104">
        <f t="shared" si="237"/>
        <v>72</v>
      </c>
      <c r="N210" s="1104">
        <f t="shared" si="237"/>
        <v>63</v>
      </c>
      <c r="O210" s="2282">
        <f t="shared" si="237"/>
        <v>44</v>
      </c>
      <c r="P210" s="2248">
        <f t="shared" si="237"/>
        <v>66</v>
      </c>
      <c r="Q210" s="1104">
        <f t="shared" si="237"/>
        <v>58</v>
      </c>
      <c r="R210" s="1104">
        <f t="shared" si="237"/>
        <v>65</v>
      </c>
      <c r="S210" s="1104">
        <f t="shared" si="237"/>
        <v>74</v>
      </c>
      <c r="T210" s="1104">
        <f t="shared" ref="T210:U210" si="238">SUM(T162,T165,T168,T171,T174,T177,T180,T183,T186,T189,T192,T195,T198,T201,T204,T207)</f>
        <v>45</v>
      </c>
      <c r="U210" s="1104">
        <f t="shared" si="238"/>
        <v>30</v>
      </c>
      <c r="V210" s="1104"/>
      <c r="W210" s="1104"/>
      <c r="X210" s="1104">
        <f t="shared" si="237"/>
        <v>74</v>
      </c>
      <c r="Y210" s="1104">
        <f t="shared" ref="Y210:AA210" si="239">SUM(Y162,Y165,Y168,Y171,Y174,Y177,Y180,Y183,Y186,Y189,Y192,Y195,Y198,Y201,Y204,Y207)</f>
        <v>57</v>
      </c>
      <c r="Z210" s="1104">
        <f t="shared" si="239"/>
        <v>53</v>
      </c>
      <c r="AA210" s="1104">
        <f t="shared" si="239"/>
        <v>54</v>
      </c>
      <c r="AB210" s="3491">
        <f t="shared" ref="AB210:AE210" si="240">SUM(AB162,AB165,AB168,AB171,AB174,AB177,AB180,AB183,AB186,AB189,AB192,AB195,AB198,AB201,AB204,AB207)</f>
        <v>66</v>
      </c>
      <c r="AC210" s="3491">
        <f t="shared" si="240"/>
        <v>0</v>
      </c>
      <c r="AD210" s="3491">
        <f t="shared" si="240"/>
        <v>0</v>
      </c>
      <c r="AE210" s="3491">
        <f t="shared" si="240"/>
        <v>0</v>
      </c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1"/>
      <c r="CM210" s="61"/>
      <c r="CN210" s="61"/>
      <c r="CO210" s="61"/>
      <c r="CP210" s="61"/>
      <c r="CQ210" s="61"/>
      <c r="CR210" s="61"/>
      <c r="CS210" s="61"/>
      <c r="CT210" s="61"/>
      <c r="CU210" s="61"/>
      <c r="CV210" s="61"/>
      <c r="CW210" s="61"/>
      <c r="CX210" s="61"/>
      <c r="CY210" s="61"/>
      <c r="CZ210" s="61"/>
      <c r="DA210" s="61"/>
      <c r="DB210" s="61"/>
      <c r="DC210" s="61"/>
      <c r="DD210" s="61"/>
      <c r="DE210" s="61"/>
      <c r="DF210" s="61"/>
      <c r="DG210" s="61"/>
      <c r="DH210" s="61"/>
      <c r="DI210" s="61"/>
      <c r="DJ210" s="61"/>
      <c r="DK210" s="61"/>
      <c r="DL210" s="61"/>
      <c r="DM210" s="61"/>
      <c r="DN210" s="61"/>
      <c r="DO210" s="61"/>
      <c r="DP210" s="61"/>
      <c r="DQ210" s="61"/>
      <c r="DR210" s="61"/>
      <c r="DS210" s="61"/>
      <c r="DT210" s="61"/>
      <c r="DU210" s="61"/>
      <c r="DV210" s="61"/>
      <c r="DW210" s="61"/>
    </row>
    <row r="211" spans="1:127">
      <c r="A211" s="3575"/>
      <c r="B211" s="3577"/>
      <c r="C211" s="1375" t="s">
        <v>305</v>
      </c>
      <c r="D211" s="1104">
        <f>SUM(D163,D166,D169,D172,D175,D178,D181,D184,D187,D190,D193,D196,D199,D202,D205,D208)</f>
        <v>70</v>
      </c>
      <c r="E211" s="1104">
        <f t="shared" ref="E211:X211" si="241">SUM(E163,E166,E169,E172,E175,E178,E181,E184,E187,E190,E193,E196,E199,E202,E205,E208)</f>
        <v>71</v>
      </c>
      <c r="F211" s="1104">
        <f t="shared" si="241"/>
        <v>74</v>
      </c>
      <c r="G211" s="1104">
        <f t="shared" si="241"/>
        <v>74</v>
      </c>
      <c r="H211" s="1104">
        <f t="shared" si="241"/>
        <v>73</v>
      </c>
      <c r="I211" s="1104">
        <f t="shared" si="241"/>
        <v>79</v>
      </c>
      <c r="J211" s="1104">
        <f t="shared" si="241"/>
        <v>79</v>
      </c>
      <c r="K211" s="1104">
        <f t="shared" si="241"/>
        <v>79</v>
      </c>
      <c r="L211" s="1104">
        <f t="shared" si="241"/>
        <v>80</v>
      </c>
      <c r="M211" s="1104">
        <f t="shared" si="241"/>
        <v>84</v>
      </c>
      <c r="N211" s="1104">
        <f t="shared" si="241"/>
        <v>84</v>
      </c>
      <c r="O211" s="2282">
        <f t="shared" si="241"/>
        <v>53</v>
      </c>
      <c r="P211" s="2248">
        <f t="shared" si="241"/>
        <v>79</v>
      </c>
      <c r="Q211" s="1104">
        <f t="shared" si="241"/>
        <v>70</v>
      </c>
      <c r="R211" s="1104">
        <f t="shared" si="241"/>
        <v>79</v>
      </c>
      <c r="S211" s="1104">
        <f t="shared" si="241"/>
        <v>84</v>
      </c>
      <c r="T211" s="1104">
        <f t="shared" ref="T211:U211" si="242">SUM(T163,T166,T169,T172,T175,T178,T181,T184,T187,T190,T193,T196,T199,T202,T205,T208)</f>
        <v>58</v>
      </c>
      <c r="U211" s="1104">
        <f t="shared" si="242"/>
        <v>38</v>
      </c>
      <c r="V211" s="1104"/>
      <c r="W211" s="1104"/>
      <c r="X211" s="1104">
        <f t="shared" si="241"/>
        <v>77</v>
      </c>
      <c r="Y211" s="1104">
        <f t="shared" ref="Y211:AA211" si="243">SUM(Y163,Y166,Y169,Y172,Y175,Y178,Y181,Y184,Y187,Y190,Y193,Y196,Y199,Y202,Y205,Y208)</f>
        <v>76</v>
      </c>
      <c r="Z211" s="1104">
        <f t="shared" si="243"/>
        <v>64</v>
      </c>
      <c r="AA211" s="1104">
        <f t="shared" si="243"/>
        <v>67</v>
      </c>
      <c r="AB211" s="3491">
        <f t="shared" ref="AB211:AE211" si="244">SUM(AB163,AB166,AB169,AB172,AB175,AB178,AB181,AB184,AB187,AB190,AB193,AB196,AB199,AB202,AB205,AB208)</f>
        <v>81</v>
      </c>
      <c r="AC211" s="3491">
        <f t="shared" si="244"/>
        <v>0</v>
      </c>
      <c r="AD211" s="3491">
        <f t="shared" si="244"/>
        <v>0</v>
      </c>
      <c r="AE211" s="3491">
        <f t="shared" si="244"/>
        <v>0</v>
      </c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61"/>
      <c r="DA211" s="61"/>
      <c r="DB211" s="61"/>
      <c r="DC211" s="61"/>
      <c r="DD211" s="61"/>
      <c r="DE211" s="61"/>
      <c r="DF211" s="61"/>
      <c r="DG211" s="61"/>
      <c r="DH211" s="61"/>
      <c r="DI211" s="61"/>
      <c r="DJ211" s="61"/>
      <c r="DK211" s="61"/>
      <c r="DL211" s="61"/>
      <c r="DM211" s="61"/>
      <c r="DN211" s="61"/>
      <c r="DO211" s="61"/>
      <c r="DP211" s="61"/>
      <c r="DQ211" s="61"/>
      <c r="DR211" s="61"/>
      <c r="DS211" s="61"/>
      <c r="DT211" s="61"/>
      <c r="DU211" s="61"/>
      <c r="DV211" s="61"/>
      <c r="DW211" s="61"/>
    </row>
    <row r="212" spans="1:127">
      <c r="A212" s="3578"/>
      <c r="B212" s="3580"/>
      <c r="C212" s="1100" t="s">
        <v>302</v>
      </c>
      <c r="D212" s="1105">
        <f>D210/D211</f>
        <v>0.95714285714285718</v>
      </c>
      <c r="E212" s="1105">
        <f t="shared" ref="E212:X212" si="245">E210/E211</f>
        <v>0.88732394366197187</v>
      </c>
      <c r="F212" s="1105">
        <f t="shared" si="245"/>
        <v>0.82432432432432434</v>
      </c>
      <c r="G212" s="1105">
        <f t="shared" si="245"/>
        <v>0.77027027027027029</v>
      </c>
      <c r="H212" s="1105">
        <f t="shared" si="245"/>
        <v>0.9726027397260274</v>
      </c>
      <c r="I212" s="1105">
        <f t="shared" si="245"/>
        <v>0.84810126582278478</v>
      </c>
      <c r="J212" s="1105">
        <f t="shared" si="245"/>
        <v>0.82278481012658233</v>
      </c>
      <c r="K212" s="1105">
        <f t="shared" si="245"/>
        <v>0.98734177215189878</v>
      </c>
      <c r="L212" s="1105">
        <f t="shared" si="245"/>
        <v>0.8</v>
      </c>
      <c r="M212" s="1105">
        <f t="shared" si="245"/>
        <v>0.8571428571428571</v>
      </c>
      <c r="N212" s="1105">
        <f t="shared" si="245"/>
        <v>0.75</v>
      </c>
      <c r="O212" s="2283">
        <f t="shared" si="245"/>
        <v>0.83018867924528306</v>
      </c>
      <c r="P212" s="2249">
        <f t="shared" si="245"/>
        <v>0.83544303797468356</v>
      </c>
      <c r="Q212" s="1105">
        <f t="shared" si="245"/>
        <v>0.82857142857142863</v>
      </c>
      <c r="R212" s="1105">
        <f t="shared" si="245"/>
        <v>0.82278481012658233</v>
      </c>
      <c r="S212" s="1105">
        <f t="shared" si="245"/>
        <v>0.88095238095238093</v>
      </c>
      <c r="T212" s="1105">
        <f t="shared" ref="T212:U212" si="246">T210/T211</f>
        <v>0.77586206896551724</v>
      </c>
      <c r="U212" s="1105">
        <f t="shared" si="246"/>
        <v>0.78947368421052633</v>
      </c>
      <c r="V212" s="1105"/>
      <c r="W212" s="1105"/>
      <c r="X212" s="1105">
        <f t="shared" si="245"/>
        <v>0.96103896103896103</v>
      </c>
      <c r="Y212" s="1105">
        <f t="shared" ref="Y212:AA212" si="247">Y210/Y211</f>
        <v>0.75</v>
      </c>
      <c r="Z212" s="1105">
        <f t="shared" si="247"/>
        <v>0.828125</v>
      </c>
      <c r="AA212" s="1105">
        <f t="shared" si="247"/>
        <v>0.80597014925373134</v>
      </c>
      <c r="AB212" s="1105">
        <f t="shared" ref="AB212:AE212" si="248">AB210/AB211</f>
        <v>0.81481481481481477</v>
      </c>
      <c r="AC212" s="1105" t="e">
        <f t="shared" si="248"/>
        <v>#DIV/0!</v>
      </c>
      <c r="AD212" s="1105" t="e">
        <f t="shared" si="248"/>
        <v>#DIV/0!</v>
      </c>
      <c r="AE212" s="1105" t="e">
        <f t="shared" si="248"/>
        <v>#DIV/0!</v>
      </c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61"/>
      <c r="DA212" s="61"/>
      <c r="DB212" s="61"/>
      <c r="DC212" s="61"/>
      <c r="DD212" s="61"/>
      <c r="DE212" s="61"/>
      <c r="DF212" s="61"/>
      <c r="DG212" s="61"/>
      <c r="DH212" s="61"/>
      <c r="DI212" s="61"/>
      <c r="DJ212" s="61"/>
      <c r="DK212" s="61"/>
      <c r="DL212" s="61"/>
      <c r="DM212" s="61"/>
      <c r="DN212" s="61"/>
      <c r="DO212" s="61"/>
      <c r="DP212" s="61"/>
      <c r="DQ212" s="61"/>
      <c r="DR212" s="61"/>
      <c r="DS212" s="61"/>
      <c r="DT212" s="61"/>
      <c r="DU212" s="61"/>
      <c r="DV212" s="61"/>
      <c r="DW212" s="61"/>
    </row>
    <row r="213" spans="1:127"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70"/>
      <c r="N213" s="70"/>
      <c r="O213" s="2284"/>
      <c r="P213" s="2250"/>
      <c r="Q213" s="70"/>
      <c r="R213" s="70"/>
      <c r="S213" s="70"/>
      <c r="T213" s="70"/>
      <c r="U213" s="70"/>
      <c r="V213" s="70"/>
      <c r="W213" s="70"/>
      <c r="X213" s="70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  <c r="BY213" s="61"/>
      <c r="BZ213" s="61"/>
      <c r="CA213" s="61"/>
      <c r="CB213" s="61"/>
      <c r="CC213" s="61"/>
      <c r="CD213" s="61"/>
      <c r="CE213" s="61"/>
      <c r="CF213" s="61"/>
      <c r="CG213" s="61"/>
      <c r="CH213" s="61"/>
      <c r="CI213" s="61"/>
      <c r="CJ213" s="61"/>
      <c r="CK213" s="61"/>
      <c r="CL213" s="61"/>
      <c r="CM213" s="61"/>
      <c r="CN213" s="61"/>
      <c r="CO213" s="61"/>
      <c r="CP213" s="61"/>
      <c r="CQ213" s="61"/>
      <c r="CR213" s="61"/>
      <c r="CS213" s="61"/>
      <c r="CT213" s="61"/>
      <c r="CU213" s="61"/>
      <c r="CV213" s="61"/>
      <c r="CW213" s="61"/>
      <c r="CX213" s="61"/>
      <c r="CY213" s="61"/>
      <c r="CZ213" s="61"/>
      <c r="DA213" s="61"/>
      <c r="DB213" s="61"/>
      <c r="DC213" s="61"/>
      <c r="DD213" s="61"/>
      <c r="DE213" s="61"/>
      <c r="DF213" s="61"/>
      <c r="DG213" s="61"/>
      <c r="DH213" s="61"/>
      <c r="DI213" s="61"/>
      <c r="DJ213" s="61"/>
      <c r="DK213" s="61"/>
      <c r="DL213" s="61"/>
      <c r="DM213" s="61"/>
      <c r="DN213" s="61"/>
      <c r="DO213" s="61"/>
      <c r="DP213" s="61"/>
      <c r="DQ213" s="61"/>
      <c r="DR213" s="61"/>
      <c r="DS213" s="61"/>
      <c r="DT213" s="61"/>
      <c r="DU213" s="61"/>
      <c r="DV213" s="61"/>
      <c r="DW213" s="61"/>
    </row>
    <row r="214" spans="1:127"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70"/>
      <c r="N214" s="70"/>
      <c r="O214" s="2284"/>
      <c r="P214" s="2250"/>
      <c r="Q214" s="70"/>
      <c r="R214" s="70"/>
      <c r="S214" s="70"/>
      <c r="T214" s="70"/>
      <c r="U214" s="70"/>
      <c r="V214" s="70"/>
      <c r="W214" s="70"/>
      <c r="X214" s="70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1"/>
      <c r="CD214" s="61"/>
      <c r="CE214" s="61"/>
      <c r="CF214" s="61"/>
      <c r="CG214" s="61"/>
      <c r="CH214" s="61"/>
      <c r="CI214" s="61"/>
      <c r="CJ214" s="61"/>
      <c r="CK214" s="61"/>
      <c r="CL214" s="61"/>
      <c r="CM214" s="61"/>
      <c r="CN214" s="61"/>
      <c r="CO214" s="61"/>
      <c r="CP214" s="61"/>
      <c r="CQ214" s="61"/>
      <c r="CR214" s="61"/>
      <c r="CS214" s="61"/>
      <c r="CT214" s="61"/>
      <c r="CU214" s="61"/>
      <c r="CV214" s="61"/>
      <c r="CW214" s="61"/>
      <c r="CX214" s="61"/>
      <c r="CY214" s="61"/>
      <c r="CZ214" s="61"/>
      <c r="DA214" s="61"/>
      <c r="DB214" s="61"/>
      <c r="DC214" s="61"/>
      <c r="DD214" s="61"/>
      <c r="DE214" s="61"/>
      <c r="DF214" s="61"/>
      <c r="DG214" s="61"/>
      <c r="DH214" s="61"/>
      <c r="DI214" s="61"/>
      <c r="DJ214" s="61"/>
      <c r="DK214" s="61"/>
      <c r="DL214" s="61"/>
      <c r="DM214" s="61"/>
      <c r="DN214" s="61"/>
      <c r="DO214" s="61"/>
      <c r="DP214" s="61"/>
      <c r="DQ214" s="61"/>
      <c r="DR214" s="61"/>
      <c r="DS214" s="61"/>
      <c r="DT214" s="61"/>
      <c r="DU214" s="61"/>
      <c r="DV214" s="61"/>
      <c r="DW214" s="61"/>
    </row>
    <row r="215" spans="1:127"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70"/>
      <c r="N215" s="70"/>
      <c r="O215" s="2284"/>
      <c r="P215" s="2250"/>
      <c r="Q215" s="70"/>
      <c r="R215" s="70"/>
      <c r="S215" s="70"/>
      <c r="T215" s="70"/>
      <c r="U215" s="70"/>
      <c r="V215" s="70"/>
      <c r="W215" s="70"/>
      <c r="X215" s="70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  <c r="BW215" s="61"/>
      <c r="BX215" s="61"/>
      <c r="BY215" s="61"/>
      <c r="BZ215" s="61"/>
      <c r="CA215" s="61"/>
      <c r="CB215" s="61"/>
      <c r="CC215" s="61"/>
      <c r="CD215" s="61"/>
      <c r="CE215" s="61"/>
      <c r="CF215" s="61"/>
      <c r="CG215" s="61"/>
      <c r="CH215" s="61"/>
      <c r="CI215" s="61"/>
      <c r="CJ215" s="61"/>
      <c r="CK215" s="61"/>
      <c r="CL215" s="61"/>
      <c r="CM215" s="61"/>
      <c r="CN215" s="61"/>
      <c r="CO215" s="61"/>
      <c r="CP215" s="61"/>
      <c r="CQ215" s="61"/>
      <c r="CR215" s="61"/>
      <c r="CS215" s="61"/>
      <c r="CT215" s="61"/>
      <c r="CU215" s="61"/>
      <c r="CV215" s="61"/>
      <c r="CW215" s="61"/>
      <c r="CX215" s="61"/>
      <c r="CY215" s="61"/>
      <c r="CZ215" s="61"/>
      <c r="DA215" s="61"/>
      <c r="DB215" s="61"/>
      <c r="DC215" s="61"/>
      <c r="DD215" s="61"/>
      <c r="DE215" s="61"/>
      <c r="DF215" s="61"/>
      <c r="DG215" s="61"/>
      <c r="DH215" s="61"/>
      <c r="DI215" s="61"/>
      <c r="DJ215" s="61"/>
      <c r="DK215" s="61"/>
      <c r="DL215" s="61"/>
      <c r="DM215" s="61"/>
      <c r="DN215" s="61"/>
      <c r="DO215" s="61"/>
      <c r="DP215" s="61"/>
      <c r="DQ215" s="61"/>
      <c r="DR215" s="61"/>
      <c r="DS215" s="61"/>
      <c r="DT215" s="61"/>
      <c r="DU215" s="61"/>
      <c r="DV215" s="61"/>
      <c r="DW215" s="61"/>
    </row>
    <row r="216" spans="1:127"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70"/>
      <c r="N216" s="70"/>
      <c r="O216" s="2284"/>
      <c r="P216" s="2250"/>
      <c r="Q216" s="70"/>
      <c r="R216" s="70"/>
      <c r="S216" s="70"/>
      <c r="T216" s="70"/>
      <c r="U216" s="70"/>
      <c r="V216" s="70"/>
      <c r="W216" s="70"/>
      <c r="X216" s="70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61"/>
      <c r="BX216" s="61"/>
      <c r="BY216" s="61"/>
      <c r="BZ216" s="61"/>
      <c r="CA216" s="61"/>
      <c r="CB216" s="61"/>
      <c r="CC216" s="61"/>
      <c r="CD216" s="61"/>
      <c r="CE216" s="61"/>
      <c r="CF216" s="61"/>
      <c r="CG216" s="61"/>
      <c r="CH216" s="61"/>
      <c r="CI216" s="61"/>
      <c r="CJ216" s="61"/>
      <c r="CK216" s="61"/>
      <c r="CL216" s="61"/>
      <c r="CM216" s="61"/>
      <c r="CN216" s="61"/>
      <c r="CO216" s="61"/>
      <c r="CP216" s="61"/>
      <c r="CQ216" s="61"/>
      <c r="CR216" s="61"/>
      <c r="CS216" s="61"/>
      <c r="CT216" s="61"/>
      <c r="CU216" s="61"/>
      <c r="CV216" s="61"/>
      <c r="CW216" s="61"/>
      <c r="CX216" s="61"/>
      <c r="CY216" s="61"/>
      <c r="CZ216" s="61"/>
      <c r="DA216" s="61"/>
      <c r="DB216" s="61"/>
      <c r="DC216" s="61"/>
      <c r="DD216" s="61"/>
      <c r="DE216" s="61"/>
      <c r="DF216" s="61"/>
      <c r="DG216" s="61"/>
      <c r="DH216" s="61"/>
      <c r="DI216" s="61"/>
      <c r="DJ216" s="61"/>
      <c r="DK216" s="61"/>
      <c r="DL216" s="61"/>
      <c r="DM216" s="61"/>
      <c r="DN216" s="61"/>
      <c r="DO216" s="61"/>
      <c r="DP216" s="61"/>
      <c r="DQ216" s="61"/>
      <c r="DR216" s="61"/>
      <c r="DS216" s="61"/>
      <c r="DT216" s="61"/>
      <c r="DU216" s="61"/>
      <c r="DV216" s="61"/>
      <c r="DW216" s="61"/>
    </row>
    <row r="217" spans="1:127"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70"/>
      <c r="N217" s="70"/>
      <c r="O217" s="2284"/>
      <c r="P217" s="2250"/>
      <c r="Q217" s="70"/>
      <c r="R217" s="70"/>
      <c r="S217" s="70"/>
      <c r="T217" s="70"/>
      <c r="U217" s="70"/>
      <c r="V217" s="70"/>
      <c r="W217" s="70"/>
      <c r="X217" s="70"/>
      <c r="Y217" s="61"/>
      <c r="Z217" s="61"/>
      <c r="AA217" s="61"/>
    </row>
    <row r="218" spans="1:127"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70"/>
      <c r="N218" s="70"/>
      <c r="O218" s="2284"/>
      <c r="P218" s="2250"/>
      <c r="Q218" s="70"/>
      <c r="R218" s="70"/>
      <c r="S218" s="70"/>
      <c r="T218" s="70"/>
      <c r="U218" s="70"/>
      <c r="V218" s="70"/>
      <c r="W218" s="70"/>
      <c r="X218" s="70"/>
      <c r="Y218" s="61"/>
      <c r="Z218" s="61"/>
      <c r="AA218" s="61"/>
    </row>
    <row r="219" spans="1:127"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70"/>
      <c r="N219" s="70"/>
      <c r="O219" s="2284"/>
      <c r="P219" s="2250"/>
      <c r="Q219" s="70"/>
      <c r="R219" s="70"/>
      <c r="S219" s="70"/>
      <c r="T219" s="70"/>
      <c r="U219" s="70"/>
      <c r="V219" s="70"/>
      <c r="W219" s="70"/>
      <c r="X219" s="70"/>
      <c r="Y219" s="61"/>
      <c r="Z219" s="61"/>
      <c r="AA219" s="61"/>
    </row>
    <row r="220" spans="1:127"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70"/>
      <c r="N220" s="70"/>
      <c r="O220" s="2284"/>
      <c r="P220" s="2250"/>
      <c r="Q220" s="70"/>
      <c r="R220" s="70"/>
      <c r="S220" s="70"/>
      <c r="T220" s="70"/>
      <c r="U220" s="70"/>
      <c r="V220" s="70"/>
      <c r="W220" s="70"/>
      <c r="X220" s="70"/>
      <c r="Y220" s="61"/>
      <c r="Z220" s="61"/>
      <c r="AA220" s="61"/>
    </row>
    <row r="221" spans="1:127"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70"/>
      <c r="N221" s="70"/>
      <c r="O221" s="2284"/>
      <c r="P221" s="2250"/>
      <c r="Q221" s="70"/>
      <c r="R221" s="70"/>
      <c r="S221" s="70"/>
      <c r="T221" s="70"/>
      <c r="U221" s="70"/>
      <c r="V221" s="70"/>
      <c r="W221" s="70"/>
      <c r="X221" s="70"/>
      <c r="Y221" s="61"/>
      <c r="Z221" s="61"/>
      <c r="AA221" s="61"/>
    </row>
    <row r="222" spans="1:127"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70"/>
      <c r="N222" s="70"/>
      <c r="O222" s="2284"/>
      <c r="P222" s="2250"/>
      <c r="Q222" s="70"/>
      <c r="R222" s="70"/>
      <c r="S222" s="70"/>
      <c r="T222" s="70"/>
      <c r="U222" s="70"/>
      <c r="V222" s="70"/>
      <c r="W222" s="70"/>
      <c r="X222" s="70"/>
      <c r="Y222" s="61"/>
      <c r="Z222" s="61"/>
      <c r="AA222" s="61"/>
    </row>
    <row r="223" spans="1:127"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70"/>
      <c r="N223" s="70"/>
      <c r="O223" s="2284"/>
      <c r="P223" s="2250"/>
      <c r="Q223" s="70"/>
      <c r="R223" s="70"/>
      <c r="S223" s="70"/>
      <c r="T223" s="70"/>
      <c r="U223" s="70"/>
      <c r="V223" s="70"/>
      <c r="W223" s="70"/>
      <c r="X223" s="70"/>
      <c r="Y223" s="61"/>
      <c r="Z223" s="61"/>
      <c r="AA223" s="61"/>
    </row>
    <row r="224" spans="1:127"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70"/>
      <c r="N224" s="70"/>
      <c r="O224" s="2284"/>
      <c r="P224" s="2250"/>
      <c r="Q224" s="70"/>
      <c r="R224" s="70"/>
      <c r="S224" s="70"/>
      <c r="T224" s="70"/>
      <c r="U224" s="70"/>
      <c r="V224" s="70"/>
      <c r="W224" s="70"/>
      <c r="X224" s="70"/>
      <c r="Y224" s="61"/>
      <c r="Z224" s="61"/>
      <c r="AA224" s="61"/>
    </row>
    <row r="225" spans="3:27"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70"/>
      <c r="N225" s="70"/>
      <c r="O225" s="2284"/>
      <c r="P225" s="2250"/>
      <c r="Q225" s="70"/>
      <c r="R225" s="70"/>
      <c r="S225" s="70"/>
      <c r="T225" s="70"/>
      <c r="U225" s="70"/>
      <c r="V225" s="70"/>
      <c r="W225" s="70"/>
      <c r="X225" s="70"/>
      <c r="Y225" s="61"/>
      <c r="Z225" s="61"/>
      <c r="AA225" s="61"/>
    </row>
    <row r="226" spans="3:27"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70"/>
      <c r="N226" s="70"/>
      <c r="O226" s="2284"/>
      <c r="P226" s="2250"/>
      <c r="Q226" s="70"/>
      <c r="R226" s="70"/>
      <c r="S226" s="70"/>
      <c r="T226" s="70"/>
      <c r="U226" s="70"/>
      <c r="V226" s="70"/>
      <c r="W226" s="70"/>
      <c r="X226" s="70"/>
      <c r="Y226" s="61"/>
      <c r="Z226" s="61"/>
      <c r="AA226" s="61"/>
    </row>
    <row r="227" spans="3:27"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70"/>
      <c r="N227" s="70"/>
      <c r="O227" s="2284"/>
      <c r="P227" s="2250"/>
      <c r="Q227" s="70"/>
      <c r="R227" s="70"/>
      <c r="S227" s="70"/>
      <c r="T227" s="70"/>
      <c r="U227" s="70"/>
      <c r="V227" s="70"/>
      <c r="W227" s="70"/>
      <c r="X227" s="70"/>
      <c r="Y227" s="61"/>
      <c r="Z227" s="61"/>
      <c r="AA227" s="61"/>
    </row>
    <row r="228" spans="3:27"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70"/>
      <c r="N228" s="70"/>
      <c r="O228" s="2284"/>
      <c r="P228" s="2250"/>
      <c r="Q228" s="70"/>
      <c r="R228" s="70"/>
      <c r="S228" s="70"/>
      <c r="T228" s="70"/>
      <c r="U228" s="70"/>
      <c r="V228" s="70"/>
      <c r="W228" s="70"/>
      <c r="X228" s="70"/>
      <c r="Y228" s="61"/>
      <c r="Z228" s="61"/>
      <c r="AA228" s="61"/>
    </row>
    <row r="229" spans="3:27">
      <c r="M229" s="61"/>
      <c r="N229" s="61"/>
      <c r="O229" s="67"/>
      <c r="P229" s="92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</row>
    <row r="230" spans="3:27">
      <c r="M230" s="61"/>
      <c r="N230" s="61"/>
      <c r="O230" s="67"/>
      <c r="P230" s="92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</row>
    <row r="231" spans="3:27">
      <c r="M231" s="61"/>
      <c r="N231" s="61"/>
      <c r="O231" s="67"/>
      <c r="P231" s="92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</row>
    <row r="232" spans="3:27">
      <c r="M232" s="61"/>
      <c r="N232" s="61"/>
      <c r="O232" s="67"/>
      <c r="P232" s="92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</row>
  </sheetData>
  <sortState ref="A15:M48">
    <sortCondition ref="A15:A48"/>
  </sortState>
  <mergeCells count="66">
    <mergeCell ref="C207:C209"/>
    <mergeCell ref="B207:B209"/>
    <mergeCell ref="C162:C164"/>
    <mergeCell ref="C165:C167"/>
    <mergeCell ref="C168:C170"/>
    <mergeCell ref="C171:C173"/>
    <mergeCell ref="C174:C176"/>
    <mergeCell ref="C177:C179"/>
    <mergeCell ref="C180:C182"/>
    <mergeCell ref="C183:C185"/>
    <mergeCell ref="C186:C188"/>
    <mergeCell ref="C189:C191"/>
    <mergeCell ref="C192:C194"/>
    <mergeCell ref="C195:C197"/>
    <mergeCell ref="C198:C200"/>
    <mergeCell ref="C201:C203"/>
    <mergeCell ref="C204:C206"/>
    <mergeCell ref="B192:B194"/>
    <mergeCell ref="B195:B197"/>
    <mergeCell ref="B198:B200"/>
    <mergeCell ref="B201:B203"/>
    <mergeCell ref="B204:B206"/>
    <mergeCell ref="A210:B212"/>
    <mergeCell ref="A198:A209"/>
    <mergeCell ref="A189:A197"/>
    <mergeCell ref="A162:A188"/>
    <mergeCell ref="B162:B164"/>
    <mergeCell ref="B165:B167"/>
    <mergeCell ref="B168:B170"/>
    <mergeCell ref="B171:B173"/>
    <mergeCell ref="B174:B176"/>
    <mergeCell ref="B177:B179"/>
    <mergeCell ref="B180:B182"/>
    <mergeCell ref="B183:B185"/>
    <mergeCell ref="B186:B188"/>
    <mergeCell ref="B189:B191"/>
    <mergeCell ref="A159:A161"/>
    <mergeCell ref="B159:B161"/>
    <mergeCell ref="C159:C161"/>
    <mergeCell ref="D159:X159"/>
    <mergeCell ref="D160:G160"/>
    <mergeCell ref="H160:K160"/>
    <mergeCell ref="L160:O160"/>
    <mergeCell ref="P160:S160"/>
    <mergeCell ref="T160:W160"/>
    <mergeCell ref="X160:AA160"/>
    <mergeCell ref="D2:N3"/>
    <mergeCell ref="F6:L6"/>
    <mergeCell ref="E5:M5"/>
    <mergeCell ref="C8:C9"/>
    <mergeCell ref="D8:G8"/>
    <mergeCell ref="H8:K8"/>
    <mergeCell ref="A8:A9"/>
    <mergeCell ref="N136:Q137"/>
    <mergeCell ref="F136:I137"/>
    <mergeCell ref="B130:B132"/>
    <mergeCell ref="A47:A50"/>
    <mergeCell ref="A51:A53"/>
    <mergeCell ref="A54:A56"/>
    <mergeCell ref="A57:A59"/>
    <mergeCell ref="A60:A62"/>
    <mergeCell ref="AB160:AE160"/>
    <mergeCell ref="AB8:AE8"/>
    <mergeCell ref="X8:AA8"/>
    <mergeCell ref="T8:W8"/>
    <mergeCell ref="P8:S8"/>
  </mergeCells>
  <conditionalFormatting sqref="D69:W94 D139:W152 D101:P124 R101:W124 D13:P62 R13:W62 Y47:AE62">
    <cfRule type="cellIs" dxfId="171" priority="89" operator="lessThanOrEqual">
      <formula>50</formula>
    </cfRule>
  </conditionalFormatting>
  <conditionalFormatting sqref="D13:O62 Y47:AE62">
    <cfRule type="cellIs" dxfId="170" priority="37" operator="greaterThan">
      <formula>50</formula>
    </cfRule>
    <cfRule type="cellIs" dxfId="169" priority="38" operator="lessThan">
      <formula>50</formula>
    </cfRule>
    <cfRule type="cellIs" dxfId="168" priority="39" operator="lessThan">
      <formula>50</formula>
    </cfRule>
  </conditionalFormatting>
  <conditionalFormatting sqref="D69:W94">
    <cfRule type="cellIs" dxfId="167" priority="35" operator="greaterThan">
      <formula>50</formula>
    </cfRule>
    <cfRule type="cellIs" dxfId="166" priority="36" operator="lessThan">
      <formula>50</formula>
    </cfRule>
  </conditionalFormatting>
  <conditionalFormatting sqref="D139:W152 D101:P124 R101:W124">
    <cfRule type="cellIs" dxfId="165" priority="33" operator="lessThan">
      <formula>50</formula>
    </cfRule>
    <cfRule type="cellIs" dxfId="164" priority="34" operator="greaterThan">
      <formula>50</formula>
    </cfRule>
  </conditionalFormatting>
  <conditionalFormatting sqref="X85:X94">
    <cfRule type="cellIs" dxfId="163" priority="28" operator="lessThan">
      <formula>41.5</formula>
    </cfRule>
    <cfRule type="cellIs" dxfId="162" priority="29" operator="lessThan">
      <formula>50</formula>
    </cfRule>
    <cfRule type="cellIs" dxfId="161" priority="30" operator="greaterThan">
      <formula>50</formula>
    </cfRule>
  </conditionalFormatting>
  <conditionalFormatting sqref="X76:X84">
    <cfRule type="cellIs" dxfId="160" priority="26" operator="lessThan">
      <formula>50</formula>
    </cfRule>
    <cfRule type="cellIs" dxfId="159" priority="27" operator="greaterThan">
      <formula>50</formula>
    </cfRule>
  </conditionalFormatting>
  <conditionalFormatting sqref="X69:X75">
    <cfRule type="cellIs" dxfId="158" priority="24" operator="lessThan">
      <formula>50</formula>
    </cfRule>
    <cfRule type="cellIs" dxfId="157" priority="25" operator="greaterThan">
      <formula>50</formula>
    </cfRule>
  </conditionalFormatting>
  <conditionalFormatting sqref="Y69:AE94">
    <cfRule type="cellIs" dxfId="156" priority="22" operator="lessThan">
      <formula>50</formula>
    </cfRule>
    <cfRule type="cellIs" dxfId="155" priority="23" operator="greaterThan">
      <formula>50</formula>
    </cfRule>
  </conditionalFormatting>
  <conditionalFormatting sqref="X101:AE124">
    <cfRule type="cellIs" dxfId="154" priority="20" operator="lessThan">
      <formula>50</formula>
    </cfRule>
    <cfRule type="cellIs" dxfId="153" priority="21" operator="greaterThan">
      <formula>50</formula>
    </cfRule>
  </conditionalFormatting>
  <conditionalFormatting sqref="Y13:AE46">
    <cfRule type="cellIs" dxfId="152" priority="19" operator="lessThanOrEqual">
      <formula>50</formula>
    </cfRule>
  </conditionalFormatting>
  <conditionalFormatting sqref="Y13:AE46">
    <cfRule type="cellIs" dxfId="151" priority="16" operator="greaterThan">
      <formula>50</formula>
    </cfRule>
    <cfRule type="cellIs" dxfId="150" priority="17" operator="lessThan">
      <formula>50</formula>
    </cfRule>
    <cfRule type="cellIs" dxfId="149" priority="18" operator="lessThan">
      <formula>50</formula>
    </cfRule>
  </conditionalFormatting>
  <conditionalFormatting sqref="D47:AE62">
    <cfRule type="cellIs" dxfId="148" priority="15" operator="between">
      <formula>6</formula>
      <formula>8.5</formula>
    </cfRule>
  </conditionalFormatting>
  <conditionalFormatting sqref="D47:W62 Y47:AE62">
    <cfRule type="cellIs" dxfId="147" priority="14" operator="between">
      <formula>6</formula>
      <formula>8.5</formula>
    </cfRule>
  </conditionalFormatting>
  <conditionalFormatting sqref="D47:W62 Y47:AE62">
    <cfRule type="cellIs" dxfId="146" priority="13" operator="lessThanOrEqual">
      <formula>10</formula>
    </cfRule>
  </conditionalFormatting>
  <conditionalFormatting sqref="D47:W62 Y47:AE62">
    <cfRule type="cellIs" dxfId="145" priority="11" operator="lessThan">
      <formula>10</formula>
    </cfRule>
    <cfRule type="cellIs" dxfId="144" priority="12" operator="greaterThan">
      <formula>10</formula>
    </cfRule>
  </conditionalFormatting>
  <conditionalFormatting sqref="D47:L62 P47:Y62">
    <cfRule type="cellIs" dxfId="143" priority="10" operator="greaterThanOrEqual">
      <formula>5</formula>
    </cfRule>
  </conditionalFormatting>
  <conditionalFormatting sqref="M47:O62">
    <cfRule type="cellIs" dxfId="142" priority="9" operator="lessThanOrEqual">
      <formula>0.4</formula>
    </cfRule>
  </conditionalFormatting>
  <conditionalFormatting sqref="D47:Y62">
    <cfRule type="cellIs" dxfId="141" priority="6" operator="lessThan">
      <formula>5</formula>
    </cfRule>
    <cfRule type="cellIs" dxfId="140" priority="7" operator="greaterThan">
      <formula>5</formula>
    </cfRule>
    <cfRule type="cellIs" dxfId="139" priority="8" operator="greaterThan">
      <formula>5</formula>
    </cfRule>
  </conditionalFormatting>
  <conditionalFormatting sqref="D47:O62">
    <cfRule type="cellIs" dxfId="138" priority="5" operator="greaterThan">
      <formula>4.9</formula>
    </cfRule>
  </conditionalFormatting>
  <conditionalFormatting sqref="Z47:AE62">
    <cfRule type="cellIs" dxfId="137" priority="4" operator="greaterThanOrEqual">
      <formula>5</formula>
    </cfRule>
  </conditionalFormatting>
  <conditionalFormatting sqref="Z47:AE62">
    <cfRule type="cellIs" dxfId="136" priority="1" operator="lessThan">
      <formula>5</formula>
    </cfRule>
    <cfRule type="cellIs" dxfId="135" priority="2" operator="greaterThan">
      <formula>5</formula>
    </cfRule>
    <cfRule type="cellIs" dxfId="134" priority="3" operator="greaterThan">
      <formula>5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DA273"/>
  <sheetViews>
    <sheetView topLeftCell="A8" zoomScale="70" zoomScaleNormal="70" workbookViewId="0">
      <pane xSplit="3" ySplit="1" topLeftCell="W90" activePane="bottomRight" state="frozen"/>
      <selection activeCell="A8" sqref="A8"/>
      <selection pane="topRight" activeCell="D8" sqref="D8"/>
      <selection pane="bottomLeft" activeCell="A9" sqref="A9"/>
      <selection pane="bottomRight" activeCell="AB128" sqref="AB128"/>
    </sheetView>
  </sheetViews>
  <sheetFormatPr defaultRowHeight="15"/>
  <cols>
    <col min="1" max="1" width="23.140625" customWidth="1"/>
    <col min="2" max="2" width="23.140625" style="11" customWidth="1"/>
    <col min="3" max="3" width="40.85546875" customWidth="1"/>
    <col min="16" max="16" width="9.140625" style="2251"/>
    <col min="20" max="22" width="9.140625" style="2845"/>
    <col min="23" max="23" width="9.85546875" style="2845" customWidth="1"/>
    <col min="24" max="24" width="10.5703125" customWidth="1"/>
    <col min="25" max="25" width="9.7109375" customWidth="1"/>
    <col min="26" max="26" width="10.42578125" customWidth="1"/>
    <col min="27" max="27" width="13" customWidth="1"/>
    <col min="28" max="28" width="11.7109375" bestFit="1" customWidth="1"/>
  </cols>
  <sheetData>
    <row r="1" spans="1:93">
      <c r="A1" s="726"/>
      <c r="B1" s="1030"/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2285"/>
      <c r="Q1" s="726"/>
      <c r="R1" s="726"/>
      <c r="S1" s="726"/>
      <c r="T1" s="726"/>
      <c r="U1" s="726"/>
      <c r="V1" s="726"/>
      <c r="W1" s="726"/>
      <c r="X1" s="764"/>
    </row>
    <row r="2" spans="1:93">
      <c r="A2" s="726"/>
      <c r="B2" s="1030"/>
      <c r="C2" s="726"/>
      <c r="D2" s="3595" t="s">
        <v>264</v>
      </c>
      <c r="E2" s="3595"/>
      <c r="F2" s="3595"/>
      <c r="G2" s="3595"/>
      <c r="H2" s="3595"/>
      <c r="I2" s="3595"/>
      <c r="J2" s="3595"/>
      <c r="K2" s="3595"/>
      <c r="L2" s="3595"/>
      <c r="M2" s="3595"/>
      <c r="N2" s="3595"/>
      <c r="O2" s="726"/>
      <c r="P2" s="2285"/>
      <c r="Q2" s="726"/>
      <c r="R2" s="726"/>
      <c r="S2" s="726"/>
      <c r="T2" s="726"/>
      <c r="U2" s="726"/>
      <c r="V2" s="726"/>
      <c r="W2" s="726"/>
      <c r="X2" s="764"/>
    </row>
    <row r="3" spans="1:93">
      <c r="A3" s="726"/>
      <c r="B3" s="1030"/>
      <c r="C3" s="726"/>
      <c r="D3" s="3595"/>
      <c r="E3" s="3595"/>
      <c r="F3" s="3595"/>
      <c r="G3" s="3595"/>
      <c r="H3" s="3595"/>
      <c r="I3" s="3595"/>
      <c r="J3" s="3595"/>
      <c r="K3" s="3595"/>
      <c r="L3" s="3595"/>
      <c r="M3" s="3595"/>
      <c r="N3" s="3595"/>
      <c r="O3" s="726"/>
      <c r="P3" s="2285"/>
      <c r="Q3" s="726"/>
      <c r="R3" s="726"/>
      <c r="S3" s="726"/>
      <c r="T3" s="726"/>
      <c r="U3" s="726"/>
      <c r="V3" s="726"/>
      <c r="W3" s="726"/>
      <c r="X3" s="764"/>
    </row>
    <row r="4" spans="1:93" ht="15.75" thickBot="1">
      <c r="A4" s="726"/>
      <c r="B4" s="1030"/>
      <c r="C4" s="726"/>
      <c r="D4" s="726"/>
      <c r="E4" s="726"/>
      <c r="F4" s="726"/>
      <c r="G4" s="726"/>
      <c r="H4" s="726"/>
      <c r="I4" s="726"/>
      <c r="J4" s="726"/>
      <c r="K4" s="726"/>
      <c r="L4" s="726"/>
      <c r="M4" s="726"/>
      <c r="N4" s="726"/>
      <c r="O4" s="726"/>
      <c r="P4" s="2285"/>
      <c r="Q4" s="726"/>
      <c r="R4" s="726"/>
      <c r="S4" s="726"/>
      <c r="T4" s="726"/>
      <c r="U4" s="726"/>
      <c r="V4" s="726"/>
      <c r="W4" s="726"/>
      <c r="X4" s="764"/>
    </row>
    <row r="5" spans="1:93" ht="15.75" thickBot="1">
      <c r="A5" s="750"/>
      <c r="B5" s="1017"/>
      <c r="C5" s="750"/>
      <c r="D5" s="750"/>
      <c r="E5" s="3538" t="s">
        <v>169</v>
      </c>
      <c r="F5" s="3539"/>
      <c r="G5" s="3539"/>
      <c r="H5" s="3539"/>
      <c r="I5" s="3539"/>
      <c r="J5" s="3539"/>
      <c r="K5" s="3539"/>
      <c r="L5" s="3539"/>
      <c r="M5" s="3540"/>
      <c r="N5" s="726"/>
      <c r="O5" s="726"/>
      <c r="P5" s="2285"/>
      <c r="Q5" s="726"/>
      <c r="R5" s="726"/>
      <c r="S5" s="726"/>
      <c r="T5" s="726"/>
      <c r="U5" s="726"/>
      <c r="V5" s="726"/>
      <c r="W5" s="726"/>
      <c r="X5" s="764"/>
    </row>
    <row r="6" spans="1:93" ht="15.75" thickBot="1">
      <c r="A6" s="751"/>
      <c r="B6" s="1018"/>
      <c r="C6" s="751"/>
      <c r="D6" s="753"/>
      <c r="E6" s="752"/>
      <c r="F6" s="3541" t="s">
        <v>232</v>
      </c>
      <c r="G6" s="3542"/>
      <c r="H6" s="3542"/>
      <c r="I6" s="3542"/>
      <c r="J6" s="3542"/>
      <c r="K6" s="3542"/>
      <c r="L6" s="3543"/>
      <c r="M6" s="726"/>
      <c r="N6" s="726"/>
      <c r="O6" s="726"/>
      <c r="P6" s="2285"/>
      <c r="Q6" s="726"/>
      <c r="R6" s="726"/>
      <c r="S6" s="726"/>
      <c r="T6" s="726"/>
      <c r="U6" s="726"/>
      <c r="V6" s="726"/>
      <c r="W6" s="726"/>
      <c r="X6" s="764"/>
    </row>
    <row r="7" spans="1:93" ht="15.75" thickBot="1">
      <c r="A7" s="116"/>
      <c r="B7" s="580"/>
      <c r="C7" s="116"/>
      <c r="D7" s="237"/>
      <c r="E7" s="237"/>
      <c r="F7" s="237"/>
      <c r="G7" s="237"/>
      <c r="H7" s="237"/>
      <c r="I7" s="193"/>
      <c r="J7" s="107"/>
      <c r="K7" s="107"/>
      <c r="L7" s="107"/>
      <c r="M7" s="107"/>
      <c r="N7" s="107"/>
      <c r="O7" s="107"/>
      <c r="P7" s="2286"/>
      <c r="Q7" s="107"/>
      <c r="R7" s="107"/>
      <c r="S7" s="107"/>
      <c r="T7" s="107"/>
      <c r="U7" s="107"/>
      <c r="V7" s="107"/>
      <c r="W7" s="107"/>
      <c r="X7" s="767"/>
    </row>
    <row r="8" spans="1:93" ht="15.75" thickBot="1">
      <c r="A8" s="3519" t="s">
        <v>0</v>
      </c>
      <c r="B8" s="1006"/>
      <c r="C8" s="3587" t="s">
        <v>1</v>
      </c>
      <c r="D8" s="3550">
        <v>2011</v>
      </c>
      <c r="E8" s="3551"/>
      <c r="F8" s="3551"/>
      <c r="G8" s="3552"/>
      <c r="H8" s="3547">
        <v>2012</v>
      </c>
      <c r="I8" s="3548"/>
      <c r="J8" s="3548"/>
      <c r="K8" s="3549"/>
      <c r="L8" s="967">
        <v>2013</v>
      </c>
      <c r="M8" s="968"/>
      <c r="N8" s="968"/>
      <c r="O8" s="969"/>
      <c r="P8" s="3516">
        <v>2014</v>
      </c>
      <c r="Q8" s="3517"/>
      <c r="R8" s="3517"/>
      <c r="S8" s="3518"/>
      <c r="T8" s="3516">
        <v>2015</v>
      </c>
      <c r="U8" s="3517"/>
      <c r="V8" s="3517"/>
      <c r="W8" s="3518"/>
      <c r="X8" s="3516">
        <v>2016</v>
      </c>
      <c r="Y8" s="3517"/>
      <c r="Z8" s="3517"/>
      <c r="AA8" s="3518"/>
      <c r="AB8" s="3516">
        <v>2017</v>
      </c>
      <c r="AC8" s="3517"/>
      <c r="AD8" s="3517"/>
      <c r="AE8" s="3518"/>
    </row>
    <row r="9" spans="1:93" ht="15.75" thickBot="1">
      <c r="A9" s="3520"/>
      <c r="B9" s="1007"/>
      <c r="C9" s="3588"/>
      <c r="D9" s="720" t="s">
        <v>2</v>
      </c>
      <c r="E9" s="721" t="s">
        <v>3</v>
      </c>
      <c r="F9" s="725" t="s">
        <v>4</v>
      </c>
      <c r="G9" s="722" t="s">
        <v>5</v>
      </c>
      <c r="H9" s="723" t="s">
        <v>2</v>
      </c>
      <c r="I9" s="721" t="s">
        <v>3</v>
      </c>
      <c r="J9" s="725" t="s">
        <v>4</v>
      </c>
      <c r="K9" s="724" t="s">
        <v>5</v>
      </c>
      <c r="L9" s="723" t="s">
        <v>2</v>
      </c>
      <c r="M9" s="721" t="s">
        <v>3</v>
      </c>
      <c r="N9" s="725" t="s">
        <v>4</v>
      </c>
      <c r="O9" s="724" t="s">
        <v>5</v>
      </c>
      <c r="P9" s="2287" t="s">
        <v>2</v>
      </c>
      <c r="Q9" s="721" t="s">
        <v>3</v>
      </c>
      <c r="R9" s="725" t="s">
        <v>4</v>
      </c>
      <c r="S9" s="724" t="s">
        <v>5</v>
      </c>
      <c r="T9" s="2287" t="s">
        <v>2</v>
      </c>
      <c r="U9" s="2846" t="s">
        <v>3</v>
      </c>
      <c r="V9" s="2847" t="s">
        <v>4</v>
      </c>
      <c r="W9" s="724" t="s">
        <v>5</v>
      </c>
      <c r="X9" s="3119" t="s">
        <v>2</v>
      </c>
      <c r="Y9" s="3208" t="s">
        <v>3</v>
      </c>
      <c r="Z9" s="3209" t="s">
        <v>4</v>
      </c>
      <c r="AA9" s="3210" t="s">
        <v>5</v>
      </c>
      <c r="AB9" s="3119" t="s">
        <v>2</v>
      </c>
      <c r="AC9" s="3493" t="s">
        <v>3</v>
      </c>
      <c r="AD9" s="3494" t="s">
        <v>4</v>
      </c>
      <c r="AE9" s="3495" t="s">
        <v>5</v>
      </c>
    </row>
    <row r="10" spans="1:93">
      <c r="A10" s="113"/>
      <c r="B10" s="113"/>
      <c r="C10" s="194"/>
      <c r="D10" s="194"/>
      <c r="E10" s="194"/>
      <c r="F10" s="194"/>
      <c r="G10" s="194"/>
      <c r="H10" s="194"/>
      <c r="I10" s="194"/>
      <c r="J10" s="194"/>
      <c r="K10" s="127"/>
      <c r="L10" s="107"/>
      <c r="M10" s="107"/>
      <c r="N10" s="107"/>
      <c r="O10" s="107"/>
      <c r="P10" s="2286"/>
      <c r="Q10" s="107"/>
      <c r="R10" s="107"/>
      <c r="S10" s="107"/>
      <c r="T10" s="107"/>
      <c r="U10" s="107"/>
      <c r="V10" s="107"/>
      <c r="W10" s="107"/>
      <c r="X10" s="767"/>
      <c r="Y10" s="194"/>
      <c r="Z10" s="194"/>
      <c r="AA10" s="194"/>
      <c r="AB10" s="194"/>
      <c r="AC10" s="194"/>
    </row>
    <row r="11" spans="1:93">
      <c r="A11" s="113"/>
      <c r="B11" s="113"/>
      <c r="C11" s="194"/>
      <c r="D11" s="194"/>
      <c r="E11" s="194"/>
      <c r="F11" s="194"/>
      <c r="G11" s="194"/>
      <c r="H11" s="194"/>
      <c r="I11" s="194"/>
      <c r="J11" s="194"/>
      <c r="K11" s="127"/>
      <c r="L11" s="107"/>
      <c r="M11" s="107"/>
      <c r="N11" s="107"/>
      <c r="O11" s="107"/>
      <c r="P11" s="2286"/>
      <c r="Q11" s="107"/>
      <c r="R11" s="107"/>
      <c r="S11" s="107"/>
      <c r="T11" s="107"/>
      <c r="U11" s="107"/>
      <c r="V11" s="107"/>
      <c r="W11" s="107"/>
      <c r="X11" s="767"/>
      <c r="Y11" s="194"/>
      <c r="Z11" s="194"/>
      <c r="AA11" s="194"/>
      <c r="AB11" s="194"/>
      <c r="AC11" s="194"/>
    </row>
    <row r="12" spans="1:93">
      <c r="A12" s="113"/>
      <c r="B12" s="113"/>
      <c r="C12" s="194"/>
      <c r="D12" s="194"/>
      <c r="E12" s="194"/>
      <c r="F12" s="3546" t="s">
        <v>125</v>
      </c>
      <c r="G12" s="3546"/>
      <c r="H12" s="3546"/>
      <c r="I12" s="3546"/>
      <c r="J12" s="107"/>
      <c r="K12" s="127"/>
      <c r="L12" s="107"/>
      <c r="M12" s="107"/>
      <c r="N12" s="3546" t="s">
        <v>125</v>
      </c>
      <c r="O12" s="3546"/>
      <c r="P12" s="3546"/>
      <c r="Q12" s="3546"/>
      <c r="R12" s="107"/>
      <c r="S12" s="107"/>
      <c r="T12" s="107"/>
      <c r="U12" s="107"/>
      <c r="V12" s="107"/>
      <c r="W12" s="107"/>
      <c r="X12" s="767"/>
      <c r="Y12" s="194"/>
      <c r="Z12" s="3546" t="s">
        <v>125</v>
      </c>
      <c r="AA12" s="3546"/>
      <c r="AB12" s="3546"/>
      <c r="AC12" s="3546"/>
    </row>
    <row r="13" spans="1:93" ht="15.75" thickBot="1">
      <c r="A13" s="328"/>
      <c r="B13" s="113" t="s">
        <v>284</v>
      </c>
      <c r="C13" s="194"/>
      <c r="D13" s="194"/>
      <c r="E13" s="194"/>
      <c r="F13" s="3546"/>
      <c r="G13" s="3546"/>
      <c r="H13" s="3546"/>
      <c r="I13" s="3546"/>
      <c r="J13" s="107"/>
      <c r="K13" s="127"/>
      <c r="L13" s="107"/>
      <c r="M13" s="107"/>
      <c r="N13" s="3546"/>
      <c r="O13" s="3546"/>
      <c r="P13" s="3546"/>
      <c r="Q13" s="3546"/>
      <c r="R13" s="107"/>
      <c r="S13" s="107"/>
      <c r="T13" s="107"/>
      <c r="U13" s="107"/>
      <c r="V13" s="107"/>
      <c r="W13" s="107"/>
      <c r="X13" s="767"/>
      <c r="Y13" s="194"/>
      <c r="Z13" s="3546"/>
      <c r="AA13" s="3546"/>
      <c r="AB13" s="3546"/>
      <c r="AC13" s="3546"/>
    </row>
    <row r="14" spans="1:93" ht="15.75" thickBot="1">
      <c r="A14" s="1023" t="s">
        <v>16</v>
      </c>
      <c r="B14" s="995">
        <f>COUNTA(C14:C17)</f>
        <v>4</v>
      </c>
      <c r="C14" s="1111" t="s">
        <v>21</v>
      </c>
      <c r="D14" s="1406"/>
      <c r="E14" s="1406"/>
      <c r="F14" s="1406"/>
      <c r="G14" s="1407"/>
      <c r="H14" s="1408"/>
      <c r="I14" s="1409">
        <v>6.0999999999999999E-2</v>
      </c>
      <c r="J14" s="1410">
        <v>0.23899999999999999</v>
      </c>
      <c r="K14" s="1500">
        <v>0.19700000000000001</v>
      </c>
      <c r="L14" s="1400">
        <v>3.5000000000000003E-2</v>
      </c>
      <c r="M14" s="1118" t="s">
        <v>82</v>
      </c>
      <c r="N14" s="1634">
        <v>0.14000000000000001</v>
      </c>
      <c r="O14" s="1207"/>
      <c r="P14" s="2414">
        <v>4.1000000000000002E-2</v>
      </c>
      <c r="Q14" s="2642">
        <v>0.218</v>
      </c>
      <c r="R14" s="1119">
        <v>0.188</v>
      </c>
      <c r="S14" s="1120">
        <v>0.55000000000000004</v>
      </c>
      <c r="T14" s="1120"/>
      <c r="U14" s="1120"/>
      <c r="V14" s="1120"/>
      <c r="W14" s="1120">
        <v>0.29299999999999998</v>
      </c>
      <c r="X14" s="767">
        <v>0.16400000000000001</v>
      </c>
      <c r="Y14" s="3220">
        <v>4.3999999999999997E-2</v>
      </c>
      <c r="Z14" s="3350">
        <v>8.3000000000000004E-2</v>
      </c>
      <c r="AA14" s="1407">
        <v>0.1</v>
      </c>
      <c r="AB14" s="3512">
        <v>0.09</v>
      </c>
      <c r="AC14" s="1407"/>
      <c r="AD14" s="1407"/>
      <c r="AE14" s="1407"/>
      <c r="AF14" s="61"/>
      <c r="AG14" s="61"/>
      <c r="AH14" s="78"/>
      <c r="AI14" s="61"/>
      <c r="AJ14" s="61"/>
      <c r="AK14" s="61"/>
      <c r="AL14" s="61"/>
      <c r="AM14" s="61"/>
      <c r="AN14" s="61"/>
      <c r="AO14" s="61"/>
      <c r="AP14" s="61"/>
      <c r="AQ14" s="78"/>
      <c r="AR14" s="61"/>
      <c r="AS14" s="61"/>
      <c r="AT14" s="61"/>
      <c r="AU14" s="61"/>
      <c r="AV14" s="61"/>
      <c r="AW14" s="61"/>
      <c r="AX14" s="61"/>
      <c r="AY14" s="78"/>
      <c r="AZ14" s="61"/>
      <c r="BA14" s="61"/>
      <c r="BB14" s="61"/>
      <c r="BC14" s="61"/>
      <c r="BD14" s="61"/>
      <c r="BE14" s="61"/>
      <c r="BF14" s="61"/>
      <c r="BG14" s="78"/>
      <c r="BH14" s="61"/>
      <c r="BI14" s="61"/>
      <c r="BJ14" s="61"/>
      <c r="BK14" s="61"/>
      <c r="BL14" s="78"/>
      <c r="BM14" s="61"/>
      <c r="BN14" s="61"/>
      <c r="BO14" s="61"/>
      <c r="BP14" s="61"/>
      <c r="BQ14" s="61"/>
      <c r="BR14" s="61"/>
      <c r="BS14" s="61"/>
      <c r="BT14" s="78"/>
      <c r="BU14" s="61"/>
      <c r="BV14" s="61"/>
      <c r="BW14" s="61"/>
      <c r="BX14" s="61"/>
      <c r="BY14" s="61"/>
      <c r="BZ14" s="61"/>
      <c r="CA14" s="78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</row>
    <row r="15" spans="1:93" ht="16.5" customHeight="1" thickBot="1">
      <c r="A15" s="1199" t="s">
        <v>16</v>
      </c>
      <c r="B15" s="996"/>
      <c r="C15" s="1121" t="s">
        <v>20</v>
      </c>
      <c r="D15" s="1412"/>
      <c r="E15" s="1412"/>
      <c r="F15" s="1412"/>
      <c r="G15" s="1413"/>
      <c r="H15" s="1501"/>
      <c r="I15" s="1415">
        <v>0.14699999999999999</v>
      </c>
      <c r="J15" s="1416">
        <v>0.28999999999999998</v>
      </c>
      <c r="K15" s="1502">
        <v>0.19500000000000001</v>
      </c>
      <c r="L15" s="1401">
        <v>0.13700000000000001</v>
      </c>
      <c r="M15" s="1126" t="s">
        <v>82</v>
      </c>
      <c r="N15" s="1683">
        <v>0.13</v>
      </c>
      <c r="O15" s="2109"/>
      <c r="P15" s="2421">
        <v>0.192</v>
      </c>
      <c r="Q15" s="2643">
        <v>0.93100000000000005</v>
      </c>
      <c r="R15" s="1127">
        <v>0.23899999999999999</v>
      </c>
      <c r="S15" s="1128">
        <v>1.1200000000000001</v>
      </c>
      <c r="T15" s="1128"/>
      <c r="U15" s="1128"/>
      <c r="V15" s="1128"/>
      <c r="W15" s="1128">
        <v>0.28000000000000003</v>
      </c>
      <c r="X15" s="767">
        <v>0.14000000000000001</v>
      </c>
      <c r="Y15" s="3220">
        <v>5.2999999999999999E-2</v>
      </c>
      <c r="Z15" s="3351">
        <v>0.33500000000000002</v>
      </c>
      <c r="AA15" s="1413">
        <v>0.156</v>
      </c>
      <c r="AB15" s="3513">
        <v>5.8999999999999997E-2</v>
      </c>
      <c r="AC15" s="1413"/>
      <c r="AD15" s="1413"/>
      <c r="AE15" s="1413"/>
      <c r="AF15" s="61"/>
      <c r="AG15" s="144"/>
      <c r="AH15" s="144"/>
      <c r="AI15" s="144"/>
      <c r="AJ15" s="61"/>
      <c r="AK15" s="61"/>
      <c r="AL15" s="61"/>
      <c r="AM15" s="61"/>
      <c r="AN15" s="61"/>
      <c r="AO15" s="133"/>
      <c r="AP15" s="133"/>
      <c r="AQ15" s="133"/>
      <c r="AR15" s="61"/>
      <c r="AS15" s="61"/>
      <c r="AT15" s="61"/>
      <c r="AU15" s="61"/>
      <c r="AV15" s="144"/>
      <c r="AW15" s="144"/>
      <c r="AX15" s="144"/>
      <c r="AY15" s="144"/>
      <c r="AZ15" s="144"/>
      <c r="BA15" s="61"/>
      <c r="BB15" s="144"/>
      <c r="BC15" s="61"/>
      <c r="BD15" s="144"/>
      <c r="BE15" s="144"/>
      <c r="BF15" s="144"/>
      <c r="BG15" s="61"/>
      <c r="BH15" s="61"/>
      <c r="BI15" s="61"/>
      <c r="BJ15" s="144"/>
      <c r="BK15" s="61"/>
      <c r="BL15" s="144"/>
      <c r="BM15" s="144"/>
      <c r="BN15" s="144"/>
      <c r="BO15" s="144"/>
      <c r="BP15" s="61"/>
      <c r="BQ15" s="61"/>
      <c r="BR15" s="61"/>
      <c r="BS15" s="61"/>
      <c r="BT15" s="144"/>
      <c r="BU15" s="144"/>
      <c r="BV15" s="144"/>
      <c r="BW15" s="61"/>
      <c r="BX15" s="61"/>
      <c r="BY15" s="61"/>
      <c r="BZ15" s="61"/>
      <c r="CA15" s="144"/>
      <c r="CB15" s="144"/>
      <c r="CC15" s="144"/>
      <c r="CD15" s="144"/>
      <c r="CE15" s="144"/>
      <c r="CF15" s="61"/>
      <c r="CG15" s="61"/>
      <c r="CH15" s="61"/>
      <c r="CI15" s="61"/>
      <c r="CJ15" s="61"/>
      <c r="CK15" s="61"/>
      <c r="CL15" s="61"/>
      <c r="CM15" s="61"/>
      <c r="CN15" s="61"/>
      <c r="CO15" s="61"/>
    </row>
    <row r="16" spans="1:93" ht="15.75" thickBot="1">
      <c r="A16" s="1199" t="s">
        <v>16</v>
      </c>
      <c r="B16" s="996"/>
      <c r="C16" s="1121" t="s">
        <v>17</v>
      </c>
      <c r="D16" s="1412"/>
      <c r="E16" s="1412"/>
      <c r="F16" s="1412"/>
      <c r="G16" s="1413"/>
      <c r="H16" s="1501"/>
      <c r="I16" s="1415">
        <v>0.192</v>
      </c>
      <c r="J16" s="1416">
        <v>0.39500000000000002</v>
      </c>
      <c r="K16" s="1502">
        <v>0.193</v>
      </c>
      <c r="L16" s="1401">
        <v>0.13400000000000001</v>
      </c>
      <c r="M16" s="1354" t="s">
        <v>82</v>
      </c>
      <c r="N16" s="1683">
        <v>0.17</v>
      </c>
      <c r="O16" s="2104"/>
      <c r="P16" s="2421">
        <v>0.218</v>
      </c>
      <c r="Q16" s="2644">
        <v>1.0249999999999999</v>
      </c>
      <c r="R16" s="1127">
        <v>0.24399999999999999</v>
      </c>
      <c r="S16" s="1128">
        <v>0.64</v>
      </c>
      <c r="T16" s="1128"/>
      <c r="U16" s="1128"/>
      <c r="V16" s="1128"/>
      <c r="W16" s="1128">
        <v>0.28399999999999997</v>
      </c>
      <c r="X16" s="798"/>
      <c r="Y16" s="3220" t="s">
        <v>336</v>
      </c>
      <c r="Z16" s="3351" t="s">
        <v>336</v>
      </c>
      <c r="AA16" s="1413"/>
      <c r="AB16" s="3513" t="s">
        <v>336</v>
      </c>
      <c r="AC16" s="1413"/>
      <c r="AD16" s="1413"/>
      <c r="AE16" s="1413"/>
      <c r="AF16" s="48"/>
      <c r="AG16" s="166"/>
      <c r="AH16" s="166"/>
      <c r="AI16" s="166"/>
      <c r="AJ16" s="44"/>
      <c r="AK16" s="61"/>
      <c r="AL16" s="61"/>
      <c r="AM16" s="61"/>
      <c r="AN16" s="48"/>
      <c r="AO16" s="167"/>
      <c r="AP16" s="167"/>
      <c r="AQ16" s="167"/>
      <c r="AR16" s="44"/>
      <c r="AS16" s="61"/>
      <c r="AT16" s="61"/>
      <c r="AU16" s="48"/>
      <c r="AV16" s="166"/>
      <c r="AW16" s="166"/>
      <c r="AX16" s="166"/>
      <c r="AY16" s="166"/>
      <c r="AZ16" s="166"/>
      <c r="BA16" s="44"/>
      <c r="BB16" s="166"/>
      <c r="BC16" s="48"/>
      <c r="BD16" s="166"/>
      <c r="BE16" s="166"/>
      <c r="BF16" s="166"/>
      <c r="BG16" s="44"/>
      <c r="BH16" s="61"/>
      <c r="BI16" s="61"/>
      <c r="BJ16" s="166"/>
      <c r="BK16" s="48"/>
      <c r="BL16" s="166"/>
      <c r="BM16" s="166"/>
      <c r="BN16" s="166"/>
      <c r="BO16" s="166"/>
      <c r="BP16" s="44"/>
      <c r="BQ16" s="61"/>
      <c r="BR16" s="61"/>
      <c r="BS16" s="48"/>
      <c r="BT16" s="166"/>
      <c r="BU16" s="166"/>
      <c r="BV16" s="166"/>
      <c r="BW16" s="44"/>
      <c r="BX16" s="61"/>
      <c r="BY16" s="61"/>
      <c r="BZ16" s="48"/>
      <c r="CA16" s="166"/>
      <c r="CB16" s="166"/>
      <c r="CC16" s="166"/>
      <c r="CD16" s="166"/>
      <c r="CE16" s="166"/>
      <c r="CF16" s="44"/>
      <c r="CG16" s="61"/>
      <c r="CH16" s="61"/>
      <c r="CI16" s="61"/>
      <c r="CJ16" s="61"/>
      <c r="CK16" s="61"/>
      <c r="CL16" s="61"/>
      <c r="CM16" s="61"/>
      <c r="CN16" s="61"/>
      <c r="CO16" s="61"/>
    </row>
    <row r="17" spans="1:93" ht="15.75" thickBot="1">
      <c r="A17" s="1205" t="s">
        <v>16</v>
      </c>
      <c r="B17" s="997"/>
      <c r="C17" s="1129" t="s">
        <v>18</v>
      </c>
      <c r="D17" s="1421"/>
      <c r="E17" s="1421"/>
      <c r="F17" s="1421"/>
      <c r="G17" s="1422"/>
      <c r="H17" s="1503"/>
      <c r="I17" s="1424">
        <v>0.155</v>
      </c>
      <c r="J17" s="1425">
        <v>0.28000000000000003</v>
      </c>
      <c r="K17" s="1504">
        <v>7.0000000000000007E-2</v>
      </c>
      <c r="L17" s="1402">
        <v>0.112</v>
      </c>
      <c r="M17" s="1635" t="s">
        <v>82</v>
      </c>
      <c r="N17" s="1684">
        <v>0.15</v>
      </c>
      <c r="O17" s="2105"/>
      <c r="P17" s="2345">
        <v>0.13600000000000001</v>
      </c>
      <c r="Q17" s="2644">
        <v>0.83299999999999996</v>
      </c>
      <c r="R17" s="633">
        <v>0.39300000000000002</v>
      </c>
      <c r="S17" s="634">
        <v>0.96</v>
      </c>
      <c r="T17" s="634"/>
      <c r="U17" s="634"/>
      <c r="V17" s="634"/>
      <c r="W17" s="634">
        <v>0.3</v>
      </c>
      <c r="X17" s="767">
        <v>0.14399999999999999</v>
      </c>
      <c r="Y17" s="3220">
        <v>4.3999999999999997E-2</v>
      </c>
      <c r="Z17" s="3352">
        <v>0.48599999999999999</v>
      </c>
      <c r="AA17" s="1422">
        <v>0.192</v>
      </c>
      <c r="AB17" s="3514">
        <v>7.6999999999999999E-2</v>
      </c>
      <c r="AC17" s="1422"/>
      <c r="AD17" s="1422"/>
      <c r="AE17" s="1422"/>
      <c r="AF17" s="61"/>
      <c r="AG17" s="166"/>
      <c r="AH17" s="166"/>
      <c r="AI17" s="166"/>
      <c r="AJ17" s="44"/>
      <c r="AK17" s="61"/>
      <c r="AL17" s="61"/>
      <c r="AM17" s="61"/>
      <c r="AN17" s="61"/>
      <c r="AO17" s="167"/>
      <c r="AP17" s="167"/>
      <c r="AQ17" s="167"/>
      <c r="AR17" s="44"/>
      <c r="AS17" s="61"/>
      <c r="AT17" s="61"/>
      <c r="AU17" s="61"/>
      <c r="AV17" s="166"/>
      <c r="AW17" s="166"/>
      <c r="AX17" s="166"/>
      <c r="AY17" s="166"/>
      <c r="AZ17" s="166"/>
      <c r="BA17" s="44"/>
      <c r="BB17" s="166"/>
      <c r="BC17" s="61"/>
      <c r="BD17" s="166"/>
      <c r="BE17" s="166"/>
      <c r="BF17" s="166"/>
      <c r="BG17" s="44"/>
      <c r="BH17" s="61"/>
      <c r="BI17" s="61"/>
      <c r="BJ17" s="166"/>
      <c r="BK17" s="61"/>
      <c r="BL17" s="166"/>
      <c r="BM17" s="166"/>
      <c r="BN17" s="166"/>
      <c r="BO17" s="166"/>
      <c r="BP17" s="44"/>
      <c r="BQ17" s="61"/>
      <c r="BR17" s="61"/>
      <c r="BS17" s="61"/>
      <c r="BT17" s="166"/>
      <c r="BU17" s="166"/>
      <c r="BV17" s="166"/>
      <c r="BW17" s="44"/>
      <c r="BX17" s="61"/>
      <c r="BY17" s="61"/>
      <c r="BZ17" s="61"/>
      <c r="CA17" s="166"/>
      <c r="CB17" s="166"/>
      <c r="CC17" s="166"/>
      <c r="CD17" s="166"/>
      <c r="CE17" s="166"/>
      <c r="CF17" s="44"/>
      <c r="CG17" s="61"/>
      <c r="CH17" s="61"/>
      <c r="CI17" s="61"/>
      <c r="CJ17" s="61"/>
      <c r="CK17" s="61"/>
      <c r="CL17" s="61"/>
      <c r="CM17" s="61"/>
      <c r="CN17" s="61"/>
      <c r="CO17" s="61"/>
    </row>
    <row r="18" spans="1:93">
      <c r="A18" s="1023" t="s">
        <v>131</v>
      </c>
      <c r="B18" s="995">
        <f>COUNTA(C18:C20)</f>
        <v>3</v>
      </c>
      <c r="C18" s="1111" t="s">
        <v>25</v>
      </c>
      <c r="D18" s="1406"/>
      <c r="E18" s="1406"/>
      <c r="F18" s="1406"/>
      <c r="G18" s="1407"/>
      <c r="H18" s="1505"/>
      <c r="I18" s="1409">
        <v>2.88</v>
      </c>
      <c r="J18" s="1410">
        <v>2.0299999999999998</v>
      </c>
      <c r="K18" s="1500">
        <v>3.4220000000000002</v>
      </c>
      <c r="L18" s="1400">
        <v>5.4</v>
      </c>
      <c r="M18" s="1634" t="s">
        <v>82</v>
      </c>
      <c r="N18" s="1428">
        <v>1.98</v>
      </c>
      <c r="O18" s="2106"/>
      <c r="P18" s="2288">
        <v>2.46</v>
      </c>
      <c r="Q18" s="2644">
        <v>2.54</v>
      </c>
      <c r="R18" s="1119">
        <v>2.92</v>
      </c>
      <c r="S18" s="1120">
        <v>1.5</v>
      </c>
      <c r="T18" s="1120">
        <v>4.9400000000000004</v>
      </c>
      <c r="U18" s="1120">
        <v>6.66</v>
      </c>
      <c r="V18" s="1120">
        <v>0.90900000000000003</v>
      </c>
      <c r="W18" s="1120">
        <v>2.81</v>
      </c>
      <c r="X18" s="767">
        <v>4.5590000000000002</v>
      </c>
      <c r="Y18" s="3220">
        <v>3.6539999999999999</v>
      </c>
      <c r="Z18" s="3350">
        <v>1.1970000000000001</v>
      </c>
      <c r="AA18" s="1409">
        <v>2.798</v>
      </c>
      <c r="AB18" s="1409">
        <v>4.1020000000000003</v>
      </c>
      <c r="AC18" s="1409"/>
      <c r="AD18" s="1409"/>
      <c r="AE18" s="1409"/>
      <c r="AF18" s="61"/>
      <c r="AG18" s="166"/>
      <c r="AH18" s="166"/>
      <c r="AI18" s="166"/>
      <c r="AJ18" s="44"/>
      <c r="AK18" s="61"/>
      <c r="AL18" s="61"/>
      <c r="AM18" s="61"/>
      <c r="AN18" s="61"/>
      <c r="AO18" s="167"/>
      <c r="AP18" s="167"/>
      <c r="AQ18" s="167"/>
      <c r="AR18" s="44"/>
      <c r="AS18" s="61"/>
      <c r="AT18" s="61"/>
      <c r="AU18" s="61"/>
      <c r="AV18" s="166"/>
      <c r="AW18" s="166"/>
      <c r="AX18" s="166"/>
      <c r="AY18" s="166"/>
      <c r="AZ18" s="166"/>
      <c r="BA18" s="44"/>
      <c r="BB18" s="166"/>
      <c r="BC18" s="61"/>
      <c r="BD18" s="166"/>
      <c r="BE18" s="166"/>
      <c r="BF18" s="166"/>
      <c r="BG18" s="44"/>
      <c r="BH18" s="61"/>
      <c r="BI18" s="61"/>
      <c r="BJ18" s="166"/>
      <c r="BK18" s="61"/>
      <c r="BL18" s="166"/>
      <c r="BM18" s="166"/>
      <c r="BN18" s="166"/>
      <c r="BO18" s="166"/>
      <c r="BP18" s="44"/>
      <c r="BQ18" s="61"/>
      <c r="BR18" s="61"/>
      <c r="BS18" s="61"/>
      <c r="BT18" s="166"/>
      <c r="BU18" s="166"/>
      <c r="BV18" s="166"/>
      <c r="BW18" s="44"/>
      <c r="BX18" s="61"/>
      <c r="BY18" s="61"/>
      <c r="BZ18" s="61"/>
      <c r="CA18" s="166"/>
      <c r="CB18" s="166"/>
      <c r="CC18" s="166"/>
      <c r="CD18" s="166"/>
      <c r="CE18" s="166"/>
      <c r="CF18" s="44"/>
      <c r="CG18" s="61"/>
      <c r="CH18" s="61"/>
      <c r="CI18" s="61"/>
      <c r="CJ18" s="61"/>
      <c r="CK18" s="61"/>
      <c r="CL18" s="61"/>
      <c r="CM18" s="61"/>
      <c r="CN18" s="61"/>
      <c r="CO18" s="61"/>
    </row>
    <row r="19" spans="1:93">
      <c r="A19" s="1199" t="s">
        <v>131</v>
      </c>
      <c r="B19" s="996"/>
      <c r="C19" s="1121" t="s">
        <v>33</v>
      </c>
      <c r="D19" s="1412"/>
      <c r="E19" s="1412"/>
      <c r="F19" s="1412"/>
      <c r="G19" s="1413"/>
      <c r="H19" s="1501"/>
      <c r="I19" s="1415">
        <v>2.82</v>
      </c>
      <c r="J19" s="1416">
        <v>1.89</v>
      </c>
      <c r="K19" s="1502">
        <v>3.36</v>
      </c>
      <c r="L19" s="1401">
        <v>5.835</v>
      </c>
      <c r="M19" s="1513" t="s">
        <v>82</v>
      </c>
      <c r="N19" s="1419">
        <v>2.1800000000000002</v>
      </c>
      <c r="O19" s="2104"/>
      <c r="P19" s="2221">
        <v>2.67</v>
      </c>
      <c r="Q19" s="2644">
        <v>3.12</v>
      </c>
      <c r="R19" s="1127">
        <v>1.59</v>
      </c>
      <c r="S19" s="1128">
        <v>1.6</v>
      </c>
      <c r="T19" s="1128">
        <v>4.88</v>
      </c>
      <c r="U19" s="1128">
        <v>6.74</v>
      </c>
      <c r="V19" s="1128">
        <v>0.97599999999999998</v>
      </c>
      <c r="W19" s="1128">
        <v>2.91</v>
      </c>
      <c r="X19" s="767">
        <v>4.6390000000000002</v>
      </c>
      <c r="Y19" s="3232">
        <v>3.1779999999999999</v>
      </c>
      <c r="Z19" s="3351">
        <v>1.153</v>
      </c>
      <c r="AA19" s="1415">
        <v>2.6850000000000001</v>
      </c>
      <c r="AB19" s="1415">
        <v>4.0810000000000004</v>
      </c>
      <c r="AC19" s="1415"/>
      <c r="AD19" s="1415"/>
      <c r="AE19" s="1415"/>
      <c r="AF19" s="61"/>
      <c r="AG19" s="166"/>
      <c r="AH19" s="166"/>
      <c r="AI19" s="166"/>
      <c r="AJ19" s="44"/>
      <c r="AK19" s="61"/>
      <c r="AL19" s="61"/>
      <c r="AM19" s="61"/>
      <c r="AN19" s="61"/>
      <c r="AO19" s="167"/>
      <c r="AP19" s="167"/>
      <c r="AQ19" s="167"/>
      <c r="AR19" s="44"/>
      <c r="AS19" s="61"/>
      <c r="AT19" s="61"/>
      <c r="AU19" s="61"/>
      <c r="AV19" s="166"/>
      <c r="AW19" s="166"/>
      <c r="AX19" s="166"/>
      <c r="AY19" s="166"/>
      <c r="AZ19" s="166"/>
      <c r="BA19" s="44"/>
      <c r="BB19" s="166"/>
      <c r="BC19" s="61"/>
      <c r="BD19" s="166"/>
      <c r="BE19" s="166"/>
      <c r="BF19" s="166"/>
      <c r="BG19" s="44"/>
      <c r="BH19" s="61"/>
      <c r="BI19" s="61"/>
      <c r="BJ19" s="166"/>
      <c r="BK19" s="61"/>
      <c r="BL19" s="166"/>
      <c r="BM19" s="166"/>
      <c r="BN19" s="166"/>
      <c r="BO19" s="166"/>
      <c r="BP19" s="44"/>
      <c r="BQ19" s="61"/>
      <c r="BR19" s="61"/>
      <c r="BS19" s="61"/>
      <c r="BT19" s="166"/>
      <c r="BU19" s="166"/>
      <c r="BV19" s="166"/>
      <c r="BW19" s="44"/>
      <c r="BX19" s="61"/>
      <c r="BY19" s="61"/>
      <c r="BZ19" s="61"/>
      <c r="CA19" s="166"/>
      <c r="CB19" s="166"/>
      <c r="CC19" s="166"/>
      <c r="CD19" s="166"/>
      <c r="CE19" s="166"/>
      <c r="CF19" s="44"/>
      <c r="CG19" s="61"/>
      <c r="CH19" s="61"/>
      <c r="CI19" s="61"/>
      <c r="CJ19" s="61"/>
      <c r="CK19" s="61"/>
      <c r="CL19" s="61"/>
      <c r="CM19" s="61"/>
      <c r="CN19" s="61"/>
      <c r="CO19" s="61"/>
    </row>
    <row r="20" spans="1:93" ht="14.25" customHeight="1" thickBot="1">
      <c r="A20" s="1205" t="s">
        <v>131</v>
      </c>
      <c r="B20" s="997"/>
      <c r="C20" s="1129" t="s">
        <v>31</v>
      </c>
      <c r="D20" s="1421"/>
      <c r="E20" s="1421"/>
      <c r="F20" s="1421"/>
      <c r="G20" s="1422"/>
      <c r="H20" s="1503"/>
      <c r="I20" s="1424">
        <v>2.64</v>
      </c>
      <c r="J20" s="1425">
        <v>1.83</v>
      </c>
      <c r="K20" s="1504">
        <v>3.4009999999999998</v>
      </c>
      <c r="L20" s="1402">
        <v>5.73</v>
      </c>
      <c r="M20" s="1748" t="s">
        <v>82</v>
      </c>
      <c r="N20" s="1506">
        <v>2.0699999999999998</v>
      </c>
      <c r="O20" s="2126"/>
      <c r="P20" s="2345">
        <v>2</v>
      </c>
      <c r="Q20" s="2645">
        <v>3.12</v>
      </c>
      <c r="R20" s="633">
        <v>1.87</v>
      </c>
      <c r="S20" s="634">
        <v>1.84</v>
      </c>
      <c r="T20" s="634">
        <v>4.9000000000000004</v>
      </c>
      <c r="U20" s="634">
        <v>7.06</v>
      </c>
      <c r="V20" s="634">
        <v>0.93</v>
      </c>
      <c r="W20" s="634">
        <v>2.73</v>
      </c>
      <c r="X20" s="799">
        <v>4.6319999999999997</v>
      </c>
      <c r="Y20" s="3238">
        <v>2.9020000000000001</v>
      </c>
      <c r="Z20" s="3352">
        <v>1.246</v>
      </c>
      <c r="AA20" s="1424">
        <v>2.6360000000000001</v>
      </c>
      <c r="AB20" s="1424">
        <v>3.9740000000000002</v>
      </c>
      <c r="AC20" s="1424"/>
      <c r="AD20" s="1424"/>
      <c r="AE20" s="1424"/>
      <c r="AF20" s="178"/>
      <c r="AG20" s="180"/>
      <c r="AH20" s="180"/>
      <c r="AI20" s="180"/>
      <c r="AJ20" s="44"/>
      <c r="AK20" s="61"/>
      <c r="AL20" s="61"/>
      <c r="AM20" s="61"/>
      <c r="AN20" s="178"/>
      <c r="AO20" s="180"/>
      <c r="AP20" s="180"/>
      <c r="AQ20" s="180"/>
      <c r="AR20" s="44"/>
      <c r="AS20" s="61"/>
      <c r="AT20" s="61"/>
      <c r="AU20" s="178"/>
      <c r="AV20" s="179"/>
      <c r="AW20" s="179"/>
      <c r="AX20" s="179"/>
      <c r="AY20" s="179"/>
      <c r="AZ20" s="179"/>
      <c r="BA20" s="44"/>
      <c r="BB20" s="179"/>
      <c r="BC20" s="178"/>
      <c r="BD20" s="179"/>
      <c r="BE20" s="179"/>
      <c r="BF20" s="179"/>
      <c r="BG20" s="44"/>
      <c r="BH20" s="61"/>
      <c r="BI20" s="61"/>
      <c r="BJ20" s="179"/>
      <c r="BK20" s="178"/>
      <c r="BL20" s="166"/>
      <c r="BM20" s="179"/>
      <c r="BN20" s="179"/>
      <c r="BO20" s="179"/>
      <c r="BP20" s="44"/>
      <c r="BQ20" s="61"/>
      <c r="BR20" s="61"/>
      <c r="BS20" s="178"/>
      <c r="BT20" s="166"/>
      <c r="BU20" s="179"/>
      <c r="BV20" s="179"/>
      <c r="BW20" s="44"/>
      <c r="BX20" s="61"/>
      <c r="BY20" s="61"/>
      <c r="BZ20" s="178"/>
      <c r="CA20" s="179"/>
      <c r="CB20" s="179"/>
      <c r="CC20" s="179"/>
      <c r="CD20" s="179"/>
      <c r="CE20" s="179"/>
      <c r="CF20" s="44"/>
      <c r="CG20" s="61"/>
      <c r="CH20" s="61"/>
      <c r="CI20" s="61"/>
      <c r="CJ20" s="61"/>
      <c r="CK20" s="61"/>
      <c r="CL20" s="61"/>
      <c r="CM20" s="61"/>
      <c r="CN20" s="61"/>
      <c r="CO20" s="61"/>
    </row>
    <row r="21" spans="1:93" ht="15.75" thickBot="1">
      <c r="A21" s="1023" t="s">
        <v>185</v>
      </c>
      <c r="B21" s="995">
        <f>COUNTA(C21:C23)</f>
        <v>3</v>
      </c>
      <c r="C21" s="1111" t="s">
        <v>19</v>
      </c>
      <c r="D21" s="1406"/>
      <c r="E21" s="1406"/>
      <c r="F21" s="1406"/>
      <c r="G21" s="1407"/>
      <c r="H21" s="1505"/>
      <c r="I21" s="1409">
        <v>1.36</v>
      </c>
      <c r="J21" s="1431">
        <v>0.76300000000000001</v>
      </c>
      <c r="K21" s="1500">
        <v>1.014</v>
      </c>
      <c r="L21" s="1117" t="s">
        <v>82</v>
      </c>
      <c r="M21" s="1634" t="s">
        <v>82</v>
      </c>
      <c r="N21" s="1507" t="s">
        <v>82</v>
      </c>
      <c r="O21" s="2127"/>
      <c r="P21" s="2347">
        <v>1.4</v>
      </c>
      <c r="Q21" s="2646">
        <v>2.5939999999999999</v>
      </c>
      <c r="R21" s="1119">
        <v>0.63900000000000001</v>
      </c>
      <c r="S21" s="1120">
        <v>1.1299999999999999</v>
      </c>
      <c r="T21" s="1120"/>
      <c r="U21" s="1120"/>
      <c r="V21" s="1120"/>
      <c r="W21" s="1120">
        <v>1.321</v>
      </c>
      <c r="X21" s="767">
        <v>0.68700000000000006</v>
      </c>
      <c r="Y21" s="3239">
        <v>1.1519999999999999</v>
      </c>
      <c r="Z21" s="3350">
        <v>0.623</v>
      </c>
      <c r="AA21" s="1409">
        <v>0.879</v>
      </c>
      <c r="AB21" s="1409">
        <v>1.585</v>
      </c>
      <c r="AC21" s="1409"/>
      <c r="AD21" s="1409"/>
      <c r="AE21" s="1409"/>
      <c r="AF21" s="61"/>
      <c r="AG21" s="167"/>
      <c r="AH21" s="167"/>
      <c r="AI21" s="167"/>
      <c r="AJ21" s="177"/>
      <c r="AK21" s="61"/>
      <c r="AL21" s="61"/>
      <c r="AM21" s="61"/>
      <c r="AN21" s="61"/>
      <c r="AO21" s="167"/>
      <c r="AP21" s="168"/>
      <c r="AQ21" s="168"/>
      <c r="AR21" s="177"/>
      <c r="AS21" s="61"/>
      <c r="AT21" s="61"/>
      <c r="AU21" s="61"/>
      <c r="AV21" s="168"/>
      <c r="AW21" s="168"/>
      <c r="AX21" s="168"/>
      <c r="AY21" s="168"/>
      <c r="AZ21" s="168"/>
      <c r="BA21" s="177"/>
      <c r="BB21" s="168"/>
      <c r="BC21" s="61"/>
      <c r="BD21" s="168"/>
      <c r="BE21" s="168"/>
      <c r="BF21" s="168"/>
      <c r="BG21" s="177"/>
      <c r="BH21" s="61"/>
      <c r="BI21" s="61"/>
      <c r="BJ21" s="168"/>
      <c r="BK21" s="61"/>
      <c r="BL21" s="168"/>
      <c r="BM21" s="168"/>
      <c r="BN21" s="168"/>
      <c r="BO21" s="168"/>
      <c r="BP21" s="177"/>
      <c r="BQ21" s="61"/>
      <c r="BR21" s="61"/>
      <c r="BS21" s="61"/>
      <c r="BT21" s="168"/>
      <c r="BU21" s="168"/>
      <c r="BV21" s="168"/>
      <c r="BW21" s="177"/>
      <c r="BX21" s="61"/>
      <c r="BY21" s="61"/>
      <c r="BZ21" s="61"/>
      <c r="CA21" s="168"/>
      <c r="CB21" s="168"/>
      <c r="CC21" s="168"/>
      <c r="CD21" s="168"/>
      <c r="CE21" s="168"/>
      <c r="CF21" s="177"/>
      <c r="CG21" s="61"/>
      <c r="CH21" s="61"/>
      <c r="CI21" s="61"/>
      <c r="CJ21" s="61"/>
      <c r="CK21" s="61"/>
      <c r="CL21" s="61"/>
      <c r="CM21" s="61"/>
      <c r="CN21" s="61"/>
      <c r="CO21" s="61"/>
    </row>
    <row r="22" spans="1:93" ht="15.75" thickBot="1">
      <c r="A22" s="1199" t="s">
        <v>185</v>
      </c>
      <c r="B22" s="996"/>
      <c r="C22" s="1121" t="s">
        <v>37</v>
      </c>
      <c r="D22" s="1412"/>
      <c r="E22" s="1412"/>
      <c r="F22" s="1412"/>
      <c r="G22" s="1413"/>
      <c r="H22" s="1501"/>
      <c r="I22" s="1415">
        <v>2.2010000000000001</v>
      </c>
      <c r="J22" s="1433">
        <v>0.72099999999999997</v>
      </c>
      <c r="K22" s="1502">
        <v>1.546</v>
      </c>
      <c r="L22" s="1125" t="s">
        <v>82</v>
      </c>
      <c r="M22" s="1513" t="s">
        <v>82</v>
      </c>
      <c r="N22" s="1507" t="s">
        <v>82</v>
      </c>
      <c r="O22" s="2128"/>
      <c r="P22" s="2348">
        <v>1.69</v>
      </c>
      <c r="Q22" s="2647">
        <v>2.1030000000000002</v>
      </c>
      <c r="R22" s="1127">
        <v>0.67600000000000005</v>
      </c>
      <c r="S22" s="1128">
        <v>1.1299999999999999</v>
      </c>
      <c r="T22" s="1128"/>
      <c r="U22" s="1128"/>
      <c r="V22" s="1128"/>
      <c r="W22" s="1128">
        <v>1.2849999999999999</v>
      </c>
      <c r="X22" s="767">
        <v>0.7</v>
      </c>
      <c r="Y22" s="3240">
        <v>1.746</v>
      </c>
      <c r="Z22" s="3351">
        <v>1.871</v>
      </c>
      <c r="AA22" s="1415">
        <v>1.3360000000000001</v>
      </c>
      <c r="AB22" s="1415">
        <v>1.6459999999999999</v>
      </c>
      <c r="AC22" s="1415"/>
      <c r="AD22" s="1415"/>
      <c r="AE22" s="1415"/>
      <c r="AF22" s="61"/>
      <c r="AG22" s="181"/>
      <c r="AH22" s="181"/>
      <c r="AI22" s="181"/>
      <c r="AJ22" s="177"/>
      <c r="AK22" s="61"/>
      <c r="AL22" s="61"/>
      <c r="AM22" s="61"/>
      <c r="AN22" s="61"/>
      <c r="AO22" s="181"/>
      <c r="AP22" s="181"/>
      <c r="AQ22" s="181"/>
      <c r="AR22" s="177"/>
      <c r="AS22" s="61"/>
      <c r="AT22" s="61"/>
      <c r="AU22" s="61"/>
      <c r="AV22" s="181"/>
      <c r="AW22" s="181"/>
      <c r="AX22" s="181"/>
      <c r="AY22" s="181"/>
      <c r="AZ22" s="181"/>
      <c r="BA22" s="177"/>
      <c r="BB22" s="181"/>
      <c r="BC22" s="61"/>
      <c r="BD22" s="181"/>
      <c r="BE22" s="181"/>
      <c r="BF22" s="181"/>
      <c r="BG22" s="177"/>
      <c r="BH22" s="61"/>
      <c r="BI22" s="61"/>
      <c r="BJ22" s="182"/>
      <c r="BK22" s="61"/>
      <c r="BL22" s="181"/>
      <c r="BM22" s="181"/>
      <c r="BN22" s="181"/>
      <c r="BO22" s="181"/>
      <c r="BP22" s="177"/>
      <c r="BQ22" s="61"/>
      <c r="BR22" s="61"/>
      <c r="BS22" s="61"/>
      <c r="BT22" s="181"/>
      <c r="BU22" s="181"/>
      <c r="BV22" s="181"/>
      <c r="BW22" s="177"/>
      <c r="BX22" s="61"/>
      <c r="BY22" s="61"/>
      <c r="BZ22" s="61"/>
      <c r="CA22" s="181"/>
      <c r="CB22" s="181"/>
      <c r="CC22" s="181"/>
      <c r="CD22" s="181"/>
      <c r="CE22" s="181"/>
      <c r="CF22" s="177"/>
      <c r="CG22" s="61"/>
      <c r="CH22" s="61"/>
      <c r="CI22" s="61"/>
      <c r="CJ22" s="61"/>
      <c r="CK22" s="61"/>
      <c r="CL22" s="61"/>
      <c r="CM22" s="61"/>
      <c r="CN22" s="61"/>
      <c r="CO22" s="61"/>
    </row>
    <row r="23" spans="1:93" ht="15.75" thickBot="1">
      <c r="A23" s="1205" t="s">
        <v>185</v>
      </c>
      <c r="B23" s="997"/>
      <c r="C23" s="1129" t="s">
        <v>15</v>
      </c>
      <c r="D23" s="1421"/>
      <c r="E23" s="1421"/>
      <c r="F23" s="1421"/>
      <c r="G23" s="1422"/>
      <c r="H23" s="1503"/>
      <c r="I23" s="1434">
        <v>1.696</v>
      </c>
      <c r="J23" s="1435">
        <v>7.7839999999999998</v>
      </c>
      <c r="K23" s="1504">
        <v>0.92900000000000005</v>
      </c>
      <c r="L23" s="1135" t="s">
        <v>82</v>
      </c>
      <c r="M23" s="1635" t="s">
        <v>82</v>
      </c>
      <c r="N23" s="1507" t="s">
        <v>82</v>
      </c>
      <c r="O23" s="1209"/>
      <c r="P23" s="2313">
        <v>1.2</v>
      </c>
      <c r="Q23" s="2648">
        <v>1.145</v>
      </c>
      <c r="R23" s="633">
        <v>0.621</v>
      </c>
      <c r="S23" s="634">
        <v>1.08</v>
      </c>
      <c r="T23" s="634"/>
      <c r="U23" s="634"/>
      <c r="V23" s="634"/>
      <c r="W23" s="634">
        <v>1.355</v>
      </c>
      <c r="X23" s="767">
        <v>0.51300000000000001</v>
      </c>
      <c r="Y23" s="3238">
        <v>1.633</v>
      </c>
      <c r="Z23" s="3352">
        <v>0.68300000000000005</v>
      </c>
      <c r="AA23" s="1434">
        <v>0.93400000000000005</v>
      </c>
      <c r="AB23" s="1434">
        <v>1.625</v>
      </c>
      <c r="AC23" s="1434"/>
      <c r="AD23" s="1434"/>
      <c r="AE23" s="1434"/>
      <c r="AF23" s="61"/>
      <c r="AG23" s="61"/>
      <c r="AH23" s="61"/>
      <c r="AI23" s="61"/>
      <c r="AJ23" s="44"/>
      <c r="AK23" s="61"/>
      <c r="AL23" s="61"/>
      <c r="AM23" s="61"/>
      <c r="AN23" s="61"/>
      <c r="AO23" s="61"/>
      <c r="AP23" s="61"/>
      <c r="AQ23" s="61"/>
      <c r="AR23" s="44"/>
      <c r="AS23" s="61"/>
      <c r="AT23" s="61"/>
      <c r="AU23" s="61"/>
      <c r="AV23" s="61"/>
      <c r="AW23" s="61"/>
      <c r="AX23" s="61"/>
      <c r="AY23" s="61"/>
      <c r="AZ23" s="61"/>
      <c r="BA23" s="44"/>
      <c r="BB23" s="61"/>
      <c r="BC23" s="61"/>
      <c r="BD23" s="61"/>
      <c r="BE23" s="61"/>
      <c r="BF23" s="61"/>
      <c r="BG23" s="44"/>
      <c r="BH23" s="61"/>
      <c r="BI23" s="61"/>
      <c r="BJ23" s="61"/>
      <c r="BK23" s="61"/>
      <c r="BL23" s="61"/>
      <c r="BM23" s="61"/>
      <c r="BN23" s="61"/>
      <c r="BO23" s="61"/>
      <c r="BP23" s="44"/>
      <c r="BQ23" s="61"/>
      <c r="BR23" s="61"/>
      <c r="BS23" s="61"/>
      <c r="BT23" s="61"/>
      <c r="BU23" s="61"/>
      <c r="BV23" s="61"/>
      <c r="BW23" s="44"/>
      <c r="BX23" s="61"/>
      <c r="BY23" s="61"/>
      <c r="BZ23" s="61"/>
      <c r="CA23" s="61"/>
      <c r="CB23" s="61"/>
      <c r="CC23" s="61"/>
      <c r="CD23" s="61"/>
      <c r="CE23" s="61"/>
      <c r="CF23" s="44"/>
      <c r="CG23" s="61"/>
      <c r="CH23" s="61"/>
      <c r="CI23" s="61"/>
      <c r="CJ23" s="61"/>
      <c r="CK23" s="61"/>
      <c r="CL23" s="61"/>
      <c r="CM23" s="61"/>
      <c r="CN23" s="61"/>
      <c r="CO23" s="61"/>
    </row>
    <row r="24" spans="1:93">
      <c r="A24" s="1023" t="s">
        <v>132</v>
      </c>
      <c r="B24" s="995">
        <f>COUNTA(C24:C28)</f>
        <v>5</v>
      </c>
      <c r="C24" s="1111" t="s">
        <v>20</v>
      </c>
      <c r="D24" s="1406"/>
      <c r="E24" s="1406"/>
      <c r="F24" s="1406"/>
      <c r="G24" s="1407"/>
      <c r="H24" s="1505"/>
      <c r="I24" s="1409">
        <v>9.5380000000000003</v>
      </c>
      <c r="J24" s="1431">
        <v>1.47</v>
      </c>
      <c r="K24" s="1500">
        <v>2.7559999999999998</v>
      </c>
      <c r="L24" s="1117">
        <v>5.09</v>
      </c>
      <c r="M24" s="1634" t="s">
        <v>82</v>
      </c>
      <c r="N24" s="1118">
        <v>1.06</v>
      </c>
      <c r="O24" s="1207"/>
      <c r="P24" s="2220">
        <v>6.4</v>
      </c>
      <c r="Q24" s="2648">
        <v>2.68</v>
      </c>
      <c r="R24" s="1119">
        <v>1.45</v>
      </c>
      <c r="S24" s="1120">
        <v>2.84</v>
      </c>
      <c r="T24" s="1120">
        <v>4.16</v>
      </c>
      <c r="U24" s="1120">
        <v>4.67</v>
      </c>
      <c r="V24" s="1120">
        <v>2.2440000000000002</v>
      </c>
      <c r="W24" s="1120">
        <v>2.7</v>
      </c>
      <c r="X24" s="767">
        <v>3.734</v>
      </c>
      <c r="Y24" s="3220">
        <v>3.302</v>
      </c>
      <c r="Z24" s="3350">
        <v>1.524</v>
      </c>
      <c r="AA24" s="1409">
        <v>2.9889999999999999</v>
      </c>
      <c r="AB24" s="1409">
        <v>3.2120000000000002</v>
      </c>
      <c r="AC24" s="1409"/>
      <c r="AD24" s="1409"/>
      <c r="AE24" s="1409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</row>
    <row r="25" spans="1:93">
      <c r="A25" s="1199" t="s">
        <v>132</v>
      </c>
      <c r="B25" s="996"/>
      <c r="C25" s="1121" t="s">
        <v>30</v>
      </c>
      <c r="D25" s="1412"/>
      <c r="E25" s="1412"/>
      <c r="F25" s="1412"/>
      <c r="G25" s="1413"/>
      <c r="H25" s="1501"/>
      <c r="I25" s="1415">
        <v>3.18</v>
      </c>
      <c r="J25" s="1433">
        <v>1.26</v>
      </c>
      <c r="K25" s="1502">
        <v>2.6749999999999998</v>
      </c>
      <c r="L25" s="1125">
        <v>4.99</v>
      </c>
      <c r="M25" s="1513" t="s">
        <v>82</v>
      </c>
      <c r="N25" s="1126">
        <v>1.1100000000000001</v>
      </c>
      <c r="O25" s="1208"/>
      <c r="P25" s="2205">
        <v>3.18</v>
      </c>
      <c r="Q25" s="2648">
        <v>2.72</v>
      </c>
      <c r="R25" s="1127">
        <v>1.48</v>
      </c>
      <c r="S25" s="1128">
        <v>2.74</v>
      </c>
      <c r="T25" s="1128">
        <v>3.92</v>
      </c>
      <c r="U25" s="1128">
        <v>4.38</v>
      </c>
      <c r="V25" s="1128">
        <v>1.325</v>
      </c>
      <c r="W25" s="1128">
        <v>2.77</v>
      </c>
      <c r="X25" s="767">
        <v>3.7839999999999998</v>
      </c>
      <c r="Y25" s="3232">
        <v>5.1820000000000004</v>
      </c>
      <c r="Z25" s="3351">
        <v>1.617</v>
      </c>
      <c r="AA25" s="1415">
        <v>3.4249999999999998</v>
      </c>
      <c r="AB25" s="1415">
        <v>3.0459999999999998</v>
      </c>
      <c r="AC25" s="1415"/>
      <c r="AD25" s="1415"/>
      <c r="AE25" s="1415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</row>
    <row r="26" spans="1:93">
      <c r="A26" s="1199" t="s">
        <v>132</v>
      </c>
      <c r="B26" s="996"/>
      <c r="C26" s="1121" t="s">
        <v>12</v>
      </c>
      <c r="D26" s="1412"/>
      <c r="E26" s="1412"/>
      <c r="F26" s="1412"/>
      <c r="G26" s="1413"/>
      <c r="H26" s="1501"/>
      <c r="I26" s="1415">
        <v>2.57</v>
      </c>
      <c r="J26" s="1433">
        <v>0.66</v>
      </c>
      <c r="K26" s="1502">
        <v>2.363</v>
      </c>
      <c r="L26" s="1125">
        <v>2.99</v>
      </c>
      <c r="M26" s="1513" t="s">
        <v>82</v>
      </c>
      <c r="N26" s="1126">
        <v>0.96</v>
      </c>
      <c r="O26" s="1208"/>
      <c r="P26" s="2205">
        <v>6.24</v>
      </c>
      <c r="Q26" s="2648">
        <v>2</v>
      </c>
      <c r="R26" s="1127">
        <v>1.42</v>
      </c>
      <c r="S26" s="1128">
        <v>2.14</v>
      </c>
      <c r="T26" s="1128">
        <v>2.92</v>
      </c>
      <c r="U26" s="1128">
        <v>3.2</v>
      </c>
      <c r="V26" s="1128">
        <v>1.137</v>
      </c>
      <c r="W26" s="1128">
        <v>2.11</v>
      </c>
      <c r="X26" s="767">
        <v>2.0840000000000001</v>
      </c>
      <c r="Y26" s="3232">
        <v>2.7719999999999998</v>
      </c>
      <c r="Z26" s="3351">
        <v>0.88900000000000001</v>
      </c>
      <c r="AA26" s="1415">
        <v>1.972</v>
      </c>
      <c r="AB26" s="1415">
        <v>2.0550000000000002</v>
      </c>
      <c r="AC26" s="1415"/>
      <c r="AD26" s="1415"/>
      <c r="AE26" s="1415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</row>
    <row r="27" spans="1:93">
      <c r="A27" s="1199" t="s">
        <v>132</v>
      </c>
      <c r="B27" s="996"/>
      <c r="C27" s="1121" t="s">
        <v>26</v>
      </c>
      <c r="D27" s="1412"/>
      <c r="E27" s="1412"/>
      <c r="F27" s="1412"/>
      <c r="G27" s="1413"/>
      <c r="H27" s="1501"/>
      <c r="I27" s="1415">
        <v>3.14</v>
      </c>
      <c r="J27" s="1433">
        <v>1.17</v>
      </c>
      <c r="K27" s="1502">
        <v>2.6970000000000001</v>
      </c>
      <c r="L27" s="1125">
        <v>3.88</v>
      </c>
      <c r="M27" s="1513" t="s">
        <v>82</v>
      </c>
      <c r="N27" s="1126">
        <v>1.06</v>
      </c>
      <c r="O27" s="1208"/>
      <c r="P27" s="2205">
        <v>3.65</v>
      </c>
      <c r="Q27" s="2648">
        <v>2.67</v>
      </c>
      <c r="R27" s="1127">
        <v>1.45</v>
      </c>
      <c r="S27" s="1128">
        <v>2.95</v>
      </c>
      <c r="T27" s="1128">
        <v>3.94</v>
      </c>
      <c r="U27" s="1128">
        <v>4.79</v>
      </c>
      <c r="V27" s="1128">
        <v>1.583</v>
      </c>
      <c r="W27" s="1128">
        <v>2.79</v>
      </c>
      <c r="X27" s="767">
        <v>3.6819999999999999</v>
      </c>
      <c r="Y27" s="3232">
        <v>3.915</v>
      </c>
      <c r="Z27" s="3351">
        <v>1.417</v>
      </c>
      <c r="AA27" s="1415">
        <v>3.0409999999999999</v>
      </c>
      <c r="AB27" s="1415">
        <v>3.2389999999999999</v>
      </c>
      <c r="AC27" s="1415"/>
      <c r="AD27" s="1415"/>
      <c r="AE27" s="1415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</row>
    <row r="28" spans="1:93" ht="15.75" thickBot="1">
      <c r="A28" s="1205" t="s">
        <v>132</v>
      </c>
      <c r="B28" s="997"/>
      <c r="C28" s="1129" t="s">
        <v>22</v>
      </c>
      <c r="D28" s="1421"/>
      <c r="E28" s="1421"/>
      <c r="F28" s="1421"/>
      <c r="G28" s="1422"/>
      <c r="H28" s="1503"/>
      <c r="I28" s="1424">
        <v>6.27</v>
      </c>
      <c r="J28" s="1435">
        <v>3.19</v>
      </c>
      <c r="K28" s="1504">
        <v>2.383</v>
      </c>
      <c r="L28" s="1135">
        <v>3.07</v>
      </c>
      <c r="M28" s="1635" t="s">
        <v>82</v>
      </c>
      <c r="N28" s="1136">
        <v>0.65</v>
      </c>
      <c r="O28" s="1209"/>
      <c r="P28" s="2206">
        <v>3.6</v>
      </c>
      <c r="Q28" s="2648">
        <v>1.95</v>
      </c>
      <c r="R28" s="633">
        <v>1.34</v>
      </c>
      <c r="S28" s="634">
        <v>2.2400000000000002</v>
      </c>
      <c r="T28" s="634">
        <v>2.7</v>
      </c>
      <c r="U28" s="634">
        <v>3.33</v>
      </c>
      <c r="V28" s="634">
        <v>1.149</v>
      </c>
      <c r="W28" s="634">
        <v>1.98</v>
      </c>
      <c r="X28" s="767">
        <v>2.6320000000000001</v>
      </c>
      <c r="Y28" s="3233">
        <v>2.794</v>
      </c>
      <c r="Z28" s="3352">
        <v>0.86799999999999999</v>
      </c>
      <c r="AA28" s="1424">
        <v>2.1619999999999999</v>
      </c>
      <c r="AB28" s="1424">
        <v>2.3519999999999999</v>
      </c>
      <c r="AC28" s="1424"/>
      <c r="AD28" s="1424"/>
      <c r="AE28" s="1424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</row>
    <row r="29" spans="1:93">
      <c r="A29" s="1023" t="s">
        <v>63</v>
      </c>
      <c r="B29" s="995">
        <f>COUNTA(C29:C33)</f>
        <v>5</v>
      </c>
      <c r="C29" s="1111" t="s">
        <v>20</v>
      </c>
      <c r="D29" s="1406"/>
      <c r="E29" s="1406"/>
      <c r="F29" s="1406"/>
      <c r="G29" s="1407"/>
      <c r="H29" s="1505"/>
      <c r="I29" s="1409">
        <v>2.04</v>
      </c>
      <c r="J29" s="1431">
        <v>0.81</v>
      </c>
      <c r="K29" s="1500">
        <v>3.226</v>
      </c>
      <c r="L29" s="1117">
        <v>2.44</v>
      </c>
      <c r="M29" s="1634" t="s">
        <v>82</v>
      </c>
      <c r="N29" s="1516">
        <v>0.81899999999999995</v>
      </c>
      <c r="O29" s="1207"/>
      <c r="P29" s="2220">
        <v>3.27</v>
      </c>
      <c r="Q29" s="2648">
        <v>1.43</v>
      </c>
      <c r="R29" s="1119">
        <v>4.1900000000000004</v>
      </c>
      <c r="S29" s="1120">
        <v>2.6</v>
      </c>
      <c r="T29" s="1120">
        <v>3.33</v>
      </c>
      <c r="U29" s="1120">
        <v>2.1</v>
      </c>
      <c r="V29" s="1120">
        <v>0.74299999999999999</v>
      </c>
      <c r="W29" s="1120">
        <v>1.74</v>
      </c>
      <c r="X29" s="767">
        <v>2.4289999999999998</v>
      </c>
      <c r="Y29" s="3220">
        <v>2.15</v>
      </c>
      <c r="Z29" s="3350">
        <v>1.3420000000000001</v>
      </c>
      <c r="AA29" s="1409">
        <v>1.6539999999999999</v>
      </c>
      <c r="AB29" s="1409">
        <v>1.74</v>
      </c>
      <c r="AC29" s="1409"/>
      <c r="AD29" s="1409"/>
      <c r="AE29" s="1409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</row>
    <row r="30" spans="1:93">
      <c r="A30" s="1199" t="s">
        <v>63</v>
      </c>
      <c r="B30" s="996"/>
      <c r="C30" s="1121" t="s">
        <v>26</v>
      </c>
      <c r="D30" s="1412"/>
      <c r="E30" s="1412"/>
      <c r="F30" s="1412"/>
      <c r="G30" s="1413"/>
      <c r="H30" s="1501"/>
      <c r="I30" s="1415">
        <v>2.73</v>
      </c>
      <c r="J30" s="1433">
        <v>1.19</v>
      </c>
      <c r="K30" s="1502">
        <v>3.4649999999999999</v>
      </c>
      <c r="L30" s="1125">
        <v>2.21</v>
      </c>
      <c r="M30" s="1513" t="s">
        <v>82</v>
      </c>
      <c r="N30" s="1517">
        <v>1.0229999999999999</v>
      </c>
      <c r="O30" s="1208"/>
      <c r="P30" s="2205">
        <v>2.68</v>
      </c>
      <c r="Q30" s="2648">
        <v>1.85</v>
      </c>
      <c r="R30" s="1127">
        <v>1.96</v>
      </c>
      <c r="S30" s="1128">
        <v>2.66</v>
      </c>
      <c r="T30" s="1128">
        <v>5.04</v>
      </c>
      <c r="U30" s="1128">
        <v>2.1</v>
      </c>
      <c r="V30" s="1128">
        <v>0.76600000000000001</v>
      </c>
      <c r="W30" s="1128">
        <v>1.86</v>
      </c>
      <c r="X30" s="767">
        <v>2.3849999999999998</v>
      </c>
      <c r="Y30" s="3232">
        <v>2.2210000000000001</v>
      </c>
      <c r="Z30" s="3351">
        <v>1.25</v>
      </c>
      <c r="AA30" s="1415">
        <v>1.6020000000000001</v>
      </c>
      <c r="AB30" s="1415">
        <v>1.6819999999999999</v>
      </c>
      <c r="AC30" s="1415"/>
      <c r="AD30" s="1415"/>
      <c r="AE30" s="1415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</row>
    <row r="31" spans="1:93">
      <c r="A31" s="1199" t="s">
        <v>63</v>
      </c>
      <c r="B31" s="996"/>
      <c r="C31" s="1121" t="s">
        <v>39</v>
      </c>
      <c r="D31" s="1412"/>
      <c r="E31" s="1412"/>
      <c r="F31" s="1412"/>
      <c r="G31" s="1413"/>
      <c r="H31" s="1501"/>
      <c r="I31" s="1415">
        <v>2.86</v>
      </c>
      <c r="J31" s="1433">
        <v>1.23</v>
      </c>
      <c r="K31" s="1502">
        <v>3.456</v>
      </c>
      <c r="L31" s="1125">
        <v>2.15</v>
      </c>
      <c r="M31" s="1513" t="s">
        <v>82</v>
      </c>
      <c r="N31" s="1517">
        <v>1.0409999999999999</v>
      </c>
      <c r="O31" s="1208"/>
      <c r="P31" s="2205">
        <v>3.01</v>
      </c>
      <c r="Q31" s="2648">
        <v>2.14</v>
      </c>
      <c r="R31" s="1127">
        <v>1.84</v>
      </c>
      <c r="S31" s="1128">
        <v>3.5</v>
      </c>
      <c r="T31" s="1128">
        <v>3.38</v>
      </c>
      <c r="U31" s="1128">
        <v>2.25</v>
      </c>
      <c r="V31" s="1128">
        <v>0.63</v>
      </c>
      <c r="W31" s="1128">
        <v>1.74</v>
      </c>
      <c r="X31" s="767">
        <v>2.6640000000000001</v>
      </c>
      <c r="Y31" s="3232">
        <v>2.09</v>
      </c>
      <c r="Z31" s="3351">
        <v>1.1539999999999999</v>
      </c>
      <c r="AA31" s="1415">
        <v>1.67</v>
      </c>
      <c r="AB31" s="1415">
        <v>1.5389999999999999</v>
      </c>
      <c r="AC31" s="1415"/>
      <c r="AD31" s="1415"/>
      <c r="AE31" s="1415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</row>
    <row r="32" spans="1:93">
      <c r="A32" s="1199" t="s">
        <v>63</v>
      </c>
      <c r="B32" s="996"/>
      <c r="C32" s="1121" t="s">
        <v>34</v>
      </c>
      <c r="D32" s="1412"/>
      <c r="E32" s="1412"/>
      <c r="F32" s="1412"/>
      <c r="G32" s="1413"/>
      <c r="H32" s="1501"/>
      <c r="I32" s="1415">
        <v>7.84</v>
      </c>
      <c r="J32" s="1433">
        <v>1.86</v>
      </c>
      <c r="K32" s="1502">
        <v>4.6840000000000002</v>
      </c>
      <c r="L32" s="1401">
        <v>3.1819999999999999</v>
      </c>
      <c r="M32" s="1513" t="s">
        <v>82</v>
      </c>
      <c r="N32" s="1517">
        <v>0.84799999999999998</v>
      </c>
      <c r="O32" s="1208"/>
      <c r="P32" s="2205">
        <v>6.92</v>
      </c>
      <c r="Q32" s="2648">
        <v>2.98</v>
      </c>
      <c r="R32" s="1127">
        <v>3.79</v>
      </c>
      <c r="S32" s="1128">
        <v>3</v>
      </c>
      <c r="T32" s="1128">
        <v>7.44</v>
      </c>
      <c r="U32" s="1128">
        <v>2.83</v>
      </c>
      <c r="V32" s="1128">
        <v>1.006</v>
      </c>
      <c r="W32" s="1128">
        <v>3.15</v>
      </c>
      <c r="X32" s="767">
        <v>5.125</v>
      </c>
      <c r="Y32" s="3232">
        <v>4.5919999999999996</v>
      </c>
      <c r="Z32" s="3351">
        <v>1.2649999999999999</v>
      </c>
      <c r="AA32" s="1415">
        <v>3.11</v>
      </c>
      <c r="AB32" s="1415">
        <v>4.1379999999999999</v>
      </c>
      <c r="AC32" s="1415"/>
      <c r="AD32" s="1415"/>
      <c r="AE32" s="1415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</row>
    <row r="33" spans="1:105" ht="15.75" thickBot="1">
      <c r="A33" s="1205" t="s">
        <v>63</v>
      </c>
      <c r="B33" s="997"/>
      <c r="C33" s="1129" t="s">
        <v>38</v>
      </c>
      <c r="D33" s="1421"/>
      <c r="E33" s="1421"/>
      <c r="F33" s="1421"/>
      <c r="G33" s="1422"/>
      <c r="H33" s="1503"/>
      <c r="I33" s="1424">
        <v>3.1</v>
      </c>
      <c r="J33" s="1435">
        <v>1.35</v>
      </c>
      <c r="K33" s="1504">
        <v>2.4020000000000001</v>
      </c>
      <c r="L33" s="1135">
        <v>2.2999999999999998</v>
      </c>
      <c r="M33" s="1635" t="s">
        <v>82</v>
      </c>
      <c r="N33" s="1518">
        <v>0.96</v>
      </c>
      <c r="O33" s="1209"/>
      <c r="P33" s="2206">
        <v>4.25</v>
      </c>
      <c r="Q33" s="2648">
        <v>1.53</v>
      </c>
      <c r="R33" s="633">
        <v>3.31</v>
      </c>
      <c r="S33" s="634">
        <v>2.72</v>
      </c>
      <c r="T33" s="634">
        <v>3.86</v>
      </c>
      <c r="U33" s="634">
        <v>2.1</v>
      </c>
      <c r="V33" s="634">
        <v>0.67700000000000005</v>
      </c>
      <c r="W33" s="634">
        <v>1.82</v>
      </c>
      <c r="X33" s="767">
        <v>2.6970000000000001</v>
      </c>
      <c r="Y33" s="3233">
        <v>2.319</v>
      </c>
      <c r="Z33" s="3352">
        <v>1.121</v>
      </c>
      <c r="AA33" s="1424">
        <v>1.724</v>
      </c>
      <c r="AB33" s="1424">
        <v>1.7689999999999999</v>
      </c>
      <c r="AC33" s="1424"/>
      <c r="AD33" s="1424"/>
      <c r="AE33" s="1424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</row>
    <row r="34" spans="1:105">
      <c r="A34" s="1023" t="s">
        <v>23</v>
      </c>
      <c r="B34" s="995">
        <f>COUNTA(C34:C36)</f>
        <v>3</v>
      </c>
      <c r="C34" s="1111" t="s">
        <v>32</v>
      </c>
      <c r="D34" s="1406"/>
      <c r="E34" s="1406"/>
      <c r="F34" s="1406"/>
      <c r="G34" s="1407"/>
      <c r="H34" s="1408"/>
      <c r="I34" s="1409">
        <v>0.50900000000000001</v>
      </c>
      <c r="J34" s="1431">
        <v>0.62</v>
      </c>
      <c r="K34" s="1500">
        <v>0.54700000000000004</v>
      </c>
      <c r="L34" s="1117">
        <v>0.67</v>
      </c>
      <c r="M34" s="1634" t="s">
        <v>82</v>
      </c>
      <c r="N34" s="1118">
        <v>0.32</v>
      </c>
      <c r="O34" s="1207"/>
      <c r="P34" s="2220">
        <v>0.92</v>
      </c>
      <c r="Q34" s="2648">
        <v>1.65</v>
      </c>
      <c r="R34" s="1119">
        <v>0.94</v>
      </c>
      <c r="S34" s="1120">
        <v>0.73</v>
      </c>
      <c r="T34" s="1120"/>
      <c r="U34" s="1120"/>
      <c r="V34" s="1120"/>
      <c r="W34" s="1120">
        <v>1.01</v>
      </c>
      <c r="X34" s="767">
        <v>0.83099999999999996</v>
      </c>
      <c r="Y34" s="3220">
        <v>9.4500000000000001E-2</v>
      </c>
      <c r="Z34" s="3350">
        <v>0.58499999999999996</v>
      </c>
      <c r="AA34" s="1409">
        <v>0.77200000000000002</v>
      </c>
      <c r="AB34" s="1409">
        <v>0.82699999999999996</v>
      </c>
      <c r="AC34" s="1409"/>
      <c r="AD34" s="1409"/>
      <c r="AE34" s="1409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</row>
    <row r="35" spans="1:105">
      <c r="A35" s="1199" t="s">
        <v>23</v>
      </c>
      <c r="B35" s="996"/>
      <c r="C35" s="1121" t="s">
        <v>24</v>
      </c>
      <c r="D35" s="1412"/>
      <c r="E35" s="1412"/>
      <c r="F35" s="1412"/>
      <c r="G35" s="1413"/>
      <c r="H35" s="1501"/>
      <c r="I35" s="1415">
        <v>1.075</v>
      </c>
      <c r="J35" s="1433">
        <v>0.83599999999999997</v>
      </c>
      <c r="K35" s="1502">
        <v>0.57299999999999995</v>
      </c>
      <c r="L35" s="1125">
        <v>1.18</v>
      </c>
      <c r="M35" s="1513" t="s">
        <v>82</v>
      </c>
      <c r="N35" s="1126">
        <v>0.72</v>
      </c>
      <c r="O35" s="1208"/>
      <c r="P35" s="2205">
        <v>5.1999999999999998E-2</v>
      </c>
      <c r="Q35" s="2648">
        <v>1.73</v>
      </c>
      <c r="R35" s="1127">
        <v>1.35</v>
      </c>
      <c r="S35" s="1128">
        <v>0.49</v>
      </c>
      <c r="T35" s="1128"/>
      <c r="U35" s="1128"/>
      <c r="V35" s="1128"/>
      <c r="W35" s="1128">
        <v>0.86</v>
      </c>
      <c r="X35" s="767">
        <v>0.73799999999999999</v>
      </c>
      <c r="Y35" s="3232">
        <v>0.193</v>
      </c>
      <c r="Z35" s="3351">
        <v>0.91200000000000003</v>
      </c>
      <c r="AA35" s="1415">
        <v>0.73199999999999998</v>
      </c>
      <c r="AB35" s="1415">
        <v>0.64200000000000002</v>
      </c>
      <c r="AC35" s="1415"/>
      <c r="AD35" s="1415"/>
      <c r="AE35" s="1415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</row>
    <row r="36" spans="1:105" ht="15.75" thickBot="1">
      <c r="A36" s="1205" t="s">
        <v>23</v>
      </c>
      <c r="B36" s="997"/>
      <c r="C36" s="1129" t="s">
        <v>27</v>
      </c>
      <c r="D36" s="1421"/>
      <c r="E36" s="1421"/>
      <c r="F36" s="1421"/>
      <c r="G36" s="1422"/>
      <c r="H36" s="1503"/>
      <c r="I36" s="1424">
        <v>0.8</v>
      </c>
      <c r="J36" s="1435">
        <v>0.66300000000000003</v>
      </c>
      <c r="K36" s="1504">
        <v>1.1379999999999999</v>
      </c>
      <c r="L36" s="1135">
        <v>1.19</v>
      </c>
      <c r="M36" s="1635" t="s">
        <v>82</v>
      </c>
      <c r="N36" s="1136">
        <v>0.36</v>
      </c>
      <c r="O36" s="1209"/>
      <c r="P36" s="2206">
        <v>0.68</v>
      </c>
      <c r="Q36" s="2648">
        <v>1.81</v>
      </c>
      <c r="R36" s="633">
        <v>0.98</v>
      </c>
      <c r="S36" s="634">
        <v>0.51</v>
      </c>
      <c r="T36" s="634"/>
      <c r="U36" s="634"/>
      <c r="V36" s="634"/>
      <c r="W36" s="634">
        <v>1.02</v>
      </c>
      <c r="X36" s="767">
        <v>0.69199999999999995</v>
      </c>
      <c r="Y36" s="3233">
        <v>1.095</v>
      </c>
      <c r="Z36" s="3352">
        <v>0.60799999999999998</v>
      </c>
      <c r="AA36" s="1424">
        <v>0.79300000000000004</v>
      </c>
      <c r="AB36" s="1424">
        <v>0.96899999999999997</v>
      </c>
      <c r="AC36" s="1424"/>
      <c r="AD36" s="1424"/>
      <c r="AE36" s="1424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</row>
    <row r="37" spans="1:105">
      <c r="A37" s="1023" t="s">
        <v>6</v>
      </c>
      <c r="B37" s="995">
        <f>COUNTA(C37:C41)</f>
        <v>5</v>
      </c>
      <c r="C37" s="1111" t="s">
        <v>10</v>
      </c>
      <c r="D37" s="1406"/>
      <c r="E37" s="1406"/>
      <c r="F37" s="1406"/>
      <c r="G37" s="1407"/>
      <c r="H37" s="1505"/>
      <c r="I37" s="1409">
        <v>0.27200000000000002</v>
      </c>
      <c r="J37" s="1431">
        <v>0.27200000000000002</v>
      </c>
      <c r="K37" s="1500">
        <v>0.187</v>
      </c>
      <c r="L37" s="1400">
        <v>0.187</v>
      </c>
      <c r="M37" s="1634" t="s">
        <v>82</v>
      </c>
      <c r="N37" s="1118">
        <v>0.14000000000000001</v>
      </c>
      <c r="O37" s="1207"/>
      <c r="P37" s="2220"/>
      <c r="Q37" s="2648"/>
      <c r="R37" s="1119"/>
      <c r="S37" s="1120">
        <v>0.12</v>
      </c>
      <c r="T37" s="1120"/>
      <c r="U37" s="1120"/>
      <c r="V37" s="1120"/>
      <c r="W37" s="1120">
        <v>0.156</v>
      </c>
      <c r="X37" s="767">
        <v>0.122</v>
      </c>
      <c r="Y37" s="3220">
        <v>0.40100000000000002</v>
      </c>
      <c r="Z37" s="3350">
        <v>0.214</v>
      </c>
      <c r="AA37" s="1409">
        <v>0.23599999999999999</v>
      </c>
      <c r="AB37" s="1409">
        <v>0.23499999999999999</v>
      </c>
      <c r="AC37" s="1409"/>
      <c r="AD37" s="1409"/>
      <c r="AE37" s="1409"/>
      <c r="AF37" s="61"/>
      <c r="AG37" s="61"/>
      <c r="AH37" s="61"/>
      <c r="AI37" s="61"/>
      <c r="AJ37" s="61"/>
      <c r="AK37" s="61" t="s">
        <v>383</v>
      </c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</row>
    <row r="38" spans="1:105">
      <c r="A38" s="1199" t="s">
        <v>6</v>
      </c>
      <c r="B38" s="996"/>
      <c r="C38" s="1121" t="s">
        <v>20</v>
      </c>
      <c r="D38" s="1412"/>
      <c r="E38" s="1412"/>
      <c r="F38" s="1412"/>
      <c r="G38" s="1413"/>
      <c r="H38" s="1501"/>
      <c r="I38" s="1415">
        <v>0.26700000000000002</v>
      </c>
      <c r="J38" s="1433">
        <v>0.26700000000000002</v>
      </c>
      <c r="K38" s="1502">
        <v>0.20799999999999999</v>
      </c>
      <c r="L38" s="1401">
        <v>0.182</v>
      </c>
      <c r="M38" s="1513" t="s">
        <v>82</v>
      </c>
      <c r="N38" s="1126">
        <v>0.18</v>
      </c>
      <c r="O38" s="1208"/>
      <c r="P38" s="2205"/>
      <c r="Q38" s="2648"/>
      <c r="R38" s="1127"/>
      <c r="S38" s="1128">
        <v>0.13</v>
      </c>
      <c r="T38" s="1128"/>
      <c r="U38" s="1128"/>
      <c r="V38" s="1128"/>
      <c r="W38" s="1128">
        <v>0.16200000000000001</v>
      </c>
      <c r="X38" s="767">
        <v>0.127</v>
      </c>
      <c r="Y38" s="3232">
        <v>0.53700000000000003</v>
      </c>
      <c r="Z38" s="3351">
        <v>0.19500000000000001</v>
      </c>
      <c r="AA38" s="1415">
        <v>0.26600000000000001</v>
      </c>
      <c r="AB38" s="1415">
        <v>0.34499999999999997</v>
      </c>
      <c r="AC38" s="1415"/>
      <c r="AD38" s="1415"/>
      <c r="AE38" s="1415"/>
      <c r="AF38" s="61"/>
      <c r="AG38" s="61"/>
      <c r="AH38" s="61"/>
      <c r="AI38" s="61"/>
      <c r="AJ38" s="61"/>
      <c r="AK38" s="61" t="s">
        <v>383</v>
      </c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</row>
    <row r="39" spans="1:105">
      <c r="A39" s="1199" t="s">
        <v>6</v>
      </c>
      <c r="B39" s="996"/>
      <c r="C39" s="1121" t="s">
        <v>11</v>
      </c>
      <c r="D39" s="1412"/>
      <c r="E39" s="1412"/>
      <c r="F39" s="1412"/>
      <c r="G39" s="1413"/>
      <c r="H39" s="1501"/>
      <c r="I39" s="1415">
        <v>0.26700000000000002</v>
      </c>
      <c r="J39" s="1433">
        <v>0.26700000000000002</v>
      </c>
      <c r="K39" s="1502">
        <v>0.20799999999999999</v>
      </c>
      <c r="L39" s="1401">
        <v>0.16600000000000001</v>
      </c>
      <c r="M39" s="1513" t="s">
        <v>82</v>
      </c>
      <c r="N39" s="1126">
        <v>0.13</v>
      </c>
      <c r="O39" s="1208"/>
      <c r="P39" s="2205"/>
      <c r="Q39" s="2648"/>
      <c r="R39" s="1127"/>
      <c r="S39" s="1128">
        <v>0.12</v>
      </c>
      <c r="T39" s="1128"/>
      <c r="U39" s="1128"/>
      <c r="V39" s="1128"/>
      <c r="W39" s="1128">
        <v>0.13</v>
      </c>
      <c r="X39" s="767">
        <v>5.7000000000000002E-2</v>
      </c>
      <c r="Y39" s="3232">
        <v>0.48199999999999998</v>
      </c>
      <c r="Z39" s="3351">
        <v>0.23699999999999999</v>
      </c>
      <c r="AA39" s="1415">
        <v>0.252</v>
      </c>
      <c r="AB39" s="1415">
        <v>0.308</v>
      </c>
      <c r="AC39" s="1415"/>
      <c r="AD39" s="1415"/>
      <c r="AE39" s="1415"/>
      <c r="AF39" s="61"/>
      <c r="AG39" s="61"/>
      <c r="AH39" s="61"/>
      <c r="AI39" s="61"/>
      <c r="AJ39" s="61"/>
      <c r="AK39" s="61">
        <v>0.105</v>
      </c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</row>
    <row r="40" spans="1:105">
      <c r="A40" s="1199" t="s">
        <v>6</v>
      </c>
      <c r="B40" s="996"/>
      <c r="C40" s="1121" t="s">
        <v>14</v>
      </c>
      <c r="D40" s="1412"/>
      <c r="E40" s="1412"/>
      <c r="F40" s="1412"/>
      <c r="G40" s="1413"/>
      <c r="H40" s="1501"/>
      <c r="I40" s="1415">
        <v>0.25600000000000001</v>
      </c>
      <c r="J40" s="1433">
        <v>0.25600000000000001</v>
      </c>
      <c r="K40" s="1502">
        <v>0.161</v>
      </c>
      <c r="L40" s="1401">
        <v>0.16600000000000001</v>
      </c>
      <c r="M40" s="1513" t="s">
        <v>82</v>
      </c>
      <c r="N40" s="1126">
        <v>0.95</v>
      </c>
      <c r="O40" s="1208"/>
      <c r="P40" s="2205"/>
      <c r="Q40" s="2648"/>
      <c r="R40" s="1127"/>
      <c r="S40" s="1128">
        <v>0.11</v>
      </c>
      <c r="T40" s="1128"/>
      <c r="U40" s="1128"/>
      <c r="V40" s="1128"/>
      <c r="W40" s="1128">
        <v>0.155</v>
      </c>
      <c r="X40" s="767">
        <v>0.106</v>
      </c>
      <c r="Y40" s="3232">
        <v>0.54</v>
      </c>
      <c r="Z40" s="3351">
        <v>0.20300000000000001</v>
      </c>
      <c r="AA40" s="1415">
        <v>0.26900000000000002</v>
      </c>
      <c r="AB40" s="1415">
        <v>0.249</v>
      </c>
      <c r="AC40" s="1415"/>
      <c r="AD40" s="1415"/>
      <c r="AE40" s="1415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</row>
    <row r="41" spans="1:105" ht="17.25" customHeight="1" thickBot="1">
      <c r="A41" s="1205" t="s">
        <v>6</v>
      </c>
      <c r="B41" s="997"/>
      <c r="C41" s="1129" t="s">
        <v>7</v>
      </c>
      <c r="D41" s="1421"/>
      <c r="E41" s="1421"/>
      <c r="F41" s="1421"/>
      <c r="G41" s="1422"/>
      <c r="H41" s="1503"/>
      <c r="I41" s="1424">
        <v>0.26200000000000001</v>
      </c>
      <c r="J41" s="1435">
        <v>0.26200000000000001</v>
      </c>
      <c r="K41" s="1504">
        <v>0.20300000000000001</v>
      </c>
      <c r="L41" s="1402">
        <v>0.154</v>
      </c>
      <c r="M41" s="1635" t="s">
        <v>82</v>
      </c>
      <c r="N41" s="1136">
        <v>0.13</v>
      </c>
      <c r="O41" s="1209"/>
      <c r="P41" s="2206"/>
      <c r="Q41" s="2648"/>
      <c r="R41" s="633"/>
      <c r="S41" s="634">
        <v>0.09</v>
      </c>
      <c r="T41" s="634"/>
      <c r="U41" s="634"/>
      <c r="V41" s="634"/>
      <c r="W41" s="634">
        <v>0.13800000000000001</v>
      </c>
      <c r="X41" s="767">
        <v>0.06</v>
      </c>
      <c r="Y41" s="3233">
        <v>0.36</v>
      </c>
      <c r="Z41" s="3352">
        <v>0.216</v>
      </c>
      <c r="AA41" s="1424">
        <v>0.20499999999999999</v>
      </c>
      <c r="AB41" s="1424">
        <v>0.32</v>
      </c>
      <c r="AC41" s="1424"/>
      <c r="AD41" s="1424"/>
      <c r="AE41" s="1424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</row>
    <row r="42" spans="1:105">
      <c r="A42" s="1024" t="s">
        <v>28</v>
      </c>
      <c r="B42" s="1065">
        <f>COUNTA(C42:C44)</f>
        <v>3</v>
      </c>
      <c r="C42" s="1111" t="s">
        <v>35</v>
      </c>
      <c r="D42" s="1406"/>
      <c r="E42" s="1406"/>
      <c r="F42" s="1406"/>
      <c r="G42" s="1407"/>
      <c r="H42" s="1509"/>
      <c r="I42" s="1114">
        <v>4.9210000000000003</v>
      </c>
      <c r="J42" s="1186">
        <v>1.69</v>
      </c>
      <c r="K42" s="1296">
        <v>6.39</v>
      </c>
      <c r="L42" s="1117">
        <v>7.54</v>
      </c>
      <c r="M42" s="1634" t="s">
        <v>82</v>
      </c>
      <c r="N42" s="1118">
        <v>2.65</v>
      </c>
      <c r="O42" s="1207"/>
      <c r="P42" s="2220">
        <v>3.02</v>
      </c>
      <c r="Q42" s="2648">
        <v>9</v>
      </c>
      <c r="R42" s="1119">
        <v>4.2389999999999999</v>
      </c>
      <c r="S42" s="1120">
        <v>1.82</v>
      </c>
      <c r="T42" s="1120"/>
      <c r="U42" s="1120"/>
      <c r="V42" s="1120"/>
      <c r="W42" s="1120">
        <v>2.5070000000000001</v>
      </c>
      <c r="X42" s="767">
        <v>5.9779999999999998</v>
      </c>
      <c r="Y42" s="3220">
        <v>7.7640000000000002</v>
      </c>
      <c r="Z42" s="3350">
        <v>4.2510000000000003</v>
      </c>
      <c r="AA42" s="1407">
        <v>5.1189999999999998</v>
      </c>
      <c r="AB42" s="1407">
        <v>8.2100000000000009</v>
      </c>
      <c r="AC42" s="1407"/>
      <c r="AD42" s="1407"/>
      <c r="AE42" s="1407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</row>
    <row r="43" spans="1:105">
      <c r="A43" s="1279" t="s">
        <v>28</v>
      </c>
      <c r="B43" s="998"/>
      <c r="C43" s="1121" t="s">
        <v>29</v>
      </c>
      <c r="D43" s="1412"/>
      <c r="E43" s="1412"/>
      <c r="F43" s="1412"/>
      <c r="G43" s="1413"/>
      <c r="H43" s="1510"/>
      <c r="I43" s="1003">
        <v>2.52</v>
      </c>
      <c r="J43" s="1189">
        <v>1.31</v>
      </c>
      <c r="K43" s="1304">
        <v>2.88</v>
      </c>
      <c r="L43" s="1125">
        <v>6.35</v>
      </c>
      <c r="M43" s="1513" t="s">
        <v>82</v>
      </c>
      <c r="N43" s="1126">
        <v>1.43</v>
      </c>
      <c r="O43" s="1208"/>
      <c r="P43" s="2205">
        <v>2.2400000000000002</v>
      </c>
      <c r="Q43" s="2648">
        <v>10</v>
      </c>
      <c r="R43" s="1127">
        <v>3.9969999999999999</v>
      </c>
      <c r="S43" s="1128">
        <v>1.77</v>
      </c>
      <c r="T43" s="1128"/>
      <c r="U43" s="1128"/>
      <c r="V43" s="1128"/>
      <c r="W43" s="1128">
        <v>0.93899999999999995</v>
      </c>
      <c r="X43" s="767">
        <v>6.03</v>
      </c>
      <c r="Y43" s="3232">
        <v>6.7359999999999998</v>
      </c>
      <c r="Z43" s="3351">
        <v>1.0069999999999999</v>
      </c>
      <c r="AA43" s="1413">
        <v>3.74</v>
      </c>
      <c r="AB43" s="1413">
        <v>3.92</v>
      </c>
      <c r="AC43" s="1413"/>
      <c r="AD43" s="1413"/>
      <c r="AE43" s="1413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</row>
    <row r="44" spans="1:105" ht="15.75" thickBot="1">
      <c r="A44" s="1287" t="s">
        <v>28</v>
      </c>
      <c r="B44" s="1288"/>
      <c r="C44" s="1129" t="s">
        <v>36</v>
      </c>
      <c r="D44" s="1421"/>
      <c r="E44" s="1421"/>
      <c r="F44" s="1421"/>
      <c r="G44" s="1422"/>
      <c r="H44" s="1511"/>
      <c r="I44" s="1147">
        <v>2.573</v>
      </c>
      <c r="J44" s="1194">
        <v>1.155</v>
      </c>
      <c r="K44" s="1313">
        <v>2.7</v>
      </c>
      <c r="L44" s="1135">
        <v>6.2</v>
      </c>
      <c r="M44" s="1635" t="s">
        <v>82</v>
      </c>
      <c r="N44" s="1136">
        <v>1.88</v>
      </c>
      <c r="O44" s="1209"/>
      <c r="P44" s="2206">
        <v>2.12</v>
      </c>
      <c r="Q44" s="2648">
        <v>14</v>
      </c>
      <c r="R44" s="633">
        <v>4.55</v>
      </c>
      <c r="S44" s="634">
        <v>1.73</v>
      </c>
      <c r="T44" s="634"/>
      <c r="U44" s="634"/>
      <c r="V44" s="634"/>
      <c r="W44" s="634">
        <v>1.4319999999999999</v>
      </c>
      <c r="X44" s="767">
        <v>4.8609999999999998</v>
      </c>
      <c r="Y44" s="3233">
        <v>6.6849999999999996</v>
      </c>
      <c r="Z44" s="3352">
        <v>1.492</v>
      </c>
      <c r="AA44" s="1422">
        <v>3.5470000000000002</v>
      </c>
      <c r="AB44" s="1422">
        <v>3.89</v>
      </c>
      <c r="AC44" s="1422"/>
      <c r="AD44" s="1422"/>
      <c r="AE44" s="1422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</row>
    <row r="45" spans="1:105" ht="15.75" thickBot="1">
      <c r="A45" s="1023" t="s">
        <v>8</v>
      </c>
      <c r="B45" s="995">
        <f>COUNTA(C45:C47)</f>
        <v>3</v>
      </c>
      <c r="C45" s="1161" t="s">
        <v>9</v>
      </c>
      <c r="D45" s="1439"/>
      <c r="E45" s="1439"/>
      <c r="F45" s="1439"/>
      <c r="G45" s="1440"/>
      <c r="H45" s="1509"/>
      <c r="I45" s="1409">
        <v>0.108</v>
      </c>
      <c r="J45" s="1431">
        <v>7.1999999999999995E-2</v>
      </c>
      <c r="K45" s="1500">
        <v>9.7000000000000003E-2</v>
      </c>
      <c r="L45" s="1400">
        <v>0.107</v>
      </c>
      <c r="M45" s="1634" t="s">
        <v>82</v>
      </c>
      <c r="N45" s="1118">
        <v>7.0000000000000007E-2</v>
      </c>
      <c r="O45" s="1207"/>
      <c r="P45" s="2220">
        <v>0.125</v>
      </c>
      <c r="Q45" s="2648">
        <v>5.7000000000000002E-2</v>
      </c>
      <c r="R45" s="1119">
        <v>8.4000000000000005E-2</v>
      </c>
      <c r="S45" s="1120">
        <v>0.14000000000000001</v>
      </c>
      <c r="T45" s="1120"/>
      <c r="U45" s="1120"/>
      <c r="V45" s="1120"/>
      <c r="W45" s="1120">
        <v>0.108</v>
      </c>
      <c r="X45" s="767">
        <v>4.3999999999999997E-2</v>
      </c>
      <c r="Y45" s="3219">
        <v>4.3999999999999997E-2</v>
      </c>
      <c r="Z45" s="3347">
        <v>0.106</v>
      </c>
      <c r="AA45" s="1440">
        <v>9.7000000000000003E-2</v>
      </c>
      <c r="AB45" s="3509">
        <v>0.113</v>
      </c>
      <c r="AC45" s="1440"/>
      <c r="AD45" s="1440"/>
      <c r="AE45" s="1440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</row>
    <row r="46" spans="1:105" ht="16.5" customHeight="1">
      <c r="A46" s="1199" t="s">
        <v>8</v>
      </c>
      <c r="B46" s="996"/>
      <c r="C46" s="1163" t="s">
        <v>271</v>
      </c>
      <c r="D46" s="1441"/>
      <c r="E46" s="1441"/>
      <c r="F46" s="1441"/>
      <c r="G46" s="1442"/>
      <c r="H46" s="1510"/>
      <c r="I46" s="1415">
        <v>0.21299999999999999</v>
      </c>
      <c r="J46" s="1433">
        <v>0.17199999999999999</v>
      </c>
      <c r="K46" s="1502">
        <v>9.1999999999999998E-2</v>
      </c>
      <c r="L46" s="1401">
        <v>0.13500000000000001</v>
      </c>
      <c r="M46" s="1513" t="s">
        <v>82</v>
      </c>
      <c r="N46" s="1126">
        <v>0.09</v>
      </c>
      <c r="O46" s="1208"/>
      <c r="P46" s="2205">
        <v>0.19800000000000001</v>
      </c>
      <c r="Q46" s="2648">
        <v>5.7000000000000002E-2</v>
      </c>
      <c r="R46" s="1127">
        <v>0.105</v>
      </c>
      <c r="S46" s="1128">
        <v>0.14000000000000001</v>
      </c>
      <c r="T46" s="1128"/>
      <c r="U46" s="1128"/>
      <c r="V46" s="1128"/>
      <c r="W46" s="1128">
        <v>7.9000000000000001E-2</v>
      </c>
      <c r="X46" s="767">
        <v>4.3999999999999997E-2</v>
      </c>
      <c r="Y46" s="3219">
        <v>4.3999999999999997E-2</v>
      </c>
      <c r="Z46" s="3348">
        <v>4.3999999999999997E-2</v>
      </c>
      <c r="AA46" s="1442">
        <v>4.7E-2</v>
      </c>
      <c r="AB46" s="3510">
        <v>0.107</v>
      </c>
      <c r="AC46" s="1442"/>
      <c r="AD46" s="1442"/>
      <c r="AE46" s="1442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</row>
    <row r="47" spans="1:105" ht="15.75" thickBot="1">
      <c r="A47" s="1205" t="s">
        <v>8</v>
      </c>
      <c r="B47" s="997"/>
      <c r="C47" s="1165" t="s">
        <v>13</v>
      </c>
      <c r="D47" s="1443"/>
      <c r="E47" s="1443"/>
      <c r="F47" s="1443"/>
      <c r="G47" s="1444"/>
      <c r="H47" s="1511"/>
      <c r="I47" s="1424">
        <v>0.10100000000000001</v>
      </c>
      <c r="J47" s="1435">
        <v>8.8999999999999996E-2</v>
      </c>
      <c r="K47" s="1504">
        <v>9.1999999999999998E-2</v>
      </c>
      <c r="L47" s="1402">
        <v>0.20200000000000001</v>
      </c>
      <c r="M47" s="1635" t="s">
        <v>82</v>
      </c>
      <c r="N47" s="1136">
        <v>0.18</v>
      </c>
      <c r="O47" s="1209"/>
      <c r="P47" s="2313">
        <v>0.2</v>
      </c>
      <c r="Q47" s="2648">
        <v>5.7000000000000002E-2</v>
      </c>
      <c r="R47" s="633">
        <v>7.2999999999999995E-2</v>
      </c>
      <c r="S47" s="634">
        <v>0.15</v>
      </c>
      <c r="T47" s="634"/>
      <c r="U47" s="634"/>
      <c r="V47" s="634"/>
      <c r="W47" s="634">
        <v>0.16300000000000001</v>
      </c>
      <c r="X47" s="767">
        <v>4.3999999999999997E-2</v>
      </c>
      <c r="Y47" s="3218">
        <v>0.105</v>
      </c>
      <c r="Z47" s="3349">
        <v>6.3E-2</v>
      </c>
      <c r="AA47" s="1444">
        <v>7.6999999999999999E-2</v>
      </c>
      <c r="AB47" s="3511">
        <v>0.13600000000000001</v>
      </c>
      <c r="AC47" s="1444"/>
      <c r="AD47" s="1444"/>
      <c r="AE47" s="1444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</row>
    <row r="48" spans="1:105" s="4" customFormat="1">
      <c r="A48" s="3526" t="s">
        <v>386</v>
      </c>
      <c r="B48" s="1011">
        <v>4</v>
      </c>
      <c r="C48" s="3253" t="s">
        <v>391</v>
      </c>
      <c r="D48" s="3214"/>
      <c r="E48" s="3214"/>
      <c r="F48" s="3214"/>
      <c r="G48" s="3214"/>
      <c r="H48" s="3214"/>
      <c r="I48" s="3214"/>
      <c r="J48" s="3214"/>
      <c r="K48" s="3214"/>
      <c r="L48" s="3214"/>
      <c r="M48" s="3214"/>
      <c r="N48" s="3214"/>
      <c r="O48" s="3214"/>
      <c r="P48" s="3214"/>
      <c r="Q48" s="3214"/>
      <c r="R48" s="3214"/>
      <c r="S48" s="3214"/>
      <c r="T48" s="3214"/>
      <c r="U48" s="3214"/>
      <c r="V48" s="3214"/>
      <c r="W48" s="3214"/>
      <c r="X48" s="2926"/>
      <c r="Y48" s="2859">
        <v>0.379</v>
      </c>
      <c r="Z48" s="2926">
        <v>0.32</v>
      </c>
      <c r="AA48" s="2861">
        <v>0.33100000000000002</v>
      </c>
      <c r="AB48" s="2861">
        <v>0.30199999999999999</v>
      </c>
      <c r="AC48" s="2861"/>
      <c r="AD48" s="2861"/>
      <c r="AE48" s="2861"/>
      <c r="BB48" s="83"/>
      <c r="BC48" s="83"/>
      <c r="BD48" s="83"/>
      <c r="BE48" s="83"/>
      <c r="BF48" s="83"/>
      <c r="BG48" s="83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CE48" s="83"/>
      <c r="CF48" s="83"/>
      <c r="CG48" s="83"/>
      <c r="CH48" s="83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3"/>
      <c r="CW48" s="83"/>
      <c r="CX48" s="83"/>
      <c r="CY48" s="83"/>
      <c r="CZ48" s="83"/>
      <c r="DA48" s="83"/>
    </row>
    <row r="49" spans="1:105" s="4" customFormat="1">
      <c r="A49" s="3527"/>
      <c r="B49" s="1108"/>
      <c r="C49" s="3254" t="s">
        <v>392</v>
      </c>
      <c r="D49" s="3214"/>
      <c r="E49" s="3214"/>
      <c r="F49" s="3214"/>
      <c r="G49" s="3214"/>
      <c r="H49" s="3214"/>
      <c r="I49" s="3214"/>
      <c r="J49" s="3214"/>
      <c r="K49" s="3214"/>
      <c r="L49" s="3214"/>
      <c r="M49" s="3214"/>
      <c r="N49" s="3214"/>
      <c r="O49" s="3214"/>
      <c r="P49" s="3214"/>
      <c r="Q49" s="3214"/>
      <c r="R49" s="3214"/>
      <c r="S49" s="3214"/>
      <c r="T49" s="3214"/>
      <c r="U49" s="3214"/>
      <c r="V49" s="3214"/>
      <c r="W49" s="3214"/>
      <c r="X49" s="2927"/>
      <c r="Y49" s="2862">
        <v>0.247</v>
      </c>
      <c r="Z49" s="2927">
        <v>0.17299999999999999</v>
      </c>
      <c r="AA49" s="2863">
        <v>0.22800000000000001</v>
      </c>
      <c r="AB49" s="2863">
        <v>0.214</v>
      </c>
      <c r="AC49" s="2863"/>
      <c r="AD49" s="2863"/>
      <c r="AE49" s="286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</row>
    <row r="50" spans="1:105" s="4" customFormat="1">
      <c r="A50" s="3527"/>
      <c r="B50" s="1108"/>
      <c r="C50" s="3254" t="s">
        <v>393</v>
      </c>
      <c r="D50" s="3214"/>
      <c r="E50" s="3214"/>
      <c r="F50" s="3214"/>
      <c r="G50" s="3214"/>
      <c r="H50" s="3214"/>
      <c r="I50" s="3214"/>
      <c r="J50" s="3214"/>
      <c r="K50" s="3214"/>
      <c r="L50" s="3214"/>
      <c r="M50" s="3214"/>
      <c r="N50" s="3214"/>
      <c r="O50" s="3214"/>
      <c r="P50" s="3214"/>
      <c r="Q50" s="3214"/>
      <c r="R50" s="3214"/>
      <c r="S50" s="3214"/>
      <c r="T50" s="3214"/>
      <c r="U50" s="3214"/>
      <c r="V50" s="3214"/>
      <c r="W50" s="3214"/>
      <c r="X50" s="2927"/>
      <c r="Y50" s="2862">
        <v>0.46300000000000002</v>
      </c>
      <c r="Z50" s="2927">
        <v>0.13500000000000001</v>
      </c>
      <c r="AA50" s="2863">
        <v>0.22</v>
      </c>
      <c r="AB50" s="2863">
        <v>0.36199999999999999</v>
      </c>
      <c r="AC50" s="2863"/>
      <c r="AD50" s="2863"/>
      <c r="AE50" s="2863"/>
      <c r="BB50" s="83"/>
      <c r="BC50" s="83"/>
      <c r="BD50" s="83"/>
      <c r="BE50" s="83"/>
      <c r="BF50" s="83"/>
      <c r="BG50" s="83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CE50" s="83"/>
      <c r="CF50" s="83"/>
      <c r="CG50" s="83"/>
      <c r="CH50" s="83"/>
      <c r="CI50" s="83"/>
      <c r="CJ50" s="83"/>
      <c r="CK50" s="83"/>
      <c r="CL50" s="83"/>
      <c r="CM50" s="83"/>
      <c r="CN50" s="83"/>
      <c r="CO50" s="83"/>
      <c r="CP50" s="83"/>
      <c r="CQ50" s="83"/>
      <c r="CR50" s="83"/>
      <c r="CS50" s="83"/>
      <c r="CT50" s="83"/>
      <c r="CU50" s="83"/>
      <c r="CV50" s="83"/>
      <c r="CW50" s="83"/>
      <c r="CX50" s="83"/>
      <c r="CY50" s="83"/>
      <c r="CZ50" s="83"/>
      <c r="DA50" s="83"/>
    </row>
    <row r="51" spans="1:105" ht="15.75" thickBot="1">
      <c r="A51" s="3528"/>
      <c r="B51" s="1110"/>
      <c r="C51" s="3255" t="s">
        <v>394</v>
      </c>
      <c r="D51" s="3214"/>
      <c r="E51" s="3214"/>
      <c r="F51" s="3214"/>
      <c r="G51" s="3214"/>
      <c r="H51" s="3214"/>
      <c r="I51" s="3214"/>
      <c r="J51" s="3214"/>
      <c r="K51" s="3214"/>
      <c r="L51" s="3214"/>
      <c r="M51" s="3214"/>
      <c r="N51" s="3214"/>
      <c r="O51" s="3214"/>
      <c r="P51" s="3214"/>
      <c r="Q51" s="3214"/>
      <c r="R51" s="3214"/>
      <c r="S51" s="3214"/>
      <c r="T51" s="3214"/>
      <c r="U51" s="3214"/>
      <c r="V51" s="3214"/>
      <c r="W51" s="3214"/>
      <c r="X51" s="2928"/>
      <c r="Y51" s="2864">
        <v>0.48699999999999999</v>
      </c>
      <c r="Z51" s="2928">
        <v>0.16700000000000001</v>
      </c>
      <c r="AA51" s="2866">
        <v>0.23300000000000001</v>
      </c>
      <c r="AB51" s="2866">
        <v>0.25700000000000001</v>
      </c>
      <c r="AC51" s="2866"/>
      <c r="AD51" s="2866"/>
      <c r="AE51" s="2866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</row>
    <row r="52" spans="1:105">
      <c r="A52" s="3526" t="s">
        <v>387</v>
      </c>
      <c r="B52" s="1011">
        <v>3</v>
      </c>
      <c r="C52" s="3253" t="s">
        <v>395</v>
      </c>
      <c r="D52" s="3214"/>
      <c r="E52" s="3214"/>
      <c r="F52" s="3214"/>
      <c r="G52" s="3214"/>
      <c r="H52" s="3214"/>
      <c r="I52" s="3214"/>
      <c r="J52" s="3214"/>
      <c r="K52" s="3214"/>
      <c r="L52" s="3214"/>
      <c r="M52" s="3214"/>
      <c r="N52" s="3214"/>
      <c r="O52" s="3214"/>
      <c r="P52" s="3214"/>
      <c r="Q52" s="3214"/>
      <c r="R52" s="3214"/>
      <c r="S52" s="3214"/>
      <c r="T52" s="3214"/>
      <c r="U52" s="3214"/>
      <c r="V52" s="3214"/>
      <c r="W52" s="3214"/>
      <c r="X52" s="2859"/>
      <c r="Y52" s="2926">
        <v>0.48699999999999999</v>
      </c>
      <c r="Z52" s="2861">
        <v>0.188</v>
      </c>
      <c r="AA52" s="2861">
        <v>0.46200000000000002</v>
      </c>
      <c r="AB52" s="2861"/>
      <c r="AC52" s="2861"/>
      <c r="AD52" s="2861"/>
      <c r="AE52" s="28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</row>
    <row r="53" spans="1:105">
      <c r="A53" s="3527"/>
      <c r="B53" s="1108"/>
      <c r="C53" s="3254" t="s">
        <v>396</v>
      </c>
      <c r="D53" s="3214"/>
      <c r="E53" s="3214"/>
      <c r="F53" s="3214"/>
      <c r="G53" s="3214"/>
      <c r="H53" s="3214"/>
      <c r="I53" s="3214"/>
      <c r="J53" s="3214"/>
      <c r="K53" s="3214"/>
      <c r="L53" s="3214"/>
      <c r="M53" s="3214"/>
      <c r="N53" s="3214"/>
      <c r="O53" s="3214"/>
      <c r="P53" s="3214"/>
      <c r="Q53" s="3214"/>
      <c r="R53" s="3214"/>
      <c r="S53" s="3214"/>
      <c r="T53" s="3214"/>
      <c r="U53" s="3214"/>
      <c r="V53" s="3214"/>
      <c r="W53" s="3214"/>
      <c r="X53" s="2862"/>
      <c r="Y53" s="2927">
        <v>0.46400000000000002</v>
      </c>
      <c r="Z53" s="2863">
        <v>0.219</v>
      </c>
      <c r="AA53" s="2863">
        <v>0.45700000000000002</v>
      </c>
      <c r="AB53" s="2863"/>
      <c r="AC53" s="2863"/>
      <c r="AD53" s="2863"/>
      <c r="AE53" s="2863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</row>
    <row r="54" spans="1:105" ht="15.75" thickBot="1">
      <c r="A54" s="3528"/>
      <c r="B54" s="1110"/>
      <c r="C54" s="3255" t="s">
        <v>397</v>
      </c>
      <c r="D54" s="3214"/>
      <c r="E54" s="3214"/>
      <c r="F54" s="3214"/>
      <c r="G54" s="3214"/>
      <c r="H54" s="3214"/>
      <c r="I54" s="3214"/>
      <c r="J54" s="3214"/>
      <c r="K54" s="3214"/>
      <c r="L54" s="3214"/>
      <c r="M54" s="3214"/>
      <c r="N54" s="3214"/>
      <c r="O54" s="3214"/>
      <c r="P54" s="3214"/>
      <c r="Q54" s="3214"/>
      <c r="R54" s="3214"/>
      <c r="S54" s="3214"/>
      <c r="T54" s="3214"/>
      <c r="U54" s="3214"/>
      <c r="V54" s="3214"/>
      <c r="W54" s="3214"/>
      <c r="X54" s="2864"/>
      <c r="Y54" s="2928">
        <v>4.3999999999999997E-2</v>
      </c>
      <c r="Z54" s="2866">
        <v>0.22900000000000001</v>
      </c>
      <c r="AA54" s="2866">
        <v>0.248</v>
      </c>
      <c r="AB54" s="2866"/>
      <c r="AC54" s="2866"/>
      <c r="AD54" s="2866"/>
      <c r="AE54" s="2866"/>
      <c r="AF54" s="61"/>
      <c r="AG54" s="61"/>
      <c r="AH54" s="61"/>
      <c r="AI54" s="61"/>
      <c r="AJ54" s="61"/>
      <c r="AK54" s="61"/>
      <c r="AL54" s="40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</row>
    <row r="55" spans="1:105">
      <c r="A55" s="3526" t="s">
        <v>388</v>
      </c>
      <c r="B55" s="1011">
        <v>3</v>
      </c>
      <c r="C55" s="3253" t="s">
        <v>398</v>
      </c>
      <c r="D55" s="3214"/>
      <c r="E55" s="3214"/>
      <c r="F55" s="3214"/>
      <c r="G55" s="3214"/>
      <c r="H55" s="3214"/>
      <c r="I55" s="3214"/>
      <c r="J55" s="3214"/>
      <c r="K55" s="3214"/>
      <c r="L55" s="3214"/>
      <c r="M55" s="3214"/>
      <c r="N55" s="3214"/>
      <c r="O55" s="3214"/>
      <c r="P55" s="3214"/>
      <c r="Q55" s="3214"/>
      <c r="R55" s="3214"/>
      <c r="S55" s="3214"/>
      <c r="T55" s="3214"/>
      <c r="U55" s="3214"/>
      <c r="V55" s="3214"/>
      <c r="W55" s="3214"/>
      <c r="X55" s="2926"/>
      <c r="Y55" s="2862">
        <v>4.4699999999999997E-2</v>
      </c>
      <c r="Z55" s="2926">
        <v>0.45400000000000001</v>
      </c>
      <c r="AA55" s="2861">
        <v>0.318</v>
      </c>
      <c r="AB55" s="2861">
        <v>0.26200000000000001</v>
      </c>
      <c r="AC55" s="2861"/>
      <c r="AD55" s="2861"/>
      <c r="AE55" s="28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</row>
    <row r="56" spans="1:105">
      <c r="A56" s="3527"/>
      <c r="B56" s="1108"/>
      <c r="C56" s="3254" t="s">
        <v>399</v>
      </c>
      <c r="D56" s="3214"/>
      <c r="E56" s="3214"/>
      <c r="F56" s="3214"/>
      <c r="G56" s="3214"/>
      <c r="H56" s="3214"/>
      <c r="I56" s="3214"/>
      <c r="J56" s="3214"/>
      <c r="K56" s="3214"/>
      <c r="L56" s="3214"/>
      <c r="M56" s="3214"/>
      <c r="N56" s="3214"/>
      <c r="O56" s="3214"/>
      <c r="P56" s="3214"/>
      <c r="Q56" s="3214"/>
      <c r="R56" s="3214"/>
      <c r="S56" s="3214"/>
      <c r="T56" s="3214"/>
      <c r="U56" s="3214"/>
      <c r="V56" s="3214"/>
      <c r="W56" s="3214"/>
      <c r="X56" s="2927"/>
      <c r="Y56" s="2862">
        <v>0.41</v>
      </c>
      <c r="Z56" s="2927">
        <v>0.42599999999999999</v>
      </c>
      <c r="AA56" s="2863">
        <v>0.318</v>
      </c>
      <c r="AB56" s="2863">
        <v>0.26100000000000001</v>
      </c>
      <c r="AC56" s="2863"/>
      <c r="AD56" s="2863"/>
      <c r="AE56" s="2863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</row>
    <row r="57" spans="1:105" ht="15.75" thickBot="1">
      <c r="A57" s="3528"/>
      <c r="B57" s="1110"/>
      <c r="C57" s="3255" t="s">
        <v>400</v>
      </c>
      <c r="D57" s="3214"/>
      <c r="E57" s="3214"/>
      <c r="F57" s="3214"/>
      <c r="G57" s="3214"/>
      <c r="H57" s="3214"/>
      <c r="I57" s="3214"/>
      <c r="J57" s="3214"/>
      <c r="K57" s="3214"/>
      <c r="L57" s="3214"/>
      <c r="M57" s="3214"/>
      <c r="N57" s="3214"/>
      <c r="O57" s="3214"/>
      <c r="P57" s="3214"/>
      <c r="Q57" s="3214"/>
      <c r="R57" s="3214"/>
      <c r="S57" s="3214"/>
      <c r="T57" s="3214"/>
      <c r="U57" s="3214"/>
      <c r="V57" s="3214"/>
      <c r="W57" s="3214"/>
      <c r="X57" s="2928"/>
      <c r="Y57" s="2864">
        <v>0.622</v>
      </c>
      <c r="Z57" s="2928">
        <v>0.443</v>
      </c>
      <c r="AA57" s="2866">
        <v>0.42599999999999999</v>
      </c>
      <c r="AB57" s="2866">
        <v>0.44</v>
      </c>
      <c r="AC57" s="2866"/>
      <c r="AD57" s="2866"/>
      <c r="AE57" s="2866"/>
      <c r="AF57" s="61"/>
      <c r="AG57" s="183"/>
      <c r="AH57" s="61"/>
      <c r="AI57" s="61"/>
      <c r="AJ57" s="61"/>
      <c r="AK57" s="61"/>
      <c r="AL57" s="61"/>
      <c r="AM57" s="61"/>
      <c r="AN57" s="183"/>
      <c r="AO57" s="61"/>
      <c r="AP57" s="61"/>
      <c r="AQ57" s="61"/>
      <c r="AR57" s="61"/>
      <c r="AS57" s="61"/>
      <c r="AT57" s="61"/>
      <c r="AU57" s="61"/>
      <c r="AV57" s="183"/>
      <c r="AW57" s="61"/>
      <c r="AX57" s="61"/>
      <c r="AY57" s="61"/>
      <c r="AZ57" s="61"/>
      <c r="BA57" s="61"/>
      <c r="BB57" s="61"/>
      <c r="BC57" s="61"/>
      <c r="BD57" s="183"/>
      <c r="BE57" s="61"/>
      <c r="BF57" s="61"/>
      <c r="BG57" s="61"/>
      <c r="BH57" s="61"/>
      <c r="BI57" s="61"/>
      <c r="BJ57" s="61"/>
      <c r="BK57" s="183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</row>
    <row r="58" spans="1:105" ht="15" customHeight="1">
      <c r="A58" s="3526" t="s">
        <v>389</v>
      </c>
      <c r="B58" s="1011">
        <v>3</v>
      </c>
      <c r="C58" s="3253" t="s">
        <v>17</v>
      </c>
      <c r="D58" s="3214"/>
      <c r="E58" s="3214"/>
      <c r="F58" s="3214"/>
      <c r="G58" s="3214"/>
      <c r="H58" s="3214"/>
      <c r="I58" s="3214"/>
      <c r="J58" s="3214"/>
      <c r="K58" s="3214"/>
      <c r="L58" s="3214"/>
      <c r="M58" s="3214"/>
      <c r="N58" s="3214"/>
      <c r="O58" s="3214"/>
      <c r="P58" s="3214"/>
      <c r="Q58" s="3214"/>
      <c r="R58" s="3214"/>
      <c r="S58" s="3214"/>
      <c r="T58" s="3214"/>
      <c r="U58" s="3214"/>
      <c r="V58" s="3214"/>
      <c r="W58" s="3214"/>
      <c r="X58" s="2926"/>
      <c r="Y58" s="2859">
        <v>0.14599999999999999</v>
      </c>
      <c r="Z58" s="2926">
        <v>0.27300000000000002</v>
      </c>
      <c r="AA58" s="2861">
        <v>0.17</v>
      </c>
      <c r="AB58" s="2861">
        <v>9.0999999999999998E-2</v>
      </c>
      <c r="AC58" s="2861"/>
      <c r="AD58" s="2861"/>
      <c r="AE58" s="2861"/>
      <c r="AF58" s="133"/>
      <c r="AG58" s="133"/>
      <c r="AH58" s="133"/>
      <c r="AI58" s="133"/>
      <c r="AJ58" s="133"/>
      <c r="AK58" s="61"/>
      <c r="AL58" s="61"/>
      <c r="AM58" s="61"/>
      <c r="AN58" s="133"/>
      <c r="AO58" s="133"/>
      <c r="AP58" s="133"/>
      <c r="AQ58" s="133"/>
      <c r="AR58" s="61"/>
      <c r="AS58" s="61"/>
      <c r="AT58" s="61"/>
      <c r="AU58" s="61"/>
      <c r="AV58" s="144"/>
      <c r="AW58" s="144"/>
      <c r="AX58" s="133"/>
      <c r="AY58" s="144"/>
      <c r="AZ58" s="61"/>
      <c r="BA58" s="61"/>
      <c r="BB58" s="61"/>
      <c r="BC58" s="61"/>
      <c r="BD58" s="144"/>
      <c r="BE58" s="144"/>
      <c r="BF58" s="133"/>
      <c r="BG58" s="61"/>
      <c r="BH58" s="61"/>
      <c r="BI58" s="61"/>
      <c r="BJ58" s="61"/>
      <c r="BK58" s="144"/>
      <c r="BL58" s="133"/>
      <c r="BM58" s="144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</row>
    <row r="59" spans="1:105">
      <c r="A59" s="3527"/>
      <c r="B59" s="1108"/>
      <c r="C59" s="3254" t="s">
        <v>401</v>
      </c>
      <c r="D59" s="3214"/>
      <c r="E59" s="3214"/>
      <c r="F59" s="3214"/>
      <c r="G59" s="3214"/>
      <c r="H59" s="3214"/>
      <c r="I59" s="3214"/>
      <c r="J59" s="3214"/>
      <c r="K59" s="3214"/>
      <c r="L59" s="3214"/>
      <c r="M59" s="3214"/>
      <c r="N59" s="3214"/>
      <c r="O59" s="3214"/>
      <c r="P59" s="3214"/>
      <c r="Q59" s="3214"/>
      <c r="R59" s="3214"/>
      <c r="S59" s="3214"/>
      <c r="T59" s="3214"/>
      <c r="U59" s="3214"/>
      <c r="V59" s="3214"/>
      <c r="W59" s="3214"/>
      <c r="X59" s="2927"/>
      <c r="Y59" s="3262">
        <v>0.127</v>
      </c>
      <c r="Z59" s="2927">
        <v>0.28499999999999998</v>
      </c>
      <c r="AA59" s="2863">
        <v>0.17299999999999999</v>
      </c>
      <c r="AB59" s="2863">
        <v>0.10100000000000001</v>
      </c>
      <c r="AC59" s="2863"/>
      <c r="AD59" s="2863"/>
      <c r="AE59" s="2863"/>
      <c r="AF59" s="166"/>
      <c r="AG59" s="166"/>
      <c r="AH59" s="166"/>
      <c r="AI59" s="166"/>
      <c r="AJ59" s="166"/>
      <c r="AK59" s="44"/>
      <c r="AL59" s="61"/>
      <c r="AM59" s="48"/>
      <c r="AN59" s="166"/>
      <c r="AO59" s="166"/>
      <c r="AP59" s="166"/>
      <c r="AQ59" s="166"/>
      <c r="AR59" s="44"/>
      <c r="AS59" s="61"/>
      <c r="AT59" s="61"/>
      <c r="AU59" s="48"/>
      <c r="AV59" s="166"/>
      <c r="AW59" s="166"/>
      <c r="AX59" s="166"/>
      <c r="AY59" s="166"/>
      <c r="AZ59" s="44"/>
      <c r="BA59" s="61"/>
      <c r="BB59" s="61"/>
      <c r="BC59" s="48"/>
      <c r="BD59" s="166"/>
      <c r="BE59" s="166"/>
      <c r="BF59" s="166"/>
      <c r="BG59" s="44"/>
      <c r="BH59" s="61"/>
      <c r="BI59" s="61"/>
      <c r="BJ59" s="48"/>
      <c r="BK59" s="166"/>
      <c r="BL59" s="166"/>
      <c r="BM59" s="166"/>
      <c r="BN59" s="44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</row>
    <row r="60" spans="1:105" ht="15.75" thickBot="1">
      <c r="A60" s="3528"/>
      <c r="B60" s="1110"/>
      <c r="C60" s="3255" t="s">
        <v>402</v>
      </c>
      <c r="D60" s="3214"/>
      <c r="E60" s="3214"/>
      <c r="F60" s="3214"/>
      <c r="G60" s="3214"/>
      <c r="H60" s="3214"/>
      <c r="I60" s="3214"/>
      <c r="J60" s="3214"/>
      <c r="K60" s="3214"/>
      <c r="L60" s="3214"/>
      <c r="M60" s="3214"/>
      <c r="N60" s="3214"/>
      <c r="O60" s="3214"/>
      <c r="P60" s="3214"/>
      <c r="Q60" s="3214"/>
      <c r="R60" s="3214"/>
      <c r="S60" s="3214"/>
      <c r="T60" s="3214"/>
      <c r="U60" s="3214"/>
      <c r="V60" s="3214"/>
      <c r="W60" s="3214"/>
      <c r="X60" s="2928"/>
      <c r="Y60" s="2864">
        <v>0.128</v>
      </c>
      <c r="Z60" s="2928">
        <v>0.26200000000000001</v>
      </c>
      <c r="AA60" s="2866">
        <v>0.192</v>
      </c>
      <c r="AB60" s="2866">
        <v>0.09</v>
      </c>
      <c r="AC60" s="2866"/>
      <c r="AD60" s="2866"/>
      <c r="AE60" s="2866"/>
      <c r="AF60" s="167"/>
      <c r="AG60" s="167"/>
      <c r="AH60" s="167"/>
      <c r="AI60" s="167"/>
      <c r="AJ60" s="167"/>
      <c r="AK60" s="44"/>
      <c r="AL60" s="61"/>
      <c r="AM60" s="61"/>
      <c r="AN60" s="167"/>
      <c r="AO60" s="167"/>
      <c r="AP60" s="167"/>
      <c r="AQ60" s="167"/>
      <c r="AR60" s="44"/>
      <c r="AS60" s="61"/>
      <c r="AT60" s="61"/>
      <c r="AU60" s="61"/>
      <c r="AV60" s="167"/>
      <c r="AW60" s="167"/>
      <c r="AX60" s="167"/>
      <c r="AY60" s="167"/>
      <c r="AZ60" s="44"/>
      <c r="BA60" s="61"/>
      <c r="BB60" s="61"/>
      <c r="BC60" s="61"/>
      <c r="BD60" s="167"/>
      <c r="BE60" s="167"/>
      <c r="BF60" s="167"/>
      <c r="BG60" s="44"/>
      <c r="BH60" s="61"/>
      <c r="BI60" s="61"/>
      <c r="BJ60" s="61"/>
      <c r="BK60" s="167"/>
      <c r="BL60" s="167"/>
      <c r="BM60" s="167"/>
      <c r="BN60" s="44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</row>
    <row r="61" spans="1:105">
      <c r="A61" s="3526" t="s">
        <v>390</v>
      </c>
      <c r="B61" s="1108">
        <v>3</v>
      </c>
      <c r="C61" s="3254" t="s">
        <v>393</v>
      </c>
      <c r="D61" s="3214"/>
      <c r="E61" s="3214"/>
      <c r="F61" s="3214"/>
      <c r="G61" s="3214"/>
      <c r="H61" s="3214"/>
      <c r="I61" s="3214"/>
      <c r="J61" s="3214"/>
      <c r="K61" s="3214"/>
      <c r="L61" s="3214"/>
      <c r="M61" s="3214"/>
      <c r="N61" s="3214"/>
      <c r="O61" s="3214"/>
      <c r="P61" s="3214"/>
      <c r="Q61" s="3214"/>
      <c r="R61" s="3214"/>
      <c r="S61" s="3214"/>
      <c r="T61" s="3214"/>
      <c r="U61" s="3214"/>
      <c r="V61" s="3214"/>
      <c r="W61" s="3214"/>
      <c r="X61" s="2927"/>
      <c r="Y61" s="2862">
        <v>0.72499999999999998</v>
      </c>
      <c r="Z61" s="2927">
        <v>7.1999999999999995E-2</v>
      </c>
      <c r="AA61" s="2926">
        <v>0.221</v>
      </c>
      <c r="AB61" s="2926"/>
      <c r="AC61" s="2926"/>
      <c r="AD61" s="2926"/>
      <c r="AE61" s="2926"/>
      <c r="AF61" s="167"/>
      <c r="AG61" s="167"/>
      <c r="AH61" s="167"/>
      <c r="AI61" s="167"/>
      <c r="AJ61" s="167"/>
      <c r="AK61" s="44"/>
      <c r="AL61" s="61"/>
      <c r="AM61" s="61"/>
      <c r="AN61" s="167"/>
      <c r="AO61" s="167"/>
      <c r="AP61" s="167"/>
      <c r="AQ61" s="167"/>
      <c r="AR61" s="44"/>
      <c r="AS61" s="61"/>
      <c r="AT61" s="61"/>
      <c r="AU61" s="61"/>
      <c r="AV61" s="167"/>
      <c r="AW61" s="167"/>
      <c r="AX61" s="167"/>
      <c r="AY61" s="167"/>
      <c r="AZ61" s="44"/>
      <c r="BA61" s="61"/>
      <c r="BB61" s="61"/>
      <c r="BC61" s="61"/>
      <c r="BD61" s="167"/>
      <c r="BE61" s="167"/>
      <c r="BF61" s="167"/>
      <c r="BG61" s="44"/>
      <c r="BH61" s="61"/>
      <c r="BI61" s="61"/>
      <c r="BJ61" s="61"/>
      <c r="BK61" s="167"/>
      <c r="BL61" s="167"/>
      <c r="BM61" s="167"/>
      <c r="BN61" s="44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</row>
    <row r="62" spans="1:105">
      <c r="A62" s="3527"/>
      <c r="B62" s="1108"/>
      <c r="C62" s="3254" t="s">
        <v>403</v>
      </c>
      <c r="D62" s="3214"/>
      <c r="E62" s="3214"/>
      <c r="F62" s="3214"/>
      <c r="G62" s="3214"/>
      <c r="H62" s="3214"/>
      <c r="I62" s="3214"/>
      <c r="J62" s="3214"/>
      <c r="K62" s="3214"/>
      <c r="L62" s="3214"/>
      <c r="M62" s="3214"/>
      <c r="N62" s="3214"/>
      <c r="O62" s="3214"/>
      <c r="P62" s="3214"/>
      <c r="Q62" s="3214"/>
      <c r="R62" s="3214"/>
      <c r="S62" s="3214"/>
      <c r="T62" s="3214"/>
      <c r="U62" s="3214"/>
      <c r="V62" s="3214"/>
      <c r="W62" s="3214"/>
      <c r="X62" s="2927"/>
      <c r="Y62" s="2862">
        <v>4.3999999999999997E-2</v>
      </c>
      <c r="Z62" s="2927">
        <v>0.155</v>
      </c>
      <c r="AA62" s="2927">
        <v>7.1999999999999995E-2</v>
      </c>
      <c r="AB62" s="2927"/>
      <c r="AC62" s="2927"/>
      <c r="AD62" s="2927"/>
      <c r="AE62" s="2927"/>
      <c r="AF62" s="167"/>
      <c r="AG62" s="167"/>
      <c r="AH62" s="167"/>
      <c r="AI62" s="167"/>
      <c r="AJ62" s="167"/>
      <c r="AK62" s="44"/>
      <c r="AL62" s="61"/>
      <c r="AM62" s="61"/>
      <c r="AN62" s="167"/>
      <c r="AO62" s="167"/>
      <c r="AP62" s="167"/>
      <c r="AQ62" s="167"/>
      <c r="AR62" s="44"/>
      <c r="AS62" s="61"/>
      <c r="AT62" s="61"/>
      <c r="AU62" s="61"/>
      <c r="AV62" s="167"/>
      <c r="AW62" s="167"/>
      <c r="AX62" s="167"/>
      <c r="AY62" s="167"/>
      <c r="AZ62" s="44"/>
      <c r="BA62" s="61"/>
      <c r="BB62" s="61"/>
      <c r="BC62" s="61"/>
      <c r="BD62" s="167"/>
      <c r="BE62" s="167"/>
      <c r="BF62" s="167"/>
      <c r="BG62" s="44"/>
      <c r="BH62" s="61"/>
      <c r="BI62" s="61"/>
      <c r="BJ62" s="61"/>
      <c r="BK62" s="167"/>
      <c r="BL62" s="167"/>
      <c r="BM62" s="167"/>
      <c r="BN62" s="44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</row>
    <row r="63" spans="1:105" ht="15" customHeight="1" thickBot="1">
      <c r="A63" s="3528"/>
      <c r="B63" s="1110"/>
      <c r="C63" s="3255" t="s">
        <v>404</v>
      </c>
      <c r="D63" s="3214"/>
      <c r="E63" s="3214"/>
      <c r="F63" s="3214"/>
      <c r="G63" s="3214"/>
      <c r="H63" s="3214"/>
      <c r="I63" s="3214"/>
      <c r="J63" s="3214"/>
      <c r="K63" s="3214"/>
      <c r="L63" s="3214"/>
      <c r="M63" s="3214"/>
      <c r="N63" s="3214"/>
      <c r="O63" s="3214"/>
      <c r="P63" s="3214"/>
      <c r="Q63" s="3214"/>
      <c r="R63" s="3214"/>
      <c r="S63" s="3214"/>
      <c r="T63" s="3214"/>
      <c r="U63" s="3214"/>
      <c r="V63" s="3214"/>
      <c r="W63" s="3214"/>
      <c r="X63" s="2928"/>
      <c r="Y63" s="2864">
        <v>6.4000000000000001E-2</v>
      </c>
      <c r="Z63" s="2928">
        <v>0.161</v>
      </c>
      <c r="AA63" s="2928">
        <v>0.09</v>
      </c>
      <c r="AB63" s="2928"/>
      <c r="AC63" s="2928"/>
      <c r="AD63" s="2928"/>
      <c r="AE63" s="2928"/>
      <c r="AF63" s="167"/>
      <c r="AG63" s="167"/>
      <c r="AH63" s="167"/>
      <c r="AI63" s="167"/>
      <c r="AJ63" s="167"/>
      <c r="AK63" s="44"/>
      <c r="AL63" s="61"/>
      <c r="AM63" s="178"/>
      <c r="AN63" s="167"/>
      <c r="AO63" s="167"/>
      <c r="AP63" s="167"/>
      <c r="AQ63" s="167"/>
      <c r="AR63" s="44"/>
      <c r="AS63" s="61"/>
      <c r="AT63" s="61"/>
      <c r="AU63" s="178"/>
      <c r="AV63" s="167"/>
      <c r="AW63" s="167"/>
      <c r="AX63" s="167"/>
      <c r="AY63" s="167"/>
      <c r="AZ63" s="44"/>
      <c r="BA63" s="61"/>
      <c r="BB63" s="61"/>
      <c r="BC63" s="178"/>
      <c r="BD63" s="167"/>
      <c r="BE63" s="167"/>
      <c r="BF63" s="167"/>
      <c r="BG63" s="44"/>
      <c r="BH63" s="61"/>
      <c r="BI63" s="61"/>
      <c r="BJ63" s="178"/>
      <c r="BK63" s="167"/>
      <c r="BL63" s="167"/>
      <c r="BM63" s="167"/>
      <c r="BN63" s="44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1"/>
    </row>
    <row r="64" spans="1:105">
      <c r="A64" s="114"/>
      <c r="B64" s="114"/>
      <c r="C64" s="775" t="s">
        <v>285</v>
      </c>
      <c r="D64" s="1025">
        <f>COUNTIF(D14:D47,"&lt;=0.4")</f>
        <v>0</v>
      </c>
      <c r="E64" s="1025">
        <f t="shared" ref="E64:S64" si="0">COUNTIF(E14:E47,"&lt;=0.4")</f>
        <v>0</v>
      </c>
      <c r="F64" s="1025">
        <f t="shared" si="0"/>
        <v>0</v>
      </c>
      <c r="G64" s="1025">
        <f t="shared" si="0"/>
        <v>0</v>
      </c>
      <c r="H64" s="1025">
        <f t="shared" si="0"/>
        <v>0</v>
      </c>
      <c r="I64" s="1025">
        <f t="shared" si="0"/>
        <v>12</v>
      </c>
      <c r="J64" s="1025">
        <f t="shared" si="0"/>
        <v>12</v>
      </c>
      <c r="K64" s="1025">
        <f t="shared" si="0"/>
        <v>12</v>
      </c>
      <c r="L64" s="1025">
        <f t="shared" si="0"/>
        <v>12</v>
      </c>
      <c r="M64" s="1025">
        <f t="shared" si="0"/>
        <v>0</v>
      </c>
      <c r="N64" s="1025">
        <f t="shared" si="0"/>
        <v>13</v>
      </c>
      <c r="O64" s="1025">
        <f t="shared" si="0"/>
        <v>0</v>
      </c>
      <c r="P64" s="1025">
        <f t="shared" si="0"/>
        <v>8</v>
      </c>
      <c r="Q64" s="1025">
        <f t="shared" si="0"/>
        <v>4</v>
      </c>
      <c r="R64" s="1025">
        <f t="shared" si="0"/>
        <v>7</v>
      </c>
      <c r="S64" s="1025">
        <f t="shared" si="0"/>
        <v>8</v>
      </c>
      <c r="T64" s="1025">
        <f t="shared" ref="T64:Y64" si="1">COUNTIF(T14:T47,"&lt;=0.4")</f>
        <v>0</v>
      </c>
      <c r="U64" s="1025">
        <f t="shared" si="1"/>
        <v>0</v>
      </c>
      <c r="V64" s="1025">
        <f t="shared" si="1"/>
        <v>0</v>
      </c>
      <c r="W64" s="1025">
        <f t="shared" si="1"/>
        <v>12</v>
      </c>
      <c r="X64" s="1025">
        <f t="shared" si="1"/>
        <v>11</v>
      </c>
      <c r="Y64" s="1025">
        <f t="shared" si="1"/>
        <v>9</v>
      </c>
      <c r="Z64" s="1025">
        <f>COUNTIF(Z14:Z47,"&lt;=0.5")</f>
        <v>11</v>
      </c>
      <c r="AA64" s="1025">
        <f>COUNTIF(AA14:AA47,"&lt;=0.5")</f>
        <v>11</v>
      </c>
      <c r="AB64" s="1025">
        <f t="shared" ref="AB64:AE64" si="2">COUNTIF(AB14:AB47,"&lt;=0.5")</f>
        <v>11</v>
      </c>
      <c r="AC64" s="1025">
        <f t="shared" si="2"/>
        <v>0</v>
      </c>
      <c r="AD64" s="1025">
        <f t="shared" si="2"/>
        <v>0</v>
      </c>
      <c r="AE64" s="1025">
        <f t="shared" si="2"/>
        <v>0</v>
      </c>
      <c r="AF64" s="168"/>
      <c r="AG64" s="168"/>
      <c r="AH64" s="168"/>
      <c r="AI64" s="168"/>
      <c r="AJ64" s="168"/>
      <c r="AK64" s="177"/>
      <c r="AL64" s="61"/>
      <c r="AM64" s="61"/>
      <c r="AN64" s="168"/>
      <c r="AO64" s="168"/>
      <c r="AP64" s="168"/>
      <c r="AQ64" s="168"/>
      <c r="AR64" s="177"/>
      <c r="AS64" s="61"/>
      <c r="AT64" s="61"/>
      <c r="AU64" s="61"/>
      <c r="AV64" s="168"/>
      <c r="AW64" s="168"/>
      <c r="AX64" s="168"/>
      <c r="AY64" s="168"/>
      <c r="AZ64" s="177"/>
      <c r="BA64" s="61"/>
      <c r="BB64" s="61"/>
      <c r="BC64" s="61"/>
      <c r="BD64" s="168"/>
      <c r="BE64" s="168"/>
      <c r="BF64" s="168"/>
      <c r="BG64" s="177"/>
      <c r="BH64" s="61"/>
      <c r="BI64" s="61"/>
      <c r="BJ64" s="61"/>
      <c r="BK64" s="168"/>
      <c r="BL64" s="168"/>
      <c r="BM64" s="168"/>
      <c r="BN64" s="177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</row>
    <row r="65" spans="1:93">
      <c r="A65" s="114"/>
      <c r="B65" s="114"/>
      <c r="C65" s="775" t="s">
        <v>287</v>
      </c>
      <c r="D65" s="1027">
        <f>COUNT(D14:D47)</f>
        <v>0</v>
      </c>
      <c r="E65" s="1027">
        <f t="shared" ref="E65:S65" si="3">COUNT(E14:E47)</f>
        <v>0</v>
      </c>
      <c r="F65" s="1027">
        <f t="shared" si="3"/>
        <v>0</v>
      </c>
      <c r="G65" s="1027">
        <f t="shared" si="3"/>
        <v>0</v>
      </c>
      <c r="H65" s="1027">
        <f t="shared" si="3"/>
        <v>0</v>
      </c>
      <c r="I65" s="1027">
        <f t="shared" si="3"/>
        <v>34</v>
      </c>
      <c r="J65" s="1027">
        <f t="shared" si="3"/>
        <v>34</v>
      </c>
      <c r="K65" s="1027">
        <f t="shared" si="3"/>
        <v>34</v>
      </c>
      <c r="L65" s="1027">
        <f t="shared" si="3"/>
        <v>31</v>
      </c>
      <c r="M65" s="1027">
        <f t="shared" si="3"/>
        <v>0</v>
      </c>
      <c r="N65" s="1027">
        <f t="shared" si="3"/>
        <v>31</v>
      </c>
      <c r="O65" s="1027">
        <f t="shared" si="3"/>
        <v>0</v>
      </c>
      <c r="P65" s="1027">
        <f t="shared" si="3"/>
        <v>29</v>
      </c>
      <c r="Q65" s="1027">
        <f t="shared" si="3"/>
        <v>29</v>
      </c>
      <c r="R65" s="1027">
        <f t="shared" si="3"/>
        <v>29</v>
      </c>
      <c r="S65" s="1027">
        <f t="shared" si="3"/>
        <v>34</v>
      </c>
      <c r="T65" s="1027">
        <f t="shared" ref="T65:AA65" si="4">COUNT(T14:T47)</f>
        <v>13</v>
      </c>
      <c r="U65" s="1027">
        <f t="shared" si="4"/>
        <v>13</v>
      </c>
      <c r="V65" s="1027">
        <f t="shared" si="4"/>
        <v>13</v>
      </c>
      <c r="W65" s="1027">
        <f t="shared" si="4"/>
        <v>34</v>
      </c>
      <c r="X65" s="1027">
        <f t="shared" si="4"/>
        <v>33</v>
      </c>
      <c r="Y65" s="1027">
        <f>COUNT(Y14:Y63)</f>
        <v>49</v>
      </c>
      <c r="Z65" s="1027">
        <f t="shared" si="4"/>
        <v>33</v>
      </c>
      <c r="AA65" s="1027">
        <f t="shared" si="4"/>
        <v>33</v>
      </c>
      <c r="AB65" s="1027">
        <f t="shared" ref="AB65:AE65" si="5">COUNT(AB14:AB47)</f>
        <v>33</v>
      </c>
      <c r="AC65" s="1027">
        <f t="shared" si="5"/>
        <v>0</v>
      </c>
      <c r="AD65" s="1027">
        <f t="shared" si="5"/>
        <v>0</v>
      </c>
      <c r="AE65" s="1027">
        <f t="shared" si="5"/>
        <v>0</v>
      </c>
      <c r="AF65" s="174"/>
      <c r="AG65" s="174"/>
      <c r="AH65" s="174"/>
      <c r="AI65" s="174"/>
      <c r="AJ65" s="174"/>
      <c r="AK65" s="177"/>
      <c r="AL65" s="61"/>
      <c r="AM65" s="184"/>
      <c r="AN65" s="174"/>
      <c r="AO65" s="174"/>
      <c r="AP65" s="174"/>
      <c r="AQ65" s="174"/>
      <c r="AR65" s="177"/>
      <c r="AS65" s="61"/>
      <c r="AT65" s="61"/>
      <c r="AU65" s="184"/>
      <c r="AV65" s="185"/>
      <c r="AW65" s="185"/>
      <c r="AX65" s="185"/>
      <c r="AY65" s="185"/>
      <c r="AZ65" s="177"/>
      <c r="BA65" s="61"/>
      <c r="BB65" s="61"/>
      <c r="BC65" s="184"/>
      <c r="BD65" s="185"/>
      <c r="BE65" s="185"/>
      <c r="BF65" s="185"/>
      <c r="BG65" s="177"/>
      <c r="BH65" s="61"/>
      <c r="BI65" s="61"/>
      <c r="BJ65" s="184"/>
      <c r="BK65" s="185"/>
      <c r="BL65" s="185"/>
      <c r="BM65" s="185"/>
      <c r="BN65" s="177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</row>
    <row r="66" spans="1:93">
      <c r="A66" s="114"/>
      <c r="B66" s="114"/>
      <c r="C66" s="775" t="s">
        <v>286</v>
      </c>
      <c r="D66" s="1026" t="e">
        <f>D64/D65</f>
        <v>#DIV/0!</v>
      </c>
      <c r="E66" s="1026" t="e">
        <f t="shared" ref="E66:S66" si="6">E64/E65</f>
        <v>#DIV/0!</v>
      </c>
      <c r="F66" s="1026" t="e">
        <f t="shared" si="6"/>
        <v>#DIV/0!</v>
      </c>
      <c r="G66" s="1026" t="e">
        <f t="shared" si="6"/>
        <v>#DIV/0!</v>
      </c>
      <c r="H66" s="1026" t="e">
        <f t="shared" si="6"/>
        <v>#DIV/0!</v>
      </c>
      <c r="I66" s="1026">
        <f t="shared" si="6"/>
        <v>0.35294117647058826</v>
      </c>
      <c r="J66" s="1026">
        <f t="shared" si="6"/>
        <v>0.35294117647058826</v>
      </c>
      <c r="K66" s="1026">
        <f t="shared" si="6"/>
        <v>0.35294117647058826</v>
      </c>
      <c r="L66" s="1026">
        <f t="shared" si="6"/>
        <v>0.38709677419354838</v>
      </c>
      <c r="M66" s="1026" t="e">
        <f t="shared" si="6"/>
        <v>#DIV/0!</v>
      </c>
      <c r="N66" s="1026">
        <f t="shared" si="6"/>
        <v>0.41935483870967744</v>
      </c>
      <c r="O66" s="1026" t="e">
        <f t="shared" si="6"/>
        <v>#DIV/0!</v>
      </c>
      <c r="P66" s="1026">
        <f t="shared" si="6"/>
        <v>0.27586206896551724</v>
      </c>
      <c r="Q66" s="1026">
        <f t="shared" si="6"/>
        <v>0.13793103448275862</v>
      </c>
      <c r="R66" s="1026">
        <f t="shared" si="6"/>
        <v>0.2413793103448276</v>
      </c>
      <c r="S66" s="1026">
        <f t="shared" si="6"/>
        <v>0.23529411764705882</v>
      </c>
      <c r="T66" s="1026">
        <f t="shared" ref="T66:AA66" si="7">T64/T65</f>
        <v>0</v>
      </c>
      <c r="U66" s="1026">
        <f t="shared" si="7"/>
        <v>0</v>
      </c>
      <c r="V66" s="1026">
        <f t="shared" si="7"/>
        <v>0</v>
      </c>
      <c r="W66" s="1026">
        <f t="shared" si="7"/>
        <v>0.35294117647058826</v>
      </c>
      <c r="X66" s="1026">
        <f t="shared" si="7"/>
        <v>0.33333333333333331</v>
      </c>
      <c r="Y66" s="1026">
        <f>Y64/Y65</f>
        <v>0.18367346938775511</v>
      </c>
      <c r="Z66" s="1026">
        <f t="shared" si="7"/>
        <v>0.33333333333333331</v>
      </c>
      <c r="AA66" s="1026">
        <f t="shared" si="7"/>
        <v>0.33333333333333331</v>
      </c>
      <c r="AB66" s="1026">
        <f t="shared" ref="AB66:AE66" si="8">AB64/AB65</f>
        <v>0.33333333333333331</v>
      </c>
      <c r="AC66" s="1026" t="e">
        <f t="shared" si="8"/>
        <v>#DIV/0!</v>
      </c>
      <c r="AD66" s="1026" t="e">
        <f t="shared" si="8"/>
        <v>#DIV/0!</v>
      </c>
      <c r="AE66" s="1026" t="e">
        <f t="shared" si="8"/>
        <v>#DIV/0!</v>
      </c>
      <c r="AF66" s="61"/>
      <c r="AG66" s="61"/>
      <c r="AH66" s="61"/>
      <c r="AI66" s="61"/>
      <c r="AJ66" s="61"/>
      <c r="AK66" s="44"/>
      <c r="AL66" s="61"/>
      <c r="AM66" s="61"/>
      <c r="AN66" s="61"/>
      <c r="AO66" s="61"/>
      <c r="AP66" s="61"/>
      <c r="AQ66" s="61"/>
      <c r="AR66" s="44"/>
      <c r="AS66" s="61"/>
      <c r="AT66" s="61"/>
      <c r="AU66" s="61"/>
      <c r="AV66" s="61"/>
      <c r="AW66" s="61"/>
      <c r="AX66" s="61"/>
      <c r="AY66" s="61"/>
      <c r="AZ66" s="44"/>
      <c r="BA66" s="61"/>
      <c r="BB66" s="61"/>
      <c r="BC66" s="61"/>
      <c r="BD66" s="61"/>
      <c r="BE66" s="61"/>
      <c r="BF66" s="61"/>
      <c r="BG66" s="44"/>
      <c r="BH66" s="61"/>
      <c r="BI66" s="61"/>
      <c r="BJ66" s="61"/>
      <c r="BK66" s="61"/>
      <c r="BL66" s="61"/>
      <c r="BM66" s="61"/>
      <c r="BN66" s="44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1"/>
    </row>
    <row r="67" spans="1:93">
      <c r="A67" s="108"/>
      <c r="B67" s="108"/>
      <c r="C67" s="125"/>
      <c r="D67" s="128"/>
      <c r="E67" s="128"/>
      <c r="F67" s="128"/>
      <c r="G67" s="128"/>
      <c r="H67" s="232"/>
      <c r="I67" s="223"/>
      <c r="J67" s="206"/>
      <c r="K67" s="206"/>
      <c r="L67" s="120"/>
      <c r="M67" s="120"/>
      <c r="N67" s="120"/>
      <c r="O67" s="120"/>
      <c r="P67" s="2289"/>
      <c r="Q67" s="120"/>
      <c r="R67" s="120"/>
      <c r="S67" s="120"/>
      <c r="T67" s="120"/>
      <c r="U67" s="120"/>
      <c r="V67" s="120"/>
      <c r="W67" s="120"/>
      <c r="X67" s="767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1"/>
      <c r="CN67" s="61"/>
      <c r="CO67" s="61"/>
    </row>
    <row r="68" spans="1:93">
      <c r="A68" s="108"/>
      <c r="B68" s="108"/>
      <c r="C68" s="125"/>
      <c r="D68" s="128"/>
      <c r="E68" s="128"/>
      <c r="F68" s="3594"/>
      <c r="G68" s="3594"/>
      <c r="H68" s="3594"/>
      <c r="I68" s="3594"/>
      <c r="J68" s="107"/>
      <c r="K68" s="206"/>
      <c r="L68" s="120"/>
      <c r="M68" s="120"/>
      <c r="N68" s="3594"/>
      <c r="O68" s="3594"/>
      <c r="P68" s="3594"/>
      <c r="Q68" s="3594"/>
      <c r="R68" s="120"/>
      <c r="S68" s="120"/>
      <c r="T68" s="120"/>
      <c r="U68" s="120"/>
      <c r="V68" s="120"/>
      <c r="W68" s="120"/>
      <c r="X68" s="767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</row>
    <row r="69" spans="1:93" ht="15.75" thickBot="1">
      <c r="A69" s="328"/>
      <c r="B69" s="113"/>
      <c r="C69" s="125"/>
      <c r="D69" s="128"/>
      <c r="E69" s="128"/>
      <c r="F69" s="3594"/>
      <c r="G69" s="3594"/>
      <c r="H69" s="3594"/>
      <c r="I69" s="3594"/>
      <c r="J69" s="107"/>
      <c r="K69" s="206"/>
      <c r="L69" s="120"/>
      <c r="M69" s="120"/>
      <c r="N69" s="3594"/>
      <c r="O69" s="3594"/>
      <c r="P69" s="3594"/>
      <c r="Q69" s="3594"/>
      <c r="R69" s="120"/>
      <c r="S69" s="120"/>
      <c r="T69" s="120"/>
      <c r="U69" s="120"/>
      <c r="V69" s="120"/>
      <c r="W69" s="120"/>
      <c r="X69" s="767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</row>
    <row r="70" spans="1:93" ht="15.75" thickBot="1">
      <c r="A70" s="1512" t="s">
        <v>126</v>
      </c>
      <c r="B70" s="1373" t="s">
        <v>284</v>
      </c>
      <c r="C70" s="266" t="s">
        <v>168</v>
      </c>
      <c r="D70" s="268">
        <v>0.4</v>
      </c>
      <c r="E70" s="268">
        <v>0.4</v>
      </c>
      <c r="F70" s="268">
        <v>0.4</v>
      </c>
      <c r="G70" s="345">
        <v>0.4</v>
      </c>
      <c r="H70" s="346">
        <v>0.4</v>
      </c>
      <c r="I70" s="268">
        <v>0.4</v>
      </c>
      <c r="J70" s="268">
        <v>0.4</v>
      </c>
      <c r="K70" s="269">
        <v>0.4</v>
      </c>
      <c r="L70" s="346">
        <v>0.4</v>
      </c>
      <c r="M70" s="268">
        <v>0.4</v>
      </c>
      <c r="N70" s="268">
        <v>0.4</v>
      </c>
      <c r="O70" s="274">
        <v>0.4</v>
      </c>
      <c r="P70" s="367">
        <v>0.4</v>
      </c>
      <c r="Q70" s="268">
        <v>0.4</v>
      </c>
      <c r="R70" s="268">
        <v>0.4</v>
      </c>
      <c r="S70" s="274">
        <v>0.4</v>
      </c>
      <c r="T70" s="274">
        <v>0.4</v>
      </c>
      <c r="U70" s="274">
        <v>0.4</v>
      </c>
      <c r="V70" s="274">
        <v>0.4</v>
      </c>
      <c r="W70" s="274">
        <v>0.4</v>
      </c>
      <c r="X70" s="274">
        <v>0.4</v>
      </c>
      <c r="Y70" s="274">
        <v>0.4</v>
      </c>
      <c r="Z70" s="274">
        <v>0.5</v>
      </c>
      <c r="AA70" s="274">
        <v>0.5</v>
      </c>
      <c r="AB70" s="274">
        <v>0.5</v>
      </c>
      <c r="AC70" s="274">
        <v>0.5</v>
      </c>
      <c r="AD70" s="274">
        <v>0.5</v>
      </c>
      <c r="AE70" s="274">
        <v>0.5</v>
      </c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</row>
    <row r="71" spans="1:93" ht="15.75">
      <c r="A71" s="1023" t="s">
        <v>42</v>
      </c>
      <c r="B71" s="995">
        <f>COUNTA(C71:C77)</f>
        <v>7</v>
      </c>
      <c r="C71" s="1161" t="s">
        <v>53</v>
      </c>
      <c r="D71" s="1112">
        <v>13.07</v>
      </c>
      <c r="E71" s="1114">
        <v>11.7</v>
      </c>
      <c r="F71" s="1114">
        <v>10.5</v>
      </c>
      <c r="G71" s="1162">
        <v>10.1</v>
      </c>
      <c r="H71" s="1158">
        <v>8.81</v>
      </c>
      <c r="I71" s="1114">
        <v>8.4</v>
      </c>
      <c r="J71" s="1185">
        <v>8.9</v>
      </c>
      <c r="K71" s="1296">
        <v>9.9</v>
      </c>
      <c r="L71" s="1445">
        <v>9.33</v>
      </c>
      <c r="M71" s="1118">
        <v>16.8</v>
      </c>
      <c r="N71" s="1634">
        <v>11.7</v>
      </c>
      <c r="O71" s="1207"/>
      <c r="P71" s="2222">
        <v>13.33</v>
      </c>
      <c r="Q71" s="1119">
        <v>10.3</v>
      </c>
      <c r="R71" s="1119">
        <v>12.4</v>
      </c>
      <c r="S71" s="1120">
        <v>18.899999999999999</v>
      </c>
      <c r="T71" s="2024">
        <v>8.4</v>
      </c>
      <c r="U71" s="2926">
        <v>11.03</v>
      </c>
      <c r="V71" s="2926">
        <v>16.47</v>
      </c>
      <c r="W71" s="2926">
        <v>15.72</v>
      </c>
      <c r="X71" s="3111">
        <v>11.33</v>
      </c>
      <c r="Y71" s="2926">
        <v>8.27</v>
      </c>
      <c r="Z71" s="2926">
        <v>3.24</v>
      </c>
      <c r="AA71" s="2926">
        <v>2.69</v>
      </c>
      <c r="AB71" s="2926">
        <v>0.83</v>
      </c>
      <c r="AC71" s="2926"/>
      <c r="AD71" s="2926"/>
      <c r="AE71" s="2926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</row>
    <row r="72" spans="1:93" ht="15.75">
      <c r="A72" s="1199" t="s">
        <v>42</v>
      </c>
      <c r="B72" s="996"/>
      <c r="C72" s="1163" t="s">
        <v>378</v>
      </c>
      <c r="D72" s="1122">
        <v>10.6</v>
      </c>
      <c r="E72" s="1003">
        <v>11.9</v>
      </c>
      <c r="F72" s="1003">
        <v>17.600000000000001</v>
      </c>
      <c r="G72" s="1164">
        <v>17</v>
      </c>
      <c r="H72" s="718">
        <v>7.62</v>
      </c>
      <c r="I72" s="1003">
        <v>15.19</v>
      </c>
      <c r="J72" s="1188">
        <v>15.6</v>
      </c>
      <c r="K72" s="1304">
        <v>16.86</v>
      </c>
      <c r="L72" s="1446"/>
      <c r="M72" s="1126">
        <v>31.7</v>
      </c>
      <c r="N72" s="1513">
        <v>17.03</v>
      </c>
      <c r="O72" s="1208"/>
      <c r="P72" s="2214">
        <v>46.67</v>
      </c>
      <c r="Q72" s="1127">
        <v>35.46</v>
      </c>
      <c r="R72" s="1127">
        <v>29.4</v>
      </c>
      <c r="S72" s="1128">
        <v>27.5</v>
      </c>
      <c r="T72" s="2022">
        <v>29.7</v>
      </c>
      <c r="U72" s="2927" t="s">
        <v>109</v>
      </c>
      <c r="V72" s="2927">
        <v>39.869999999999997</v>
      </c>
      <c r="W72" s="2927">
        <v>3.8</v>
      </c>
      <c r="X72" s="2450">
        <v>34.6</v>
      </c>
      <c r="Y72" s="2927">
        <v>13.43</v>
      </c>
      <c r="Z72" s="2927">
        <v>4.6900000000000004</v>
      </c>
      <c r="AA72" s="2927">
        <v>7.04</v>
      </c>
      <c r="AB72" s="2927">
        <v>1.45</v>
      </c>
      <c r="AC72" s="2927"/>
      <c r="AD72" s="2927"/>
      <c r="AE72" s="2927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</row>
    <row r="73" spans="1:93" ht="15.75">
      <c r="A73" s="1199" t="s">
        <v>42</v>
      </c>
      <c r="B73" s="996"/>
      <c r="C73" s="1163" t="s">
        <v>64</v>
      </c>
      <c r="D73" s="1122">
        <v>10</v>
      </c>
      <c r="E73" s="1003">
        <v>10.3</v>
      </c>
      <c r="F73" s="1003">
        <v>10.1</v>
      </c>
      <c r="G73" s="1164">
        <v>7</v>
      </c>
      <c r="H73" s="718">
        <v>8.11</v>
      </c>
      <c r="I73" s="1003">
        <v>8.3000000000000007</v>
      </c>
      <c r="J73" s="1188">
        <v>8.86</v>
      </c>
      <c r="K73" s="1304">
        <v>8.66</v>
      </c>
      <c r="L73" s="1446">
        <v>15.07</v>
      </c>
      <c r="M73" s="1126">
        <v>14</v>
      </c>
      <c r="N73" s="1513">
        <v>10.53</v>
      </c>
      <c r="O73" s="1208"/>
      <c r="P73" s="2214">
        <v>15.6</v>
      </c>
      <c r="Q73" s="1127">
        <v>11.43</v>
      </c>
      <c r="R73" s="1127">
        <v>13.4</v>
      </c>
      <c r="S73" s="1128">
        <v>8.66</v>
      </c>
      <c r="T73" s="2022">
        <v>9.93</v>
      </c>
      <c r="U73" s="2927">
        <v>10.9</v>
      </c>
      <c r="V73" s="2927">
        <v>11.63</v>
      </c>
      <c r="W73" s="2927">
        <v>15.1</v>
      </c>
      <c r="X73" s="2450">
        <v>15.43</v>
      </c>
      <c r="Y73" s="3179">
        <v>13.07</v>
      </c>
      <c r="Z73" s="3179">
        <v>5.22</v>
      </c>
      <c r="AA73" s="3179">
        <v>5.26</v>
      </c>
      <c r="AB73" s="3179">
        <v>1.03</v>
      </c>
      <c r="AC73" s="3179"/>
      <c r="AD73" s="3179"/>
      <c r="AE73" s="3179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</row>
    <row r="74" spans="1:93" ht="17.25" customHeight="1">
      <c r="A74" s="1199" t="s">
        <v>42</v>
      </c>
      <c r="B74" s="996"/>
      <c r="C74" s="1163" t="s">
        <v>63</v>
      </c>
      <c r="D74" s="1122">
        <v>12.47</v>
      </c>
      <c r="E74" s="1003">
        <v>11.3</v>
      </c>
      <c r="F74" s="1003">
        <v>7.1</v>
      </c>
      <c r="G74" s="1164">
        <v>8.5</v>
      </c>
      <c r="H74" s="718">
        <v>9.42</v>
      </c>
      <c r="I74" s="1003">
        <v>7.6</v>
      </c>
      <c r="J74" s="1188">
        <v>7.76</v>
      </c>
      <c r="K74" s="1304">
        <v>9.73</v>
      </c>
      <c r="L74" s="1446">
        <v>15.8</v>
      </c>
      <c r="M74" s="1126">
        <v>17.600000000000001</v>
      </c>
      <c r="N74" s="1683">
        <v>14.63</v>
      </c>
      <c r="O74" s="2129"/>
      <c r="P74" s="2211">
        <v>28.2</v>
      </c>
      <c r="Q74" s="1262">
        <v>21.5</v>
      </c>
      <c r="R74" s="1127">
        <v>24.9</v>
      </c>
      <c r="S74" s="1128">
        <v>28.03</v>
      </c>
      <c r="T74" s="2022">
        <v>21.57</v>
      </c>
      <c r="U74" s="2927">
        <v>26.67</v>
      </c>
      <c r="V74" s="2927">
        <v>23.1</v>
      </c>
      <c r="W74" s="2927">
        <v>25.97</v>
      </c>
      <c r="X74" s="2450">
        <v>23.3</v>
      </c>
      <c r="Y74" s="3180">
        <v>12</v>
      </c>
      <c r="Z74" s="3180">
        <v>5.4</v>
      </c>
      <c r="AA74" s="3180">
        <v>5.36</v>
      </c>
      <c r="AB74" s="3180">
        <v>1.59</v>
      </c>
      <c r="AC74" s="3180"/>
      <c r="AD74" s="3180"/>
      <c r="AE74" s="3180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</row>
    <row r="75" spans="1:93" ht="15.75">
      <c r="A75" s="1199" t="s">
        <v>42</v>
      </c>
      <c r="B75" s="996"/>
      <c r="C75" s="1163" t="s">
        <v>62</v>
      </c>
      <c r="D75" s="1122">
        <v>8.5299999999999994</v>
      </c>
      <c r="E75" s="1003">
        <v>10.9</v>
      </c>
      <c r="F75" s="1003">
        <v>9.3000000000000007</v>
      </c>
      <c r="G75" s="1164">
        <v>9.1</v>
      </c>
      <c r="H75" s="718">
        <v>8.64</v>
      </c>
      <c r="I75" s="1003">
        <v>8.3000000000000007</v>
      </c>
      <c r="J75" s="1188">
        <v>7.45</v>
      </c>
      <c r="K75" s="1304">
        <v>7.7</v>
      </c>
      <c r="L75" s="1446">
        <v>10.17</v>
      </c>
      <c r="M75" s="1354">
        <v>15.5</v>
      </c>
      <c r="N75" s="1683">
        <v>12.17</v>
      </c>
      <c r="O75" s="2104"/>
      <c r="P75" s="2223">
        <v>13.07</v>
      </c>
      <c r="Q75" s="1452">
        <v>13.43</v>
      </c>
      <c r="R75" s="1420">
        <v>12.4</v>
      </c>
      <c r="S75" s="1128">
        <v>10.16</v>
      </c>
      <c r="T75" s="2022">
        <v>8.86</v>
      </c>
      <c r="U75" s="2927">
        <v>11.17</v>
      </c>
      <c r="V75" s="2927">
        <v>11.77</v>
      </c>
      <c r="W75" s="2927">
        <v>14</v>
      </c>
      <c r="X75" s="3178">
        <v>11.33</v>
      </c>
      <c r="Y75" s="3181">
        <v>10.73</v>
      </c>
      <c r="Z75" s="3181">
        <v>3.18</v>
      </c>
      <c r="AA75" s="3181">
        <v>3.31</v>
      </c>
      <c r="AB75" s="3181">
        <v>1.01</v>
      </c>
      <c r="AC75" s="3181"/>
      <c r="AD75" s="3181"/>
      <c r="AE75" s="318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</row>
    <row r="76" spans="1:93" ht="15.75">
      <c r="A76" s="1199" t="s">
        <v>42</v>
      </c>
      <c r="B76" s="996"/>
      <c r="C76" s="1163" t="s">
        <v>43</v>
      </c>
      <c r="D76" s="1122">
        <v>9.5299999999999994</v>
      </c>
      <c r="E76" s="1003">
        <v>9</v>
      </c>
      <c r="F76" s="1003">
        <v>10.1</v>
      </c>
      <c r="G76" s="1164">
        <v>8.6</v>
      </c>
      <c r="H76" s="718">
        <v>8.6</v>
      </c>
      <c r="I76" s="1003">
        <v>7.1</v>
      </c>
      <c r="J76" s="1188">
        <v>8.25</v>
      </c>
      <c r="K76" s="1304">
        <v>8.06</v>
      </c>
      <c r="L76" s="1446">
        <v>9.1</v>
      </c>
      <c r="M76" s="1126">
        <v>14</v>
      </c>
      <c r="N76" s="1683">
        <v>10.029999999999999</v>
      </c>
      <c r="O76" s="2112"/>
      <c r="P76" s="2211">
        <v>15</v>
      </c>
      <c r="Q76" s="1456">
        <v>9.4</v>
      </c>
      <c r="R76" s="1420">
        <v>15.2</v>
      </c>
      <c r="S76" s="1128">
        <v>10.26</v>
      </c>
      <c r="T76" s="2022">
        <v>9.1999999999999993</v>
      </c>
      <c r="U76" s="2927">
        <v>11.6</v>
      </c>
      <c r="V76" s="2927">
        <v>10.4</v>
      </c>
      <c r="W76" s="2927">
        <v>13.97</v>
      </c>
      <c r="X76" s="2450">
        <v>12.67</v>
      </c>
      <c r="Y76" s="3175">
        <v>13.33</v>
      </c>
      <c r="Z76" s="3175">
        <v>4.41</v>
      </c>
      <c r="AA76" s="3175">
        <v>1.64</v>
      </c>
      <c r="AB76" s="3175">
        <v>0.53</v>
      </c>
      <c r="AC76" s="3175"/>
      <c r="AD76" s="3175"/>
      <c r="AE76" s="3175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</row>
    <row r="77" spans="1:93" ht="16.5" thickBot="1">
      <c r="A77" s="1205" t="s">
        <v>42</v>
      </c>
      <c r="B77" s="997"/>
      <c r="C77" s="1165" t="s">
        <v>65</v>
      </c>
      <c r="D77" s="1146">
        <v>11.17</v>
      </c>
      <c r="E77" s="1147">
        <v>20.2</v>
      </c>
      <c r="F77" s="1147">
        <v>13.5</v>
      </c>
      <c r="G77" s="1166">
        <v>14</v>
      </c>
      <c r="H77" s="1160">
        <v>8.33</v>
      </c>
      <c r="I77" s="1147">
        <v>11</v>
      </c>
      <c r="J77" s="1193">
        <v>11.26</v>
      </c>
      <c r="K77" s="1313">
        <v>11.66</v>
      </c>
      <c r="L77" s="1135">
        <v>22.73</v>
      </c>
      <c r="M77" s="1136">
        <v>26</v>
      </c>
      <c r="N77" s="1684">
        <v>17.27</v>
      </c>
      <c r="O77" s="2110"/>
      <c r="P77" s="2224">
        <v>41.33</v>
      </c>
      <c r="Q77" s="1454"/>
      <c r="R77" s="1427">
        <v>29.7</v>
      </c>
      <c r="S77" s="634">
        <v>21.46</v>
      </c>
      <c r="T77" s="2023">
        <v>32.1</v>
      </c>
      <c r="U77" s="2928">
        <v>22.57</v>
      </c>
      <c r="V77" s="2928">
        <v>32.4</v>
      </c>
      <c r="W77" s="2928">
        <v>32.43</v>
      </c>
      <c r="X77" s="3112">
        <v>28.27</v>
      </c>
      <c r="Y77" s="3182">
        <v>9.1999999999999993</v>
      </c>
      <c r="Z77" s="3182">
        <v>6.06</v>
      </c>
      <c r="AA77" s="3182">
        <v>4.51</v>
      </c>
      <c r="AB77" s="3182">
        <v>1.45</v>
      </c>
      <c r="AC77" s="3182"/>
      <c r="AD77" s="3182"/>
      <c r="AE77" s="3182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</row>
    <row r="78" spans="1:93" ht="15.75">
      <c r="A78" s="1023" t="s">
        <v>49</v>
      </c>
      <c r="B78" s="995">
        <f>COUNTA(C78:C86)</f>
        <v>9</v>
      </c>
      <c r="C78" s="1161" t="s">
        <v>59</v>
      </c>
      <c r="D78" s="1112">
        <v>7.27</v>
      </c>
      <c r="E78" s="1114">
        <v>9</v>
      </c>
      <c r="F78" s="1114">
        <v>9.9</v>
      </c>
      <c r="G78" s="1162">
        <v>9.6999999999999993</v>
      </c>
      <c r="H78" s="1158">
        <v>10.34</v>
      </c>
      <c r="I78" s="1114">
        <v>9.5</v>
      </c>
      <c r="J78" s="1185">
        <v>9.3000000000000007</v>
      </c>
      <c r="K78" s="1296">
        <v>9.23</v>
      </c>
      <c r="L78" s="1117">
        <v>12.3</v>
      </c>
      <c r="M78" s="1118">
        <v>19.899999999999999</v>
      </c>
      <c r="N78" s="1685">
        <v>15.7</v>
      </c>
      <c r="O78" s="2111"/>
      <c r="P78" s="2210">
        <v>16.829999999999998</v>
      </c>
      <c r="Q78" s="1455">
        <v>13.4</v>
      </c>
      <c r="R78" s="1429">
        <v>12</v>
      </c>
      <c r="S78" s="1120">
        <v>9.76</v>
      </c>
      <c r="T78" s="2926">
        <v>10.33</v>
      </c>
      <c r="U78" s="2926">
        <v>9.83</v>
      </c>
      <c r="V78" s="2926">
        <v>13.67</v>
      </c>
      <c r="W78" s="2926">
        <v>13.13</v>
      </c>
      <c r="X78" s="3111">
        <v>12.57</v>
      </c>
      <c r="Y78" s="3174">
        <v>7.1</v>
      </c>
      <c r="Z78" s="3174">
        <v>8.24</v>
      </c>
      <c r="AA78" s="3174">
        <v>5.14</v>
      </c>
      <c r="AB78" s="3174">
        <v>1.87</v>
      </c>
      <c r="AC78" s="3174"/>
      <c r="AD78" s="3174"/>
      <c r="AE78" s="3174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</row>
    <row r="79" spans="1:93" ht="15" customHeight="1">
      <c r="A79" s="1199" t="s">
        <v>49</v>
      </c>
      <c r="B79" s="996"/>
      <c r="C79" s="1163" t="s">
        <v>61</v>
      </c>
      <c r="D79" s="1122">
        <v>4.68</v>
      </c>
      <c r="E79" s="1003">
        <v>9.5</v>
      </c>
      <c r="F79" s="1003">
        <v>8.9</v>
      </c>
      <c r="G79" s="1164">
        <v>7.7</v>
      </c>
      <c r="H79" s="718">
        <v>9.4600000000000009</v>
      </c>
      <c r="I79" s="1003">
        <v>10.42</v>
      </c>
      <c r="J79" s="1188">
        <v>9.3000000000000007</v>
      </c>
      <c r="K79" s="1304">
        <v>10.27</v>
      </c>
      <c r="L79" s="1125">
        <v>14.1</v>
      </c>
      <c r="M79" s="1514">
        <v>25.6</v>
      </c>
      <c r="N79" s="1683">
        <v>14.5</v>
      </c>
      <c r="O79" s="2112"/>
      <c r="P79" s="2211">
        <v>19.5</v>
      </c>
      <c r="Q79" s="1456">
        <v>10.8</v>
      </c>
      <c r="R79" s="1420">
        <v>11.2</v>
      </c>
      <c r="S79" s="1128">
        <v>9.6999999999999993</v>
      </c>
      <c r="T79" s="2927">
        <v>10.4</v>
      </c>
      <c r="U79" s="2927">
        <v>13.83</v>
      </c>
      <c r="V79" s="2927">
        <v>13.6</v>
      </c>
      <c r="W79" s="2927">
        <v>10.93</v>
      </c>
      <c r="X79" s="3173">
        <v>12.97</v>
      </c>
      <c r="Y79" s="3175">
        <v>5.7</v>
      </c>
      <c r="Z79" s="3175">
        <v>3.97</v>
      </c>
      <c r="AA79" s="3175">
        <v>2.89</v>
      </c>
      <c r="AB79" s="3175">
        <v>0.97</v>
      </c>
      <c r="AC79" s="3175"/>
      <c r="AD79" s="3175"/>
      <c r="AE79" s="3175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</row>
    <row r="80" spans="1:93" ht="18" customHeight="1">
      <c r="A80" s="1199" t="s">
        <v>49</v>
      </c>
      <c r="B80" s="996"/>
      <c r="C80" s="1163" t="s">
        <v>52</v>
      </c>
      <c r="D80" s="1122">
        <v>6.3</v>
      </c>
      <c r="E80" s="1003">
        <v>8.6</v>
      </c>
      <c r="F80" s="1003">
        <v>6.9</v>
      </c>
      <c r="G80" s="1164">
        <v>9.1</v>
      </c>
      <c r="H80" s="718">
        <v>11.41</v>
      </c>
      <c r="I80" s="1003">
        <v>11.4</v>
      </c>
      <c r="J80" s="1188">
        <v>9.5299999999999994</v>
      </c>
      <c r="K80" s="1304">
        <v>9.07</v>
      </c>
      <c r="L80" s="1125">
        <v>10.77</v>
      </c>
      <c r="M80" s="1126">
        <v>15.4</v>
      </c>
      <c r="N80" s="1686">
        <v>13.33</v>
      </c>
      <c r="O80" s="2113"/>
      <c r="P80" s="2212">
        <v>18.829999999999998</v>
      </c>
      <c r="Q80" s="1457">
        <v>11.5</v>
      </c>
      <c r="R80" s="1508">
        <v>10.7</v>
      </c>
      <c r="S80" s="1128">
        <v>9.06</v>
      </c>
      <c r="T80" s="2927">
        <v>9.77</v>
      </c>
      <c r="U80" s="2927">
        <v>8.6999999999999993</v>
      </c>
      <c r="V80" s="2927">
        <v>9.8000000000000007</v>
      </c>
      <c r="W80" s="2927">
        <v>12.4</v>
      </c>
      <c r="X80" s="2450">
        <v>14.97</v>
      </c>
      <c r="Y80" s="3176">
        <v>4.03</v>
      </c>
      <c r="Z80" s="3175">
        <v>3.59</v>
      </c>
      <c r="AA80" s="3176">
        <v>2.37</v>
      </c>
      <c r="AB80" s="3176">
        <v>0.54</v>
      </c>
      <c r="AC80" s="3176"/>
      <c r="AD80" s="3176"/>
      <c r="AE80" s="3176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</row>
    <row r="81" spans="1:105" s="4" customFormat="1" ht="15.75">
      <c r="A81" s="1199" t="s">
        <v>49</v>
      </c>
      <c r="B81" s="996"/>
      <c r="C81" s="1163" t="s">
        <v>193</v>
      </c>
      <c r="D81" s="1122">
        <v>7.04</v>
      </c>
      <c r="E81" s="1003">
        <v>11.9</v>
      </c>
      <c r="F81" s="1003">
        <v>10.1</v>
      </c>
      <c r="G81" s="1164">
        <v>8.8000000000000007</v>
      </c>
      <c r="H81" s="718">
        <v>8.41</v>
      </c>
      <c r="I81" s="1003">
        <v>8.5500000000000007</v>
      </c>
      <c r="J81" s="1188">
        <v>6.1</v>
      </c>
      <c r="K81" s="1304">
        <v>14.3</v>
      </c>
      <c r="L81" s="1125">
        <v>15.9</v>
      </c>
      <c r="M81" s="1126">
        <v>21.5</v>
      </c>
      <c r="N81" s="1515">
        <v>18.170000000000002</v>
      </c>
      <c r="O81" s="2117"/>
      <c r="P81" s="2213">
        <v>27.8</v>
      </c>
      <c r="Q81" s="1468">
        <v>16.3</v>
      </c>
      <c r="R81" s="1508">
        <v>14.2</v>
      </c>
      <c r="S81" s="1128">
        <v>15.36</v>
      </c>
      <c r="T81" s="2927">
        <v>19.5</v>
      </c>
      <c r="U81" s="2927">
        <v>15.97</v>
      </c>
      <c r="V81" s="2927">
        <v>14.03</v>
      </c>
      <c r="W81" s="2927">
        <v>14.07</v>
      </c>
      <c r="X81" s="2450">
        <v>22.1</v>
      </c>
      <c r="Y81" s="3177">
        <v>8.43</v>
      </c>
      <c r="Z81" s="3175">
        <v>5.58</v>
      </c>
      <c r="AA81" s="3177">
        <v>5.03</v>
      </c>
      <c r="AB81" s="3177">
        <v>1.1000000000000001</v>
      </c>
      <c r="AC81" s="3177"/>
      <c r="AD81" s="3177"/>
      <c r="AE81" s="3177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</row>
    <row r="82" spans="1:105" s="4" customFormat="1" ht="15.75">
      <c r="A82" s="1199" t="s">
        <v>49</v>
      </c>
      <c r="B82" s="996"/>
      <c r="C82" s="1163" t="s">
        <v>50</v>
      </c>
      <c r="D82" s="1122">
        <v>5.46</v>
      </c>
      <c r="E82" s="1003">
        <v>11.2</v>
      </c>
      <c r="F82" s="1003">
        <v>8.6999999999999993</v>
      </c>
      <c r="G82" s="1164">
        <v>9</v>
      </c>
      <c r="H82" s="718">
        <v>11.58</v>
      </c>
      <c r="I82" s="1003">
        <v>10.6</v>
      </c>
      <c r="J82" s="1188">
        <v>10.26</v>
      </c>
      <c r="K82" s="1304">
        <v>9.5</v>
      </c>
      <c r="L82" s="1125">
        <v>11.03</v>
      </c>
      <c r="M82" s="1126">
        <v>18.399999999999999</v>
      </c>
      <c r="N82" s="1513">
        <v>18.73</v>
      </c>
      <c r="O82" s="1208"/>
      <c r="P82" s="2214">
        <v>21.27</v>
      </c>
      <c r="Q82" s="1127">
        <v>13.9</v>
      </c>
      <c r="R82" s="1420">
        <v>12.2</v>
      </c>
      <c r="S82" s="1128">
        <v>9.8000000000000007</v>
      </c>
      <c r="T82" s="2927">
        <v>10.43</v>
      </c>
      <c r="U82" s="2927">
        <v>9.57</v>
      </c>
      <c r="V82" s="2927">
        <v>9.67</v>
      </c>
      <c r="W82" s="2927">
        <v>13.17</v>
      </c>
      <c r="X82" s="2450">
        <v>13.7</v>
      </c>
      <c r="Y82" s="2927">
        <v>4.63</v>
      </c>
      <c r="Z82" s="3175">
        <v>2.99</v>
      </c>
      <c r="AA82" s="2927">
        <v>2.0499999999999998</v>
      </c>
      <c r="AB82" s="2927">
        <v>1</v>
      </c>
      <c r="AC82" s="2927"/>
      <c r="AD82" s="2927"/>
      <c r="AE82" s="2927"/>
      <c r="BB82" s="83"/>
      <c r="BC82" s="83"/>
      <c r="BD82" s="83"/>
      <c r="BE82" s="83"/>
      <c r="BF82" s="83"/>
      <c r="BG82" s="83"/>
      <c r="BH82" s="83"/>
      <c r="BI82" s="83"/>
      <c r="BJ82" s="83"/>
      <c r="BK82" s="83"/>
      <c r="BL82" s="83"/>
      <c r="BM82" s="83"/>
      <c r="BN82" s="83"/>
      <c r="BO82" s="83"/>
      <c r="BP82" s="83"/>
      <c r="BQ82" s="83"/>
      <c r="BR82" s="83"/>
      <c r="BS82" s="83"/>
      <c r="BT82" s="83"/>
      <c r="BU82" s="83"/>
      <c r="BV82" s="83"/>
      <c r="CE82" s="83"/>
      <c r="CF82" s="83"/>
      <c r="CG82" s="83"/>
      <c r="CH82" s="83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3"/>
      <c r="CW82" s="83"/>
      <c r="CX82" s="83"/>
      <c r="CY82" s="83"/>
      <c r="CZ82" s="83"/>
      <c r="DA82" s="83"/>
    </row>
    <row r="83" spans="1:105" s="4" customFormat="1" ht="15.75">
      <c r="A83" s="1199" t="s">
        <v>49</v>
      </c>
      <c r="B83" s="996"/>
      <c r="C83" s="1163" t="s">
        <v>57</v>
      </c>
      <c r="D83" s="1122">
        <v>9.27</v>
      </c>
      <c r="E83" s="1003">
        <v>8.6999999999999993</v>
      </c>
      <c r="F83" s="1003">
        <v>11.8</v>
      </c>
      <c r="G83" s="1164">
        <v>9.4499999999999993</v>
      </c>
      <c r="H83" s="718">
        <v>9.5</v>
      </c>
      <c r="I83" s="1003">
        <v>9.9</v>
      </c>
      <c r="J83" s="1188">
        <v>9.1300000000000008</v>
      </c>
      <c r="K83" s="1304">
        <v>10.4</v>
      </c>
      <c r="L83" s="1125">
        <v>12.77</v>
      </c>
      <c r="M83" s="1126">
        <v>13.5</v>
      </c>
      <c r="N83" s="1513">
        <v>11.87</v>
      </c>
      <c r="O83" s="1208"/>
      <c r="P83" s="2214">
        <v>12.23</v>
      </c>
      <c r="Q83" s="1127">
        <v>19.100000000000001</v>
      </c>
      <c r="R83" s="1127">
        <v>13.2</v>
      </c>
      <c r="S83" s="1128">
        <v>9.83</v>
      </c>
      <c r="T83" s="2927">
        <v>10.5</v>
      </c>
      <c r="U83" s="2927">
        <v>9.8699999999999992</v>
      </c>
      <c r="V83" s="2927">
        <v>12.1</v>
      </c>
      <c r="W83" s="2927">
        <v>12.43</v>
      </c>
      <c r="X83" s="2450">
        <v>11.83</v>
      </c>
      <c r="Y83" s="2927">
        <v>6.67</v>
      </c>
      <c r="Z83" s="3175">
        <v>3.08</v>
      </c>
      <c r="AA83" s="2927">
        <v>3.39</v>
      </c>
      <c r="AB83" s="2927">
        <v>1.46</v>
      </c>
      <c r="AC83" s="2927"/>
      <c r="AD83" s="2927"/>
      <c r="AE83" s="2927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CE83" s="83"/>
      <c r="CF83" s="83"/>
      <c r="CG83" s="83"/>
      <c r="CH83" s="83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3"/>
      <c r="CW83" s="83"/>
      <c r="CX83" s="83"/>
      <c r="CY83" s="83"/>
      <c r="CZ83" s="83"/>
      <c r="DA83" s="83"/>
    </row>
    <row r="84" spans="1:105" ht="18" customHeight="1">
      <c r="A84" s="1199" t="s">
        <v>49</v>
      </c>
      <c r="B84" s="996"/>
      <c r="C84" s="1163" t="s">
        <v>58</v>
      </c>
      <c r="D84" s="1122">
        <v>6.77</v>
      </c>
      <c r="E84" s="1003">
        <v>19.8</v>
      </c>
      <c r="F84" s="1003">
        <v>11.6</v>
      </c>
      <c r="G84" s="1164">
        <v>10.199999999999999</v>
      </c>
      <c r="H84" s="718">
        <v>10.06</v>
      </c>
      <c r="I84" s="1003">
        <v>12.13</v>
      </c>
      <c r="J84" s="1188">
        <v>11</v>
      </c>
      <c r="K84" s="1304">
        <v>13.2</v>
      </c>
      <c r="L84" s="1125">
        <v>18.399999999999999</v>
      </c>
      <c r="M84" s="1126">
        <v>23.4</v>
      </c>
      <c r="N84" s="1513">
        <v>21.8</v>
      </c>
      <c r="O84" s="1208"/>
      <c r="P84" s="2214">
        <v>28.33</v>
      </c>
      <c r="Q84" s="1127">
        <v>19.170000000000002</v>
      </c>
      <c r="R84" s="1127">
        <v>24.1</v>
      </c>
      <c r="S84" s="1128">
        <v>19.8</v>
      </c>
      <c r="T84" s="2927">
        <v>23.5</v>
      </c>
      <c r="U84" s="2927">
        <v>17.5</v>
      </c>
      <c r="V84" s="2927">
        <v>13.07</v>
      </c>
      <c r="W84" s="2927">
        <v>15.13</v>
      </c>
      <c r="X84" s="2450">
        <v>21.77</v>
      </c>
      <c r="Y84" s="2927">
        <v>12.83</v>
      </c>
      <c r="Z84" s="3175">
        <v>5.27</v>
      </c>
      <c r="AA84" s="2927">
        <v>3.9</v>
      </c>
      <c r="AB84" s="2927">
        <v>1.57</v>
      </c>
      <c r="AC84" s="2927"/>
      <c r="AD84" s="2927"/>
      <c r="AE84" s="2927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</row>
    <row r="85" spans="1:105" ht="18" customHeight="1">
      <c r="A85" s="1199" t="s">
        <v>49</v>
      </c>
      <c r="B85" s="996"/>
      <c r="C85" s="1163" t="s">
        <v>194</v>
      </c>
      <c r="D85" s="1122">
        <v>9.39</v>
      </c>
      <c r="E85" s="1003">
        <v>19.2</v>
      </c>
      <c r="F85" s="1003">
        <v>10.8</v>
      </c>
      <c r="G85" s="1164">
        <v>10.1</v>
      </c>
      <c r="H85" s="718">
        <v>10.85</v>
      </c>
      <c r="I85" s="1003">
        <v>11.06</v>
      </c>
      <c r="J85" s="1188">
        <v>10.33</v>
      </c>
      <c r="K85" s="1304">
        <v>10.57</v>
      </c>
      <c r="L85" s="1125">
        <v>17.43</v>
      </c>
      <c r="M85" s="1126">
        <v>25.8</v>
      </c>
      <c r="N85" s="1513">
        <v>16.5</v>
      </c>
      <c r="O85" s="1208"/>
      <c r="P85" s="2214">
        <v>28.67</v>
      </c>
      <c r="Q85" s="1127">
        <v>21.47</v>
      </c>
      <c r="R85" s="1127">
        <v>16.899999999999999</v>
      </c>
      <c r="S85" s="1128">
        <v>14.26</v>
      </c>
      <c r="T85" s="2927">
        <v>14.1</v>
      </c>
      <c r="U85" s="2927">
        <v>10.1</v>
      </c>
      <c r="V85" s="2927">
        <v>10.27</v>
      </c>
      <c r="W85" s="2927">
        <v>13.77</v>
      </c>
      <c r="X85" s="2450">
        <v>17.5</v>
      </c>
      <c r="Y85" s="2927">
        <v>8.6999999999999993</v>
      </c>
      <c r="Z85" s="3175">
        <v>4.0599999999999996</v>
      </c>
      <c r="AA85" s="2927">
        <v>4.1500000000000004</v>
      </c>
      <c r="AB85" s="2927">
        <v>1.27</v>
      </c>
      <c r="AC85" s="2927"/>
      <c r="AD85" s="2927"/>
      <c r="AE85" s="2927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</row>
    <row r="86" spans="1:105" ht="18" customHeight="1" thickBot="1">
      <c r="A86" s="1205" t="s">
        <v>49</v>
      </c>
      <c r="B86" s="997"/>
      <c r="C86" s="1165" t="s">
        <v>60</v>
      </c>
      <c r="D86" s="1146">
        <v>9</v>
      </c>
      <c r="E86" s="1147">
        <v>8.4</v>
      </c>
      <c r="F86" s="1147">
        <v>11.5</v>
      </c>
      <c r="G86" s="1166">
        <v>10.1</v>
      </c>
      <c r="H86" s="1160">
        <v>10.85</v>
      </c>
      <c r="I86" s="1147">
        <v>10.6</v>
      </c>
      <c r="J86" s="1193">
        <v>9.5299999999999994</v>
      </c>
      <c r="K86" s="1313">
        <v>10.5</v>
      </c>
      <c r="L86" s="1135">
        <v>13.33</v>
      </c>
      <c r="M86" s="1136">
        <v>13.3</v>
      </c>
      <c r="N86" s="1635">
        <v>14.47</v>
      </c>
      <c r="O86" s="1209"/>
      <c r="P86" s="2215">
        <v>11.87</v>
      </c>
      <c r="Q86" s="633">
        <v>16.47</v>
      </c>
      <c r="R86" s="633">
        <v>18.399999999999999</v>
      </c>
      <c r="S86" s="634">
        <v>14.55</v>
      </c>
      <c r="T86" s="2928">
        <v>12.37</v>
      </c>
      <c r="U86" s="2928">
        <v>12.6</v>
      </c>
      <c r="V86" s="2928">
        <v>14.93</v>
      </c>
      <c r="W86" s="2928">
        <v>12.07</v>
      </c>
      <c r="X86" s="3112">
        <v>12.53</v>
      </c>
      <c r="Y86" s="2928">
        <v>5.83</v>
      </c>
      <c r="Z86" s="3175">
        <v>4.91</v>
      </c>
      <c r="AA86" s="2928">
        <v>4.63</v>
      </c>
      <c r="AB86" s="2928">
        <v>1.85</v>
      </c>
      <c r="AC86" s="2928"/>
      <c r="AD86" s="2928"/>
      <c r="AE86" s="2928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</row>
    <row r="87" spans="1:105">
      <c r="A87" s="1023" t="s">
        <v>40</v>
      </c>
      <c r="B87" s="995">
        <f>COUNTA(C87:C96)</f>
        <v>10</v>
      </c>
      <c r="C87" s="1161" t="s">
        <v>41</v>
      </c>
      <c r="D87" s="1112">
        <v>9.3000000000000007</v>
      </c>
      <c r="E87" s="1114">
        <v>10.1</v>
      </c>
      <c r="F87" s="1114">
        <v>10.4</v>
      </c>
      <c r="G87" s="1162">
        <v>9.6</v>
      </c>
      <c r="H87" s="1158">
        <v>9.15</v>
      </c>
      <c r="I87" s="1114">
        <v>17.399999999999999</v>
      </c>
      <c r="J87" s="1185">
        <v>13.55</v>
      </c>
      <c r="K87" s="1296">
        <v>14.7</v>
      </c>
      <c r="L87" s="1117">
        <v>17.600000000000001</v>
      </c>
      <c r="M87" s="1118">
        <v>15.4</v>
      </c>
      <c r="N87" s="1634">
        <v>14.23</v>
      </c>
      <c r="O87" s="1207"/>
      <c r="P87" s="2220">
        <v>16.2</v>
      </c>
      <c r="Q87" s="1119">
        <v>23.2</v>
      </c>
      <c r="R87" s="1119">
        <v>19.13</v>
      </c>
      <c r="S87" s="1120">
        <v>15.3</v>
      </c>
      <c r="T87" s="2024">
        <v>13.4</v>
      </c>
      <c r="U87" s="2926">
        <v>13.83</v>
      </c>
      <c r="V87" s="2926">
        <v>13.73</v>
      </c>
      <c r="W87" s="2926">
        <v>13.97</v>
      </c>
      <c r="X87" s="3111">
        <v>15.4</v>
      </c>
      <c r="Y87" s="2926">
        <v>5.0999999999999996</v>
      </c>
      <c r="Z87" s="2926">
        <v>2.5499999999999998</v>
      </c>
      <c r="AA87" s="2926">
        <v>2.4</v>
      </c>
      <c r="AB87" s="2926">
        <v>2.2799999999999998</v>
      </c>
      <c r="AC87" s="2926"/>
      <c r="AD87" s="2926"/>
      <c r="AE87" s="2926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</row>
    <row r="88" spans="1:105">
      <c r="A88" s="1199" t="s">
        <v>40</v>
      </c>
      <c r="B88" s="996"/>
      <c r="C88" s="1163" t="s">
        <v>48</v>
      </c>
      <c r="D88" s="1122">
        <v>9.4</v>
      </c>
      <c r="E88" s="1003">
        <v>12.2</v>
      </c>
      <c r="F88" s="1003">
        <v>10.5</v>
      </c>
      <c r="G88" s="1164">
        <v>10</v>
      </c>
      <c r="H88" s="718">
        <v>10.86</v>
      </c>
      <c r="I88" s="1003">
        <v>15.05</v>
      </c>
      <c r="J88" s="1188">
        <v>13.4</v>
      </c>
      <c r="K88" s="1304">
        <v>17.399999999999999</v>
      </c>
      <c r="L88" s="1125">
        <v>22.9</v>
      </c>
      <c r="M88" s="1126">
        <v>19.7</v>
      </c>
      <c r="N88" s="1513">
        <v>17.260000000000002</v>
      </c>
      <c r="O88" s="1208"/>
      <c r="P88" s="2205">
        <v>27.93</v>
      </c>
      <c r="Q88" s="1127">
        <v>16.670000000000002</v>
      </c>
      <c r="R88" s="1127">
        <v>22.46</v>
      </c>
      <c r="S88" s="1128">
        <v>19.760000000000002</v>
      </c>
      <c r="T88" s="2022">
        <v>15.5</v>
      </c>
      <c r="U88" s="2927">
        <v>16.13</v>
      </c>
      <c r="V88" s="2927">
        <v>14.47</v>
      </c>
      <c r="W88" s="2927">
        <v>21.17</v>
      </c>
      <c r="X88" s="2450">
        <v>16.8</v>
      </c>
      <c r="Y88" s="2927">
        <v>8.85</v>
      </c>
      <c r="Z88" s="2927">
        <v>3.22</v>
      </c>
      <c r="AA88" s="2927">
        <v>2.68</v>
      </c>
      <c r="AB88" s="2927">
        <v>2.76</v>
      </c>
      <c r="AC88" s="2927"/>
      <c r="AD88" s="2927"/>
      <c r="AE88" s="2927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</row>
    <row r="89" spans="1:105">
      <c r="A89" s="1199" t="s">
        <v>40</v>
      </c>
      <c r="B89" s="996"/>
      <c r="C89" s="1121" t="s">
        <v>46</v>
      </c>
      <c r="D89" s="1122">
        <v>8.15</v>
      </c>
      <c r="E89" s="1003">
        <v>11.9</v>
      </c>
      <c r="F89" s="1003">
        <v>9.5</v>
      </c>
      <c r="G89" s="1164">
        <v>9.9</v>
      </c>
      <c r="H89" s="718">
        <v>9.1199999999999992</v>
      </c>
      <c r="I89" s="1003">
        <v>10.3</v>
      </c>
      <c r="J89" s="1188">
        <v>12.73</v>
      </c>
      <c r="K89" s="1304">
        <v>14.7</v>
      </c>
      <c r="L89" s="1125">
        <v>14.7</v>
      </c>
      <c r="M89" s="1126">
        <v>13.8</v>
      </c>
      <c r="N89" s="1513">
        <v>14.06</v>
      </c>
      <c r="O89" s="1208"/>
      <c r="P89" s="2205">
        <v>24.37</v>
      </c>
      <c r="Q89" s="1127">
        <v>28.37</v>
      </c>
      <c r="R89" s="1127">
        <v>16.899999999999999</v>
      </c>
      <c r="S89" s="1128">
        <v>20.329999999999998</v>
      </c>
      <c r="T89" s="2022">
        <v>18.100000000000001</v>
      </c>
      <c r="U89" s="2927">
        <v>17.03</v>
      </c>
      <c r="V89" s="2927">
        <v>14.77</v>
      </c>
      <c r="W89" s="2927">
        <v>24.67</v>
      </c>
      <c r="X89" s="2450">
        <v>20.329999999999998</v>
      </c>
      <c r="Y89" s="2927">
        <v>7.83</v>
      </c>
      <c r="Z89" s="2927">
        <v>3.61</v>
      </c>
      <c r="AA89" s="2927">
        <v>2.74</v>
      </c>
      <c r="AB89" s="2927">
        <v>2.46</v>
      </c>
      <c r="AC89" s="2927"/>
      <c r="AD89" s="2927"/>
      <c r="AE89" s="2927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</row>
    <row r="90" spans="1:105">
      <c r="A90" s="1199" t="s">
        <v>40</v>
      </c>
      <c r="B90" s="996"/>
      <c r="C90" s="1163" t="s">
        <v>45</v>
      </c>
      <c r="D90" s="1122">
        <v>12.2</v>
      </c>
      <c r="E90" s="1003">
        <v>14.4</v>
      </c>
      <c r="F90" s="1003">
        <v>12.1</v>
      </c>
      <c r="G90" s="1164">
        <v>10.199999999999999</v>
      </c>
      <c r="H90" s="718">
        <v>9.92</v>
      </c>
      <c r="I90" s="1003">
        <v>9.85</v>
      </c>
      <c r="J90" s="1188">
        <v>11.95</v>
      </c>
      <c r="K90" s="1304">
        <v>13.9</v>
      </c>
      <c r="L90" s="1125">
        <v>19.7</v>
      </c>
      <c r="M90" s="1126">
        <v>19.7</v>
      </c>
      <c r="N90" s="1513">
        <v>17.66</v>
      </c>
      <c r="O90" s="1208"/>
      <c r="P90" s="2205">
        <v>20.6</v>
      </c>
      <c r="Q90" s="1127">
        <v>16.5</v>
      </c>
      <c r="R90" s="1127">
        <v>19.63</v>
      </c>
      <c r="S90" s="1128">
        <v>29.21</v>
      </c>
      <c r="T90" s="2022">
        <v>25</v>
      </c>
      <c r="U90" s="2927">
        <v>21.03</v>
      </c>
      <c r="V90" s="2927">
        <v>21.7</v>
      </c>
      <c r="W90" s="2927">
        <v>25</v>
      </c>
      <c r="X90" s="2450">
        <v>23.5</v>
      </c>
      <c r="Y90" s="2927">
        <v>9.27</v>
      </c>
      <c r="Z90" s="2927">
        <v>4.1900000000000004</v>
      </c>
      <c r="AA90" s="2927">
        <v>3.01</v>
      </c>
      <c r="AB90" s="2927">
        <v>2.2200000000000002</v>
      </c>
      <c r="AC90" s="2927"/>
      <c r="AD90" s="2927"/>
      <c r="AE90" s="2927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</row>
    <row r="91" spans="1:105">
      <c r="A91" s="1199" t="s">
        <v>40</v>
      </c>
      <c r="B91" s="996"/>
      <c r="C91" s="1121" t="s">
        <v>55</v>
      </c>
      <c r="D91" s="1122">
        <v>7.3</v>
      </c>
      <c r="E91" s="1003">
        <v>9.3000000000000007</v>
      </c>
      <c r="F91" s="1003">
        <v>9.1999999999999993</v>
      </c>
      <c r="G91" s="1164">
        <v>9.8000000000000007</v>
      </c>
      <c r="H91" s="718">
        <v>9.6999999999999993</v>
      </c>
      <c r="I91" s="1003">
        <v>9.15</v>
      </c>
      <c r="J91" s="1188">
        <v>11.86</v>
      </c>
      <c r="K91" s="1304">
        <v>14.3</v>
      </c>
      <c r="L91" s="1125">
        <v>15.2</v>
      </c>
      <c r="M91" s="1126">
        <v>15.6</v>
      </c>
      <c r="N91" s="1513">
        <v>15.23</v>
      </c>
      <c r="O91" s="1208"/>
      <c r="P91" s="2205">
        <v>20.83</v>
      </c>
      <c r="Q91" s="1127">
        <v>17.2</v>
      </c>
      <c r="R91" s="1127">
        <v>19.760000000000002</v>
      </c>
      <c r="S91" s="1128">
        <v>16.14</v>
      </c>
      <c r="T91" s="2022">
        <v>15.4</v>
      </c>
      <c r="U91" s="2927">
        <v>14.6</v>
      </c>
      <c r="V91" s="2927">
        <v>14.23</v>
      </c>
      <c r="W91" s="2927">
        <v>18.23</v>
      </c>
      <c r="X91" s="2450">
        <v>20.83</v>
      </c>
      <c r="Y91" s="2927">
        <v>5.72</v>
      </c>
      <c r="Z91" s="2927">
        <v>3.08</v>
      </c>
      <c r="AA91" s="2927">
        <v>3.1</v>
      </c>
      <c r="AB91" s="2927">
        <v>1.98</v>
      </c>
      <c r="AC91" s="2927"/>
      <c r="AD91" s="2927"/>
      <c r="AE91" s="2927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</row>
    <row r="92" spans="1:105">
      <c r="A92" s="1199" t="s">
        <v>40</v>
      </c>
      <c r="B92" s="996"/>
      <c r="C92" s="1121" t="s">
        <v>54</v>
      </c>
      <c r="D92" s="1122">
        <v>5.9</v>
      </c>
      <c r="E92" s="1003">
        <v>10.7</v>
      </c>
      <c r="F92" s="1003">
        <v>9.9</v>
      </c>
      <c r="G92" s="1164">
        <v>9.6999999999999993</v>
      </c>
      <c r="H92" s="718">
        <v>9.6999999999999993</v>
      </c>
      <c r="I92" s="1003">
        <v>12.6</v>
      </c>
      <c r="J92" s="1188">
        <v>14.13</v>
      </c>
      <c r="K92" s="1304">
        <v>12.8</v>
      </c>
      <c r="L92" s="1125">
        <v>21.2</v>
      </c>
      <c r="M92" s="1126">
        <v>19.100000000000001</v>
      </c>
      <c r="N92" s="1513">
        <v>17.66</v>
      </c>
      <c r="O92" s="1208"/>
      <c r="P92" s="2205">
        <v>21.63</v>
      </c>
      <c r="Q92" s="1127">
        <v>20.23</v>
      </c>
      <c r="R92" s="1127">
        <v>19.899999999999999</v>
      </c>
      <c r="S92" s="1128">
        <v>18.43</v>
      </c>
      <c r="T92" s="2022">
        <v>25.3</v>
      </c>
      <c r="U92" s="2927">
        <v>23.5</v>
      </c>
      <c r="V92" s="2927">
        <v>18.13</v>
      </c>
      <c r="W92" s="2927">
        <v>21.7</v>
      </c>
      <c r="X92" s="2450">
        <v>20.37</v>
      </c>
      <c r="Y92" s="2927">
        <v>7.79</v>
      </c>
      <c r="Z92" s="2927">
        <v>2.81</v>
      </c>
      <c r="AA92" s="2927">
        <v>3.34</v>
      </c>
      <c r="AB92" s="2927">
        <v>1.98</v>
      </c>
      <c r="AC92" s="2927"/>
      <c r="AD92" s="2927"/>
      <c r="AE92" s="2927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</row>
    <row r="93" spans="1:105" ht="15" customHeight="1">
      <c r="A93" s="1199" t="s">
        <v>40</v>
      </c>
      <c r="B93" s="996"/>
      <c r="C93" s="1121" t="s">
        <v>56</v>
      </c>
      <c r="D93" s="1122">
        <v>5.5</v>
      </c>
      <c r="E93" s="1003">
        <v>9</v>
      </c>
      <c r="F93" s="1003">
        <v>10.1</v>
      </c>
      <c r="G93" s="1164">
        <v>8.5</v>
      </c>
      <c r="H93" s="718">
        <v>8.4499999999999993</v>
      </c>
      <c r="I93" s="1003">
        <v>9.9</v>
      </c>
      <c r="J93" s="1188">
        <v>11.03</v>
      </c>
      <c r="K93" s="1304">
        <v>12.4</v>
      </c>
      <c r="L93" s="1125">
        <v>19.7</v>
      </c>
      <c r="M93" s="1126">
        <v>22.5</v>
      </c>
      <c r="N93" s="1513">
        <v>18.36</v>
      </c>
      <c r="O93" s="1208"/>
      <c r="P93" s="2205">
        <v>27.8</v>
      </c>
      <c r="Q93" s="1127">
        <v>25.6</v>
      </c>
      <c r="R93" s="1127">
        <v>23.43</v>
      </c>
      <c r="S93" s="1128">
        <v>21.53</v>
      </c>
      <c r="T93" s="2022">
        <v>19.5</v>
      </c>
      <c r="U93" s="2927">
        <v>17.07</v>
      </c>
      <c r="V93" s="2927">
        <v>20.83</v>
      </c>
      <c r="W93" s="2927">
        <v>23.13</v>
      </c>
      <c r="X93" s="2450">
        <v>21.13</v>
      </c>
      <c r="Y93" s="2927">
        <v>9.35</v>
      </c>
      <c r="Z93" s="2927">
        <v>4.34</v>
      </c>
      <c r="AA93" s="2927">
        <v>3.51</v>
      </c>
      <c r="AB93" s="2927">
        <v>2.2799999999999998</v>
      </c>
      <c r="AC93" s="2927"/>
      <c r="AD93" s="2927"/>
      <c r="AE93" s="2927"/>
      <c r="AF93" s="61"/>
      <c r="AG93" s="61"/>
      <c r="AH93" s="133"/>
      <c r="AI93" s="133"/>
      <c r="AJ93" s="133"/>
      <c r="AK93" s="61"/>
      <c r="AL93" s="61"/>
      <c r="AM93" s="61"/>
      <c r="AN93" s="61"/>
      <c r="AO93" s="57"/>
      <c r="AP93" s="57"/>
      <c r="AQ93" s="57"/>
      <c r="AR93" s="61"/>
      <c r="AS93" s="61"/>
      <c r="AT93" s="61"/>
      <c r="AU93" s="61"/>
      <c r="AV93" s="57"/>
      <c r="AW93" s="57"/>
      <c r="AX93" s="57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</row>
    <row r="94" spans="1:105">
      <c r="A94" s="1199" t="s">
        <v>40</v>
      </c>
      <c r="B94" s="996"/>
      <c r="C94" s="1121" t="s">
        <v>44</v>
      </c>
      <c r="D94" s="1122">
        <v>9.85</v>
      </c>
      <c r="E94" s="1003">
        <v>12.3</v>
      </c>
      <c r="F94" s="1003">
        <v>12.7</v>
      </c>
      <c r="G94" s="1164">
        <v>10.8</v>
      </c>
      <c r="H94" s="718">
        <v>10.14</v>
      </c>
      <c r="I94" s="1003">
        <v>21.35</v>
      </c>
      <c r="J94" s="1188">
        <v>16.13</v>
      </c>
      <c r="K94" s="1304">
        <v>15</v>
      </c>
      <c r="L94" s="1125">
        <v>22.4</v>
      </c>
      <c r="M94" s="1126">
        <v>26.2</v>
      </c>
      <c r="N94" s="1513">
        <v>14.76</v>
      </c>
      <c r="O94" s="1208"/>
      <c r="P94" s="2205">
        <v>19.3</v>
      </c>
      <c r="Q94" s="1127">
        <v>20.07</v>
      </c>
      <c r="R94" s="1127">
        <v>22.4</v>
      </c>
      <c r="S94" s="1128">
        <v>19.2</v>
      </c>
      <c r="T94" s="2022">
        <v>14.5</v>
      </c>
      <c r="U94" s="2927">
        <v>20.9</v>
      </c>
      <c r="V94" s="2927">
        <v>20</v>
      </c>
      <c r="W94" s="2927">
        <v>27.5</v>
      </c>
      <c r="X94" s="2450">
        <v>18.97</v>
      </c>
      <c r="Y94" s="2927">
        <v>7.79</v>
      </c>
      <c r="Z94" s="2927">
        <v>4.5599999999999996</v>
      </c>
      <c r="AA94" s="2927">
        <v>4.7</v>
      </c>
      <c r="AB94" s="2927">
        <v>2.7</v>
      </c>
      <c r="AC94" s="2927"/>
      <c r="AD94" s="2927"/>
      <c r="AE94" s="2927"/>
      <c r="AF94" s="61"/>
      <c r="AG94" s="48"/>
      <c r="AH94" s="167"/>
      <c r="AI94" s="167"/>
      <c r="AJ94" s="167"/>
      <c r="AK94" s="44"/>
      <c r="AL94" s="61"/>
      <c r="AM94" s="61"/>
      <c r="AN94" s="48"/>
      <c r="AO94" s="57"/>
      <c r="AP94" s="57"/>
      <c r="AQ94" s="57"/>
      <c r="AR94" s="44"/>
      <c r="AS94" s="61"/>
      <c r="AT94" s="61"/>
      <c r="AU94" s="48"/>
      <c r="AV94" s="57"/>
      <c r="AW94" s="57"/>
      <c r="AX94" s="57"/>
      <c r="AY94" s="44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</row>
    <row r="95" spans="1:105">
      <c r="A95" s="1199" t="s">
        <v>40</v>
      </c>
      <c r="B95" s="996"/>
      <c r="C95" s="1121" t="s">
        <v>51</v>
      </c>
      <c r="D95" s="1122">
        <v>7.3</v>
      </c>
      <c r="E95" s="1003">
        <v>10.199999999999999</v>
      </c>
      <c r="F95" s="1003">
        <v>9.9</v>
      </c>
      <c r="G95" s="1164">
        <v>11.5</v>
      </c>
      <c r="H95" s="718">
        <v>10.35</v>
      </c>
      <c r="I95" s="1003">
        <v>9.8000000000000007</v>
      </c>
      <c r="J95" s="1188">
        <v>14.8</v>
      </c>
      <c r="K95" s="1304">
        <v>14.4</v>
      </c>
      <c r="L95" s="1125">
        <v>19.3</v>
      </c>
      <c r="M95" s="1126">
        <v>17.600000000000001</v>
      </c>
      <c r="N95" s="1513">
        <v>15.56</v>
      </c>
      <c r="O95" s="1208"/>
      <c r="P95" s="2205">
        <v>18.03</v>
      </c>
      <c r="Q95" s="1127">
        <v>20.2</v>
      </c>
      <c r="R95" s="1127">
        <v>14.26</v>
      </c>
      <c r="S95" s="1128">
        <v>23.1</v>
      </c>
      <c r="T95" s="2022">
        <v>20.9</v>
      </c>
      <c r="U95" s="2927">
        <v>18.399999999999999</v>
      </c>
      <c r="V95" s="2927">
        <v>22.8</v>
      </c>
      <c r="W95" s="2927">
        <v>18.899999999999999</v>
      </c>
      <c r="X95" s="2450">
        <v>17.5</v>
      </c>
      <c r="Y95" s="2927">
        <v>5.95</v>
      </c>
      <c r="Z95" s="2927">
        <v>3.34</v>
      </c>
      <c r="AA95" s="2927">
        <v>2.73</v>
      </c>
      <c r="AB95" s="2927">
        <v>2.97</v>
      </c>
      <c r="AC95" s="2927"/>
      <c r="AD95" s="2927"/>
      <c r="AE95" s="2927"/>
      <c r="AF95" s="61"/>
      <c r="AG95" s="48"/>
      <c r="AH95" s="167"/>
      <c r="AI95" s="167"/>
      <c r="AJ95" s="167"/>
      <c r="AK95" s="44"/>
      <c r="AL95" s="61"/>
      <c r="AM95" s="61"/>
      <c r="AN95" s="48"/>
      <c r="AO95" s="57"/>
      <c r="AP95" s="57"/>
      <c r="AQ95" s="57"/>
      <c r="AR95" s="44"/>
      <c r="AS95" s="61"/>
      <c r="AT95" s="61"/>
      <c r="AU95" s="48"/>
      <c r="AV95" s="57"/>
      <c r="AW95" s="57"/>
      <c r="AX95" s="57"/>
      <c r="AY95" s="44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</row>
    <row r="96" spans="1:105" ht="15.75" thickBot="1">
      <c r="A96" s="1205" t="s">
        <v>40</v>
      </c>
      <c r="B96" s="997"/>
      <c r="C96" s="1129" t="s">
        <v>47</v>
      </c>
      <c r="D96" s="1146">
        <v>9.1</v>
      </c>
      <c r="E96" s="1147">
        <v>8.3000000000000007</v>
      </c>
      <c r="F96" s="1147">
        <v>8.1999999999999993</v>
      </c>
      <c r="G96" s="1166">
        <v>9.4</v>
      </c>
      <c r="H96" s="1160">
        <v>7.59</v>
      </c>
      <c r="I96" s="1147">
        <v>15.35</v>
      </c>
      <c r="J96" s="1193">
        <v>16</v>
      </c>
      <c r="K96" s="1313">
        <v>16.8</v>
      </c>
      <c r="L96" s="1135">
        <v>21.1</v>
      </c>
      <c r="M96" s="1136">
        <v>22.1</v>
      </c>
      <c r="N96" s="1635">
        <v>19.16</v>
      </c>
      <c r="O96" s="1209"/>
      <c r="P96" s="2206">
        <v>15.1</v>
      </c>
      <c r="Q96" s="633">
        <v>16.7</v>
      </c>
      <c r="R96" s="633">
        <v>19.37</v>
      </c>
      <c r="S96" s="634">
        <v>19.13</v>
      </c>
      <c r="T96" s="2929">
        <v>12.6</v>
      </c>
      <c r="U96" s="2928">
        <v>22.73</v>
      </c>
      <c r="V96" s="2928">
        <v>21.5</v>
      </c>
      <c r="W96" s="2928">
        <v>24.5</v>
      </c>
      <c r="X96" s="3112">
        <v>19.399999999999999</v>
      </c>
      <c r="Y96" s="2928">
        <v>7.71</v>
      </c>
      <c r="Z96" s="2928">
        <v>3.72</v>
      </c>
      <c r="AA96" s="2928">
        <v>4.29</v>
      </c>
      <c r="AB96" s="2928">
        <v>2.93</v>
      </c>
      <c r="AC96" s="2928"/>
      <c r="AD96" s="2928"/>
      <c r="AE96" s="2928"/>
      <c r="AF96" s="61"/>
      <c r="AG96" s="61"/>
      <c r="AH96" s="167"/>
      <c r="AI96" s="167"/>
      <c r="AJ96" s="167"/>
      <c r="AK96" s="44"/>
      <c r="AL96" s="61"/>
      <c r="AM96" s="61"/>
      <c r="AN96" s="61"/>
      <c r="AO96" s="57"/>
      <c r="AP96" s="57"/>
      <c r="AQ96" s="57"/>
      <c r="AR96" s="44"/>
      <c r="AS96" s="61"/>
      <c r="AT96" s="61"/>
      <c r="AU96" s="61"/>
      <c r="AV96" s="57"/>
      <c r="AW96" s="57"/>
      <c r="AX96" s="57"/>
      <c r="AY96" s="44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</row>
    <row r="97" spans="1:105">
      <c r="A97" s="114"/>
      <c r="B97" s="114"/>
      <c r="C97" s="775" t="s">
        <v>285</v>
      </c>
      <c r="D97" s="1025">
        <f>COUNTIF(D71:D96,"&lt;=0.4")</f>
        <v>0</v>
      </c>
      <c r="E97" s="1025">
        <f t="shared" ref="E97:S97" si="9">COUNTIF(E71:E96,"&lt;=0.4")</f>
        <v>0</v>
      </c>
      <c r="F97" s="1025">
        <f t="shared" si="9"/>
        <v>0</v>
      </c>
      <c r="G97" s="1025">
        <f t="shared" si="9"/>
        <v>0</v>
      </c>
      <c r="H97" s="1025">
        <f t="shared" si="9"/>
        <v>0</v>
      </c>
      <c r="I97" s="1025">
        <f t="shared" si="9"/>
        <v>0</v>
      </c>
      <c r="J97" s="1025">
        <f t="shared" si="9"/>
        <v>0</v>
      </c>
      <c r="K97" s="1025">
        <f t="shared" si="9"/>
        <v>0</v>
      </c>
      <c r="L97" s="1025">
        <f t="shared" si="9"/>
        <v>0</v>
      </c>
      <c r="M97" s="1025">
        <f t="shared" si="9"/>
        <v>0</v>
      </c>
      <c r="N97" s="1025">
        <f t="shared" si="9"/>
        <v>0</v>
      </c>
      <c r="O97" s="1025">
        <f t="shared" si="9"/>
        <v>0</v>
      </c>
      <c r="P97" s="1025">
        <f t="shared" si="9"/>
        <v>0</v>
      </c>
      <c r="Q97" s="1025">
        <f t="shared" si="9"/>
        <v>0</v>
      </c>
      <c r="R97" s="1025">
        <f t="shared" si="9"/>
        <v>0</v>
      </c>
      <c r="S97" s="1025">
        <f t="shared" si="9"/>
        <v>0</v>
      </c>
      <c r="T97" s="1025">
        <f t="shared" ref="T97:U97" si="10">COUNTIF(T71:T96,"&lt;=0.4")</f>
        <v>0</v>
      </c>
      <c r="U97" s="1025">
        <f t="shared" si="10"/>
        <v>0</v>
      </c>
      <c r="V97" s="1025">
        <f t="shared" ref="V97:Y97" si="11">COUNTIF(V71:V96,"&lt;=0.4")</f>
        <v>0</v>
      </c>
      <c r="W97" s="1025">
        <f t="shared" si="11"/>
        <v>0</v>
      </c>
      <c r="X97" s="1025">
        <f t="shared" si="11"/>
        <v>0</v>
      </c>
      <c r="Y97" s="1025">
        <f t="shared" si="11"/>
        <v>0</v>
      </c>
      <c r="Z97" s="1025">
        <f>COUNTIF(Z71:Z96,"&lt;=0.5")</f>
        <v>0</v>
      </c>
      <c r="AA97" s="1025">
        <f>COUNTIF(AA71:AA96,"&lt;=0.5")</f>
        <v>0</v>
      </c>
      <c r="AB97" s="1025">
        <f t="shared" ref="AB97:AE97" si="12">COUNTIF(AB71:AB96,"&lt;=0.5")</f>
        <v>0</v>
      </c>
      <c r="AC97" s="1025">
        <f t="shared" si="12"/>
        <v>0</v>
      </c>
      <c r="AD97" s="1025">
        <f t="shared" si="12"/>
        <v>0</v>
      </c>
      <c r="AE97" s="1025">
        <f t="shared" si="12"/>
        <v>0</v>
      </c>
      <c r="AF97" s="61"/>
      <c r="AG97" s="61"/>
      <c r="AH97" s="167"/>
      <c r="AI97" s="167"/>
      <c r="AJ97" s="167"/>
      <c r="AK97" s="44"/>
      <c r="AL97" s="61"/>
      <c r="AM97" s="61"/>
      <c r="AN97" s="61"/>
      <c r="AO97" s="57"/>
      <c r="AP97" s="57"/>
      <c r="AQ97" s="57"/>
      <c r="AR97" s="44"/>
      <c r="AS97" s="61"/>
      <c r="AT97" s="61"/>
      <c r="AU97" s="61"/>
      <c r="AV97" s="57"/>
      <c r="AW97" s="57"/>
      <c r="AX97" s="57"/>
      <c r="AY97" s="44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</row>
    <row r="98" spans="1:105">
      <c r="A98" s="114"/>
      <c r="B98" s="114"/>
      <c r="C98" s="775" t="s">
        <v>287</v>
      </c>
      <c r="D98" s="1027">
        <f>COUNT(D71:D96)</f>
        <v>26</v>
      </c>
      <c r="E98" s="1027">
        <f t="shared" ref="E98:S98" si="13">COUNT(E71:E96)</f>
        <v>26</v>
      </c>
      <c r="F98" s="1027">
        <f t="shared" si="13"/>
        <v>26</v>
      </c>
      <c r="G98" s="1027">
        <f t="shared" si="13"/>
        <v>26</v>
      </c>
      <c r="H98" s="1027">
        <f t="shared" si="13"/>
        <v>26</v>
      </c>
      <c r="I98" s="1027">
        <f t="shared" si="13"/>
        <v>26</v>
      </c>
      <c r="J98" s="1027">
        <f t="shared" si="13"/>
        <v>26</v>
      </c>
      <c r="K98" s="1027">
        <f t="shared" si="13"/>
        <v>26</v>
      </c>
      <c r="L98" s="1027">
        <f t="shared" si="13"/>
        <v>25</v>
      </c>
      <c r="M98" s="1027">
        <f t="shared" si="13"/>
        <v>26</v>
      </c>
      <c r="N98" s="1027">
        <f t="shared" si="13"/>
        <v>26</v>
      </c>
      <c r="O98" s="1027">
        <f t="shared" si="13"/>
        <v>0</v>
      </c>
      <c r="P98" s="1027">
        <f t="shared" si="13"/>
        <v>26</v>
      </c>
      <c r="Q98" s="1027">
        <f t="shared" si="13"/>
        <v>25</v>
      </c>
      <c r="R98" s="1027">
        <f t="shared" si="13"/>
        <v>26</v>
      </c>
      <c r="S98" s="1027">
        <f t="shared" si="13"/>
        <v>26</v>
      </c>
      <c r="T98" s="1027">
        <f t="shared" ref="T98:U98" si="14">COUNT(T71:T96)</f>
        <v>26</v>
      </c>
      <c r="U98" s="1027">
        <f t="shared" si="14"/>
        <v>25</v>
      </c>
      <c r="V98" s="1027">
        <f t="shared" ref="V98:Y98" si="15">COUNT(V71:V96)</f>
        <v>26</v>
      </c>
      <c r="W98" s="1027">
        <f t="shared" si="15"/>
        <v>26</v>
      </c>
      <c r="X98" s="1027">
        <f t="shared" si="15"/>
        <v>26</v>
      </c>
      <c r="Y98" s="1027">
        <f t="shared" si="15"/>
        <v>26</v>
      </c>
      <c r="Z98" s="1027">
        <f t="shared" ref="Z98:AA98" si="16">COUNT(Z71:Z96)</f>
        <v>26</v>
      </c>
      <c r="AA98" s="1027">
        <f t="shared" si="16"/>
        <v>26</v>
      </c>
      <c r="AB98" s="1027">
        <f t="shared" ref="AB98:AE98" si="17">COUNT(AB71:AB96)</f>
        <v>26</v>
      </c>
      <c r="AC98" s="1027">
        <f t="shared" si="17"/>
        <v>0</v>
      </c>
      <c r="AD98" s="1027">
        <f t="shared" si="17"/>
        <v>0</v>
      </c>
      <c r="AE98" s="1027">
        <f t="shared" si="17"/>
        <v>0</v>
      </c>
      <c r="AF98" s="61"/>
      <c r="AG98" s="61"/>
      <c r="AH98" s="167"/>
      <c r="AI98" s="167"/>
      <c r="AJ98" s="167"/>
      <c r="AK98" s="44"/>
      <c r="AL98" s="61"/>
      <c r="AM98" s="61"/>
      <c r="AN98" s="61"/>
      <c r="AO98" s="57"/>
      <c r="AP98" s="57"/>
      <c r="AQ98" s="57"/>
      <c r="AR98" s="44"/>
      <c r="AS98" s="61"/>
      <c r="AT98" s="61"/>
      <c r="AU98" s="61"/>
      <c r="AV98" s="57"/>
      <c r="AW98" s="57"/>
      <c r="AX98" s="57"/>
      <c r="AY98" s="44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</row>
    <row r="99" spans="1:105" ht="15" customHeight="1">
      <c r="A99" s="114"/>
      <c r="B99" s="114"/>
      <c r="C99" s="775" t="s">
        <v>286</v>
      </c>
      <c r="D99" s="1026">
        <f t="shared" ref="D99:S99" si="18">D97/D98</f>
        <v>0</v>
      </c>
      <c r="E99" s="1026">
        <f t="shared" si="18"/>
        <v>0</v>
      </c>
      <c r="F99" s="1026">
        <f t="shared" si="18"/>
        <v>0</v>
      </c>
      <c r="G99" s="1026">
        <f t="shared" si="18"/>
        <v>0</v>
      </c>
      <c r="H99" s="1026">
        <f t="shared" si="18"/>
        <v>0</v>
      </c>
      <c r="I99" s="1026">
        <f t="shared" si="18"/>
        <v>0</v>
      </c>
      <c r="J99" s="1026">
        <f t="shared" si="18"/>
        <v>0</v>
      </c>
      <c r="K99" s="1026">
        <f t="shared" si="18"/>
        <v>0</v>
      </c>
      <c r="L99" s="1026">
        <f t="shared" si="18"/>
        <v>0</v>
      </c>
      <c r="M99" s="1026">
        <f t="shared" si="18"/>
        <v>0</v>
      </c>
      <c r="N99" s="1026">
        <f t="shared" si="18"/>
        <v>0</v>
      </c>
      <c r="O99" s="1026" t="e">
        <f t="shared" si="18"/>
        <v>#DIV/0!</v>
      </c>
      <c r="P99" s="1026">
        <f t="shared" si="18"/>
        <v>0</v>
      </c>
      <c r="Q99" s="1026">
        <f t="shared" si="18"/>
        <v>0</v>
      </c>
      <c r="R99" s="1026">
        <f t="shared" si="18"/>
        <v>0</v>
      </c>
      <c r="S99" s="1026">
        <f t="shared" si="18"/>
        <v>0</v>
      </c>
      <c r="T99" s="1026">
        <f t="shared" ref="T99:U99" si="19">T97/T98</f>
        <v>0</v>
      </c>
      <c r="U99" s="1026">
        <f t="shared" si="19"/>
        <v>0</v>
      </c>
      <c r="V99" s="1026">
        <f t="shared" ref="V99:Y99" si="20">V97/V98</f>
        <v>0</v>
      </c>
      <c r="W99" s="1026">
        <f t="shared" si="20"/>
        <v>0</v>
      </c>
      <c r="X99" s="1026">
        <f t="shared" si="20"/>
        <v>0</v>
      </c>
      <c r="Y99" s="1026">
        <f t="shared" si="20"/>
        <v>0</v>
      </c>
      <c r="Z99" s="1026">
        <f t="shared" ref="Z99:AA99" si="21">Z97/Z98</f>
        <v>0</v>
      </c>
      <c r="AA99" s="1026">
        <f t="shared" si="21"/>
        <v>0</v>
      </c>
      <c r="AB99" s="1026">
        <f t="shared" ref="AB99:AE99" si="22">AB97/AB98</f>
        <v>0</v>
      </c>
      <c r="AC99" s="1026" t="e">
        <f t="shared" si="22"/>
        <v>#DIV/0!</v>
      </c>
      <c r="AD99" s="1026" t="e">
        <f t="shared" si="22"/>
        <v>#DIV/0!</v>
      </c>
      <c r="AE99" s="1026" t="e">
        <f t="shared" si="22"/>
        <v>#DIV/0!</v>
      </c>
      <c r="AF99" s="61"/>
      <c r="AG99" s="178"/>
      <c r="AH99" s="167"/>
      <c r="AI99" s="167"/>
      <c r="AJ99" s="167"/>
      <c r="AK99" s="44"/>
      <c r="AL99" s="61"/>
      <c r="AM99" s="61"/>
      <c r="AN99" s="178"/>
      <c r="AO99" s="57"/>
      <c r="AP99" s="57"/>
      <c r="AQ99" s="57"/>
      <c r="AR99" s="44"/>
      <c r="AS99" s="61"/>
      <c r="AT99" s="61"/>
      <c r="AU99" s="178"/>
      <c r="AV99" s="186"/>
      <c r="AW99" s="57"/>
      <c r="AX99" s="57"/>
      <c r="AY99" s="44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</row>
    <row r="100" spans="1:105" ht="15" customHeight="1">
      <c r="A100" s="108"/>
      <c r="B100" s="108"/>
      <c r="C100" s="109"/>
      <c r="D100" s="224"/>
      <c r="E100" s="223"/>
      <c r="F100" s="223"/>
      <c r="G100" s="223"/>
      <c r="H100" s="223"/>
      <c r="I100" s="223"/>
      <c r="J100" s="206"/>
      <c r="K100" s="206"/>
      <c r="L100" s="120"/>
      <c r="M100" s="120"/>
      <c r="N100" s="120"/>
      <c r="O100" s="120"/>
      <c r="P100" s="2289"/>
      <c r="Q100" s="120"/>
      <c r="R100" s="120"/>
      <c r="S100" s="120"/>
      <c r="T100" s="120"/>
      <c r="U100" s="120"/>
      <c r="V100" s="120"/>
      <c r="W100" s="120"/>
      <c r="X100" s="767"/>
      <c r="Y100" s="61"/>
      <c r="Z100" s="61"/>
      <c r="AA100" s="61"/>
      <c r="AB100" s="167"/>
      <c r="AC100" s="167"/>
      <c r="AD100" s="167"/>
      <c r="AE100" s="44"/>
      <c r="AF100" s="61"/>
      <c r="AG100" s="178"/>
      <c r="AH100" s="167"/>
      <c r="AI100" s="167"/>
      <c r="AJ100" s="167"/>
      <c r="AK100" s="44"/>
      <c r="AL100" s="61"/>
      <c r="AM100" s="61"/>
      <c r="AN100" s="178"/>
      <c r="AO100" s="57"/>
      <c r="AP100" s="57"/>
      <c r="AQ100" s="57"/>
      <c r="AR100" s="44"/>
      <c r="AS100" s="61"/>
      <c r="AT100" s="61"/>
      <c r="AU100" s="178"/>
      <c r="AV100" s="186"/>
      <c r="AW100" s="57"/>
      <c r="AX100" s="57"/>
      <c r="AY100" s="44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</row>
    <row r="101" spans="1:105">
      <c r="A101" s="108"/>
      <c r="B101" s="108"/>
      <c r="C101" s="109"/>
      <c r="D101" s="224"/>
      <c r="E101" s="223"/>
      <c r="F101" s="3594"/>
      <c r="G101" s="3594"/>
      <c r="H101" s="3594"/>
      <c r="I101" s="3594"/>
      <c r="J101" s="107"/>
      <c r="K101" s="206"/>
      <c r="L101" s="120"/>
      <c r="M101" s="120"/>
      <c r="N101" s="3594"/>
      <c r="O101" s="3594"/>
      <c r="P101" s="3594"/>
      <c r="Q101" s="3594"/>
      <c r="R101" s="120"/>
      <c r="S101" s="120"/>
      <c r="T101" s="120"/>
      <c r="U101" s="120"/>
      <c r="V101" s="120"/>
      <c r="W101" s="120"/>
      <c r="X101" s="767"/>
      <c r="Y101" s="61"/>
      <c r="Z101" s="61"/>
      <c r="AA101" s="61"/>
      <c r="AB101" s="187"/>
      <c r="AC101" s="187"/>
      <c r="AD101" s="187"/>
      <c r="AE101" s="177"/>
      <c r="AF101" s="61"/>
      <c r="AG101" s="61"/>
      <c r="AH101" s="187"/>
      <c r="AI101" s="187"/>
      <c r="AJ101" s="187"/>
      <c r="AK101" s="177"/>
      <c r="AL101" s="61"/>
      <c r="AM101" s="61"/>
      <c r="AN101" s="61"/>
      <c r="AO101" s="57"/>
      <c r="AP101" s="57"/>
      <c r="AQ101" s="57"/>
      <c r="AR101" s="177"/>
      <c r="AS101" s="61"/>
      <c r="AT101" s="61"/>
      <c r="AU101" s="61"/>
      <c r="AV101" s="57"/>
      <c r="AW101" s="57"/>
      <c r="AX101" s="57"/>
      <c r="AY101" s="177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</row>
    <row r="102" spans="1:105" ht="15.75" thickBot="1">
      <c r="A102" s="328"/>
      <c r="B102" s="113"/>
      <c r="C102" s="109"/>
      <c r="D102" s="224"/>
      <c r="E102" s="223"/>
      <c r="F102" s="3594"/>
      <c r="G102" s="3594"/>
      <c r="H102" s="3594"/>
      <c r="I102" s="3594"/>
      <c r="J102" s="107"/>
      <c r="K102" s="206"/>
      <c r="L102" s="120"/>
      <c r="M102" s="120"/>
      <c r="N102" s="3594"/>
      <c r="O102" s="3594"/>
      <c r="P102" s="3594"/>
      <c r="Q102" s="3594"/>
      <c r="R102" s="120"/>
      <c r="S102" s="120"/>
      <c r="T102" s="120"/>
      <c r="U102" s="120"/>
      <c r="V102" s="120"/>
      <c r="W102" s="120"/>
      <c r="X102" s="767"/>
      <c r="Y102" s="61"/>
      <c r="Z102" s="61"/>
      <c r="AA102" s="61"/>
      <c r="AB102" s="181"/>
      <c r="AC102" s="181"/>
      <c r="AD102" s="181"/>
      <c r="AE102" s="177"/>
      <c r="AF102" s="61"/>
      <c r="AG102" s="61"/>
      <c r="AH102" s="181"/>
      <c r="AI102" s="181"/>
      <c r="AJ102" s="181"/>
      <c r="AK102" s="177"/>
      <c r="AL102" s="61"/>
      <c r="AM102" s="61"/>
      <c r="AN102" s="61"/>
      <c r="AO102" s="174"/>
      <c r="AP102" s="174"/>
      <c r="AQ102" s="174"/>
      <c r="AR102" s="177"/>
      <c r="AS102" s="61"/>
      <c r="AT102" s="61"/>
      <c r="AU102" s="61"/>
      <c r="AV102" s="174"/>
      <c r="AW102" s="174"/>
      <c r="AX102" s="174"/>
      <c r="AY102" s="177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</row>
    <row r="103" spans="1:105" ht="15.75" thickBot="1">
      <c r="A103" s="1372" t="s">
        <v>300</v>
      </c>
      <c r="B103" s="1373" t="s">
        <v>284</v>
      </c>
      <c r="C103" s="266" t="s">
        <v>168</v>
      </c>
      <c r="D103" s="268">
        <v>0.4</v>
      </c>
      <c r="E103" s="268">
        <v>0.4</v>
      </c>
      <c r="F103" s="268">
        <v>0.4</v>
      </c>
      <c r="G103" s="345">
        <v>0.4</v>
      </c>
      <c r="H103" s="346">
        <v>0.4</v>
      </c>
      <c r="I103" s="268">
        <v>0.4</v>
      </c>
      <c r="J103" s="268">
        <v>0.4</v>
      </c>
      <c r="K103" s="269">
        <v>0.4</v>
      </c>
      <c r="L103" s="346">
        <v>0.4</v>
      </c>
      <c r="M103" s="268">
        <v>0.4</v>
      </c>
      <c r="N103" s="268">
        <v>0.4</v>
      </c>
      <c r="O103" s="274">
        <v>0.4</v>
      </c>
      <c r="P103" s="367">
        <v>0.4</v>
      </c>
      <c r="Q103" s="268">
        <v>0.4</v>
      </c>
      <c r="R103" s="268">
        <v>0.4</v>
      </c>
      <c r="S103" s="274">
        <v>0.4</v>
      </c>
      <c r="T103" s="274">
        <v>0.4</v>
      </c>
      <c r="U103" s="274">
        <v>0.4</v>
      </c>
      <c r="V103" s="274">
        <v>0.4</v>
      </c>
      <c r="W103" s="274">
        <v>0.4</v>
      </c>
      <c r="X103" s="274">
        <v>0.4</v>
      </c>
      <c r="Y103" s="274">
        <v>0.4</v>
      </c>
      <c r="Z103" s="274">
        <v>0.5</v>
      </c>
      <c r="AA103" s="274">
        <v>0.5</v>
      </c>
      <c r="AB103" s="274">
        <v>0.5</v>
      </c>
      <c r="AC103" s="274">
        <v>0.5</v>
      </c>
      <c r="AD103" s="274">
        <v>0.5</v>
      </c>
      <c r="AE103" s="274">
        <v>0.5</v>
      </c>
      <c r="AF103" s="61"/>
      <c r="AG103" s="61"/>
      <c r="AH103" s="61"/>
      <c r="AI103" s="61"/>
      <c r="AJ103" s="61"/>
      <c r="AK103" s="44"/>
      <c r="AL103" s="61"/>
      <c r="AM103" s="61"/>
      <c r="AN103" s="61"/>
      <c r="AO103" s="61"/>
      <c r="AP103" s="61"/>
      <c r="AQ103" s="61"/>
      <c r="AR103" s="44"/>
      <c r="AS103" s="61"/>
      <c r="AT103" s="61"/>
      <c r="AU103" s="61"/>
      <c r="AV103" s="61"/>
      <c r="AW103" s="61"/>
      <c r="AX103" s="61"/>
      <c r="AY103" s="44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</row>
    <row r="104" spans="1:105">
      <c r="A104" s="1023" t="s">
        <v>67</v>
      </c>
      <c r="B104" s="995">
        <f>COUNTA(C104:C109)</f>
        <v>6</v>
      </c>
      <c r="C104" s="1161" t="s">
        <v>190</v>
      </c>
      <c r="D104" s="1112">
        <v>0.79400000000000004</v>
      </c>
      <c r="E104" s="1114">
        <v>0.32600000000000001</v>
      </c>
      <c r="F104" s="1114">
        <v>0.44</v>
      </c>
      <c r="G104" s="1162">
        <v>0.48</v>
      </c>
      <c r="H104" s="1158">
        <v>0.35199999999999998</v>
      </c>
      <c r="I104" s="1112">
        <v>0.124</v>
      </c>
      <c r="J104" s="1185">
        <v>0.32300000000000001</v>
      </c>
      <c r="K104" s="1296">
        <v>0.47</v>
      </c>
      <c r="L104" s="1400">
        <v>0.48499999999999999</v>
      </c>
      <c r="M104" s="1516">
        <v>0.109</v>
      </c>
      <c r="N104" s="1634">
        <v>0.48</v>
      </c>
      <c r="O104" s="1207"/>
      <c r="P104" s="2414">
        <v>0.379</v>
      </c>
      <c r="Q104" s="1118">
        <v>0.24249999999999999</v>
      </c>
      <c r="R104" s="1119">
        <v>0.43</v>
      </c>
      <c r="S104" s="1120">
        <v>0.48</v>
      </c>
      <c r="T104" s="2927"/>
      <c r="U104" s="2927">
        <v>0.25</v>
      </c>
      <c r="V104" s="3183">
        <v>0.44</v>
      </c>
      <c r="W104" s="2926">
        <v>0.625</v>
      </c>
      <c r="X104" s="3111"/>
      <c r="Y104" s="2926">
        <v>0.89500000000000002</v>
      </c>
      <c r="Z104" s="2926">
        <v>0.61599999999999999</v>
      </c>
      <c r="AA104" s="2926">
        <v>0.80500000000000005</v>
      </c>
      <c r="AB104" s="2926">
        <v>0.74199999999999999</v>
      </c>
      <c r="AC104" s="2926"/>
      <c r="AD104" s="2926"/>
      <c r="AE104" s="2926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</row>
    <row r="105" spans="1:105">
      <c r="A105" s="1199" t="s">
        <v>67</v>
      </c>
      <c r="B105" s="996"/>
      <c r="C105" s="1163" t="s">
        <v>269</v>
      </c>
      <c r="D105" s="1122"/>
      <c r="E105" s="1003"/>
      <c r="F105" s="1003"/>
      <c r="G105" s="1164"/>
      <c r="H105" s="718"/>
      <c r="I105" s="1122"/>
      <c r="J105" s="1188"/>
      <c r="K105" s="1304"/>
      <c r="L105" s="1401">
        <v>0.85</v>
      </c>
      <c r="M105" s="1517">
        <v>0.35099999999999998</v>
      </c>
      <c r="N105" s="1513">
        <v>0.43</v>
      </c>
      <c r="O105" s="1208"/>
      <c r="P105" s="2415">
        <v>0.52500000000000002</v>
      </c>
      <c r="Q105" s="1126">
        <v>0.59</v>
      </c>
      <c r="R105" s="1127">
        <v>0.09</v>
      </c>
      <c r="S105" s="1128">
        <v>0.52</v>
      </c>
      <c r="T105" s="2927"/>
      <c r="U105" s="2927">
        <v>0.69</v>
      </c>
      <c r="V105" s="3184">
        <v>2.2360000000000002</v>
      </c>
      <c r="W105" s="2927">
        <v>0.62</v>
      </c>
      <c r="X105" s="2450"/>
      <c r="Y105" s="2927">
        <v>0.66400000000000003</v>
      </c>
      <c r="Z105" s="2927">
        <v>0.50700000000000001</v>
      </c>
      <c r="AA105" s="2927">
        <v>0.57799999999999996</v>
      </c>
      <c r="AB105" s="2927">
        <v>0.747</v>
      </c>
      <c r="AC105" s="2927"/>
      <c r="AD105" s="2927"/>
      <c r="AE105" s="2927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</row>
    <row r="106" spans="1:105">
      <c r="A106" s="1199" t="s">
        <v>67</v>
      </c>
      <c r="B106" s="996"/>
      <c r="C106" s="1163" t="s">
        <v>267</v>
      </c>
      <c r="D106" s="1122"/>
      <c r="E106" s="1003"/>
      <c r="F106" s="1003"/>
      <c r="G106" s="1164"/>
      <c r="H106" s="718"/>
      <c r="I106" s="1122"/>
      <c r="J106" s="1188"/>
      <c r="K106" s="1304"/>
      <c r="L106" s="1401">
        <v>0.92</v>
      </c>
      <c r="M106" s="1517">
        <v>0.63600000000000001</v>
      </c>
      <c r="N106" s="1513">
        <v>1.41</v>
      </c>
      <c r="O106" s="1208"/>
      <c r="P106" s="2415">
        <v>0.84699999999999998</v>
      </c>
      <c r="Q106" s="1126">
        <v>0.92400000000000004</v>
      </c>
      <c r="R106" s="1127">
        <v>0.35</v>
      </c>
      <c r="S106" s="1128">
        <v>0.81</v>
      </c>
      <c r="T106" s="2927"/>
      <c r="U106" s="2927">
        <v>1.68</v>
      </c>
      <c r="V106" s="3184">
        <v>0.51700000000000002</v>
      </c>
      <c r="W106" s="2927">
        <v>1.9970000000000001</v>
      </c>
      <c r="X106" s="2450"/>
      <c r="Y106" s="2927">
        <v>1.343</v>
      </c>
      <c r="Z106" s="2927">
        <v>0.442</v>
      </c>
      <c r="AA106" s="2927">
        <v>0.436</v>
      </c>
      <c r="AB106" s="2927">
        <v>3.61</v>
      </c>
      <c r="AC106" s="2927"/>
      <c r="AD106" s="2927"/>
      <c r="AE106" s="2927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</row>
    <row r="107" spans="1:105">
      <c r="A107" s="1199" t="s">
        <v>67</v>
      </c>
      <c r="B107" s="996"/>
      <c r="C107" s="1163" t="s">
        <v>77</v>
      </c>
      <c r="D107" s="1122">
        <v>0.98599999999999999</v>
      </c>
      <c r="E107" s="1003">
        <v>1.1359999999999999</v>
      </c>
      <c r="F107" s="1003">
        <v>0.52700000000000002</v>
      </c>
      <c r="G107" s="1164">
        <v>0.64</v>
      </c>
      <c r="H107" s="718">
        <v>0.85499999999999998</v>
      </c>
      <c r="I107" s="1122">
        <v>0.89200000000000002</v>
      </c>
      <c r="J107" s="1188">
        <v>1.6080000000000001</v>
      </c>
      <c r="K107" s="1304">
        <v>0.78</v>
      </c>
      <c r="L107" s="1401">
        <v>0.45300000000000001</v>
      </c>
      <c r="M107" s="1517">
        <v>0.59099999999999997</v>
      </c>
      <c r="N107" s="1513">
        <v>0.39</v>
      </c>
      <c r="O107" s="1208"/>
      <c r="P107" s="2415">
        <v>0.83099999999999996</v>
      </c>
      <c r="Q107" s="1126">
        <v>0.95099999999999996</v>
      </c>
      <c r="R107" s="1127">
        <v>0.56999999999999995</v>
      </c>
      <c r="S107" s="1128">
        <v>0.81</v>
      </c>
      <c r="T107" s="2927"/>
      <c r="U107" s="2927">
        <v>1.05</v>
      </c>
      <c r="V107" s="3185">
        <v>0.63600000000000001</v>
      </c>
      <c r="W107" s="2927">
        <v>0.99399999999999999</v>
      </c>
      <c r="X107" s="2450"/>
      <c r="Y107" s="2927">
        <v>1.155</v>
      </c>
      <c r="Z107" s="2927">
        <v>0.68400000000000005</v>
      </c>
      <c r="AA107" s="2927">
        <v>0.74199999999999999</v>
      </c>
      <c r="AB107" s="2927">
        <v>1.228</v>
      </c>
      <c r="AC107" s="2927"/>
      <c r="AD107" s="2927"/>
      <c r="AE107" s="2927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</row>
    <row r="108" spans="1:105">
      <c r="A108" s="1199" t="s">
        <v>67</v>
      </c>
      <c r="B108" s="996"/>
      <c r="C108" s="1163" t="s">
        <v>268</v>
      </c>
      <c r="D108" s="1122"/>
      <c r="E108" s="1003"/>
      <c r="F108" s="1003"/>
      <c r="G108" s="1164"/>
      <c r="H108" s="718"/>
      <c r="I108" s="1122"/>
      <c r="J108" s="1188"/>
      <c r="K108" s="1304"/>
      <c r="L108" s="1401">
        <v>0.69</v>
      </c>
      <c r="M108" s="1517">
        <v>0.66400000000000003</v>
      </c>
      <c r="N108" s="1513">
        <v>0.43</v>
      </c>
      <c r="O108" s="1208"/>
      <c r="P108" s="2415">
        <v>0.57699999999999996</v>
      </c>
      <c r="Q108" s="1126">
        <v>0.59</v>
      </c>
      <c r="R108" s="1127">
        <v>0.81</v>
      </c>
      <c r="S108" s="1128">
        <v>0.56000000000000005</v>
      </c>
      <c r="T108" s="2927"/>
      <c r="U108" s="2927">
        <v>0.79</v>
      </c>
      <c r="V108" s="3185">
        <v>0.64700000000000002</v>
      </c>
      <c r="W108" s="2927">
        <v>0.85399999999999998</v>
      </c>
      <c r="X108" s="2450"/>
      <c r="Y108" s="2927">
        <v>0.79200000000000004</v>
      </c>
      <c r="Z108" s="2927">
        <v>0.55900000000000005</v>
      </c>
      <c r="AA108" s="2927">
        <v>0.41099999999999998</v>
      </c>
      <c r="AB108" s="2927">
        <v>1.69</v>
      </c>
      <c r="AC108" s="2927"/>
      <c r="AD108" s="2927"/>
      <c r="AE108" s="2927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/>
      <c r="CL108" s="61"/>
      <c r="CM108" s="61"/>
      <c r="CN108" s="61"/>
      <c r="CO108" s="61"/>
    </row>
    <row r="109" spans="1:105" ht="15.75" thickBot="1">
      <c r="A109" s="1205" t="s">
        <v>67</v>
      </c>
      <c r="B109" s="997"/>
      <c r="C109" s="1165" t="s">
        <v>191</v>
      </c>
      <c r="D109" s="1146">
        <v>0.60799999999999998</v>
      </c>
      <c r="E109" s="1147">
        <v>0.71499999999999997</v>
      </c>
      <c r="F109" s="1147">
        <v>0.36099999999999999</v>
      </c>
      <c r="G109" s="1166">
        <v>0.51</v>
      </c>
      <c r="H109" s="1160">
        <v>0.51</v>
      </c>
      <c r="I109" s="1146">
        <v>0.32500000000000001</v>
      </c>
      <c r="J109" s="1193">
        <v>0.35699999999999998</v>
      </c>
      <c r="K109" s="1313">
        <v>0.51</v>
      </c>
      <c r="L109" s="1402">
        <v>0.47099999999999997</v>
      </c>
      <c r="M109" s="1518">
        <v>0.86</v>
      </c>
      <c r="N109" s="1681">
        <v>1.46</v>
      </c>
      <c r="O109" s="2130"/>
      <c r="P109" s="2416">
        <v>0.51100000000000001</v>
      </c>
      <c r="Q109" s="2575">
        <v>0.36</v>
      </c>
      <c r="R109" s="1519">
        <v>0.41</v>
      </c>
      <c r="S109" s="634">
        <v>0.52</v>
      </c>
      <c r="T109" s="2928"/>
      <c r="U109" s="2928">
        <v>0.36</v>
      </c>
      <c r="V109" s="3186">
        <v>0.44500000000000001</v>
      </c>
      <c r="W109" s="2928">
        <v>0.621</v>
      </c>
      <c r="X109" s="3112"/>
      <c r="Y109" s="2928">
        <v>0.89100000000000001</v>
      </c>
      <c r="Z109" s="2928">
        <v>0.63600000000000001</v>
      </c>
      <c r="AA109" s="2928">
        <v>0.73899999999999999</v>
      </c>
      <c r="AB109" s="2928">
        <v>0.68799999999999994</v>
      </c>
      <c r="AC109" s="2928"/>
      <c r="AD109" s="2928"/>
      <c r="AE109" s="2928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/>
      <c r="CL109" s="61"/>
      <c r="CM109" s="61"/>
      <c r="CN109" s="61"/>
      <c r="CO109" s="61"/>
    </row>
    <row r="110" spans="1:105">
      <c r="A110" s="1023" t="s">
        <v>186</v>
      </c>
      <c r="B110" s="995">
        <f>COUNTA(C110:C117)</f>
        <v>8</v>
      </c>
      <c r="C110" s="1344" t="s">
        <v>265</v>
      </c>
      <c r="D110" s="1181"/>
      <c r="E110" s="1181"/>
      <c r="F110" s="1181"/>
      <c r="G110" s="1182"/>
      <c r="H110" s="1344"/>
      <c r="I110" s="1181"/>
      <c r="J110" s="1181"/>
      <c r="K110" s="1182"/>
      <c r="L110" s="1241">
        <v>0.52</v>
      </c>
      <c r="M110" s="1520">
        <v>12.5</v>
      </c>
      <c r="N110" s="1682">
        <v>0.62</v>
      </c>
      <c r="O110" s="2131"/>
      <c r="P110" s="2417">
        <v>0.77600000000000002</v>
      </c>
      <c r="Q110" s="1521">
        <v>0.77600000000000002</v>
      </c>
      <c r="R110" s="1521">
        <v>0.6</v>
      </c>
      <c r="S110" s="1522">
        <v>0.63</v>
      </c>
      <c r="T110" s="3016"/>
      <c r="U110" s="3016">
        <v>0.9</v>
      </c>
      <c r="V110" s="3016">
        <v>0.72399999999999998</v>
      </c>
      <c r="W110" s="3016"/>
      <c r="X110" s="3111">
        <v>0.996</v>
      </c>
      <c r="Y110" s="3211">
        <v>1.266</v>
      </c>
      <c r="Z110" s="3211">
        <v>0.78600000000000003</v>
      </c>
      <c r="AA110" s="3211">
        <v>4.7E-2</v>
      </c>
      <c r="AB110" s="3211">
        <v>0.68</v>
      </c>
      <c r="AC110" s="3211"/>
      <c r="AD110" s="3211"/>
      <c r="AE110" s="321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1"/>
    </row>
    <row r="111" spans="1:105">
      <c r="A111" s="1199" t="s">
        <v>186</v>
      </c>
      <c r="B111" s="996"/>
      <c r="C111" s="1163" t="s">
        <v>79</v>
      </c>
      <c r="D111" s="1003">
        <v>1.831</v>
      </c>
      <c r="E111" s="1003">
        <v>2.27</v>
      </c>
      <c r="F111" s="1003">
        <v>1.1499999999999999</v>
      </c>
      <c r="G111" s="1480">
        <v>1.06</v>
      </c>
      <c r="H111" s="718">
        <v>1.389</v>
      </c>
      <c r="I111" s="1122">
        <v>1.7310000000000001</v>
      </c>
      <c r="J111" s="1188">
        <v>3.22</v>
      </c>
      <c r="K111" s="1304">
        <v>1.0900000000000001</v>
      </c>
      <c r="L111" s="1183">
        <v>1.1599999999999999</v>
      </c>
      <c r="M111" s="1354">
        <v>19</v>
      </c>
      <c r="N111" s="1515">
        <v>1.24</v>
      </c>
      <c r="O111" s="2132"/>
      <c r="P111" s="2418">
        <v>1.212</v>
      </c>
      <c r="Q111" s="1523">
        <v>1.212</v>
      </c>
      <c r="R111" s="1523">
        <v>1.25</v>
      </c>
      <c r="S111" s="1524">
        <v>1.1299999999999999</v>
      </c>
      <c r="T111" s="3017"/>
      <c r="U111" s="3017">
        <v>1.75</v>
      </c>
      <c r="V111" s="3017">
        <v>1.804</v>
      </c>
      <c r="W111" s="3017"/>
      <c r="X111" s="2450">
        <v>1.5860000000000001</v>
      </c>
      <c r="Y111" s="3212">
        <v>0.76</v>
      </c>
      <c r="Z111" s="3212">
        <v>1.268</v>
      </c>
      <c r="AA111" s="3212">
        <v>4.4999999999999998E-2</v>
      </c>
      <c r="AB111" s="3212">
        <v>1.67</v>
      </c>
      <c r="AC111" s="3212"/>
      <c r="AD111" s="3212"/>
      <c r="AE111" s="3212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</row>
    <row r="112" spans="1:105" s="4" customFormat="1">
      <c r="A112" s="1199" t="s">
        <v>186</v>
      </c>
      <c r="B112" s="996"/>
      <c r="C112" s="1163" t="s">
        <v>188</v>
      </c>
      <c r="D112" s="1003">
        <v>2.516</v>
      </c>
      <c r="E112" s="1003">
        <v>3.21</v>
      </c>
      <c r="F112" s="1003">
        <v>1.2</v>
      </c>
      <c r="G112" s="1480">
        <v>0.93</v>
      </c>
      <c r="H112" s="718">
        <v>2.069</v>
      </c>
      <c r="I112" s="1122">
        <v>2.286</v>
      </c>
      <c r="J112" s="1188">
        <v>3.7869999999999999</v>
      </c>
      <c r="K112" s="1304">
        <v>1.36</v>
      </c>
      <c r="L112" s="1183">
        <v>1.81</v>
      </c>
      <c r="M112" s="1126">
        <v>22</v>
      </c>
      <c r="N112" s="1515">
        <v>0.78</v>
      </c>
      <c r="O112" s="2132"/>
      <c r="P112" s="2418">
        <v>2.0139999999999998</v>
      </c>
      <c r="Q112" s="1523">
        <v>2.0139999999999998</v>
      </c>
      <c r="R112" s="1523">
        <v>1.23</v>
      </c>
      <c r="S112" s="1524">
        <v>1.37</v>
      </c>
      <c r="T112" s="3017"/>
      <c r="U112" s="3017">
        <v>2.04</v>
      </c>
      <c r="V112" s="3017">
        <v>1.1080000000000001</v>
      </c>
      <c r="W112" s="3017"/>
      <c r="X112" s="2450">
        <v>1.996</v>
      </c>
      <c r="Y112" s="3017">
        <v>1.3979999999999999</v>
      </c>
      <c r="Z112" s="3337">
        <v>1.1220000000000001</v>
      </c>
      <c r="AA112" s="3017">
        <v>0.877</v>
      </c>
      <c r="AB112" s="3017">
        <v>2.0139999999999998</v>
      </c>
      <c r="AC112" s="3017"/>
      <c r="AD112" s="3017"/>
      <c r="AE112" s="3017"/>
      <c r="BB112" s="83"/>
      <c r="BC112" s="83"/>
      <c r="BD112" s="83"/>
      <c r="BE112" s="83"/>
      <c r="BF112" s="83"/>
      <c r="BG112" s="83"/>
      <c r="BH112" s="83"/>
      <c r="BI112" s="83"/>
      <c r="BJ112" s="83"/>
      <c r="BK112" s="83"/>
      <c r="BL112" s="83"/>
      <c r="BM112" s="83"/>
      <c r="BN112" s="83"/>
      <c r="BO112" s="83"/>
      <c r="BP112" s="83"/>
      <c r="BQ112" s="83"/>
      <c r="BR112" s="83"/>
      <c r="BS112" s="83"/>
      <c r="BT112" s="83"/>
      <c r="BU112" s="83"/>
      <c r="BV112" s="83"/>
      <c r="CE112" s="83"/>
      <c r="CF112" s="83"/>
      <c r="CG112" s="83"/>
      <c r="CH112" s="83"/>
      <c r="CI112" s="83"/>
      <c r="CJ112" s="83"/>
      <c r="CK112" s="83"/>
      <c r="CL112" s="83"/>
      <c r="CM112" s="83"/>
      <c r="CN112" s="83"/>
      <c r="CO112" s="83"/>
      <c r="CP112" s="83"/>
      <c r="CQ112" s="83"/>
      <c r="CR112" s="83"/>
      <c r="CS112" s="83"/>
      <c r="CT112" s="83"/>
      <c r="CU112" s="83"/>
      <c r="CV112" s="83"/>
      <c r="CW112" s="83"/>
      <c r="CX112" s="83"/>
      <c r="CY112" s="83"/>
      <c r="CZ112" s="83"/>
      <c r="DA112" s="83"/>
    </row>
    <row r="113" spans="1:105" s="4" customFormat="1">
      <c r="A113" s="1199" t="s">
        <v>186</v>
      </c>
      <c r="B113" s="996"/>
      <c r="C113" s="1163" t="s">
        <v>72</v>
      </c>
      <c r="D113" s="1003">
        <v>1.343</v>
      </c>
      <c r="E113" s="1003">
        <v>1.27</v>
      </c>
      <c r="F113" s="1003">
        <v>0.96</v>
      </c>
      <c r="G113" s="1480">
        <v>0.79</v>
      </c>
      <c r="H113" s="718">
        <v>1.1020000000000001</v>
      </c>
      <c r="I113" s="1122">
        <v>1.3280000000000001</v>
      </c>
      <c r="J113" s="1188">
        <v>4.5759999999999996</v>
      </c>
      <c r="K113" s="1304">
        <v>0.79</v>
      </c>
      <c r="L113" s="1183">
        <v>1.0900000000000001</v>
      </c>
      <c r="M113" s="1126">
        <v>16</v>
      </c>
      <c r="N113" s="1515">
        <v>0.74</v>
      </c>
      <c r="O113" s="2132"/>
      <c r="P113" s="2418">
        <v>1.081</v>
      </c>
      <c r="Q113" s="1523">
        <v>1.081</v>
      </c>
      <c r="R113" s="1523">
        <v>1.02</v>
      </c>
      <c r="S113" s="1524">
        <v>1.24</v>
      </c>
      <c r="T113" s="3017"/>
      <c r="U113" s="3017">
        <v>1.0900000000000001</v>
      </c>
      <c r="V113" s="3017">
        <v>0.69699999999999995</v>
      </c>
      <c r="W113" s="3017"/>
      <c r="X113" s="2450">
        <v>1.595</v>
      </c>
      <c r="Y113" s="3017">
        <v>0.995</v>
      </c>
      <c r="Z113" s="3337">
        <v>1.1519999999999999</v>
      </c>
      <c r="AA113" s="3017">
        <v>1.1419999999999999</v>
      </c>
      <c r="AB113" s="3017">
        <v>2.0299999999999998</v>
      </c>
      <c r="AC113" s="3017"/>
      <c r="AD113" s="3017"/>
      <c r="AE113" s="3017"/>
      <c r="BB113" s="83"/>
      <c r="BC113" s="83"/>
      <c r="BD113" s="83"/>
      <c r="BE113" s="83"/>
      <c r="BF113" s="83"/>
      <c r="BG113" s="83"/>
      <c r="BH113" s="83"/>
      <c r="BI113" s="83"/>
      <c r="BJ113" s="83"/>
      <c r="BK113" s="83"/>
      <c r="BL113" s="83"/>
      <c r="BM113" s="83"/>
      <c r="BN113" s="83"/>
      <c r="BO113" s="83"/>
      <c r="BP113" s="83"/>
      <c r="BQ113" s="83"/>
      <c r="BR113" s="83"/>
      <c r="BS113" s="83"/>
      <c r="BT113" s="83"/>
      <c r="BU113" s="83"/>
      <c r="BV113" s="83"/>
      <c r="CE113" s="83"/>
      <c r="CF113" s="83"/>
      <c r="CG113" s="83"/>
      <c r="CH113" s="83"/>
      <c r="CI113" s="83"/>
      <c r="CJ113" s="83"/>
      <c r="CK113" s="83"/>
      <c r="CL113" s="83"/>
      <c r="CM113" s="83"/>
      <c r="CN113" s="83"/>
      <c r="CO113" s="83"/>
      <c r="CP113" s="83"/>
      <c r="CQ113" s="83"/>
      <c r="CR113" s="83"/>
      <c r="CS113" s="83"/>
      <c r="CT113" s="83"/>
      <c r="CU113" s="83"/>
      <c r="CV113" s="83"/>
      <c r="CW113" s="83"/>
      <c r="CX113" s="83"/>
      <c r="CY113" s="83"/>
      <c r="CZ113" s="83"/>
      <c r="DA113" s="83"/>
    </row>
    <row r="114" spans="1:105" s="4" customFormat="1">
      <c r="A114" s="1199" t="s">
        <v>186</v>
      </c>
      <c r="B114" s="996"/>
      <c r="C114" s="1163" t="s">
        <v>76</v>
      </c>
      <c r="D114" s="1003">
        <v>2.0670000000000002</v>
      </c>
      <c r="E114" s="1003">
        <v>2.37</v>
      </c>
      <c r="F114" s="1003">
        <v>1.93</v>
      </c>
      <c r="G114" s="1480">
        <v>1.83</v>
      </c>
      <c r="H114" s="718">
        <v>2.0539999999999998</v>
      </c>
      <c r="I114" s="1122">
        <v>2.871</v>
      </c>
      <c r="J114" s="1188">
        <v>1.3140000000000001</v>
      </c>
      <c r="K114" s="1304">
        <v>1.62</v>
      </c>
      <c r="L114" s="1183">
        <v>2.15</v>
      </c>
      <c r="M114" s="1126">
        <v>66.19</v>
      </c>
      <c r="N114" s="1515">
        <v>0.1</v>
      </c>
      <c r="O114" s="2132"/>
      <c r="P114" s="2418">
        <v>2.1190000000000002</v>
      </c>
      <c r="Q114" s="1523">
        <v>2.1190000000000002</v>
      </c>
      <c r="R114" s="1523">
        <v>1.45</v>
      </c>
      <c r="S114" s="1524">
        <v>1.79</v>
      </c>
      <c r="T114" s="3017"/>
      <c r="U114" s="3017">
        <v>1.95</v>
      </c>
      <c r="V114" s="3017">
        <v>1.335</v>
      </c>
      <c r="W114" s="3017"/>
      <c r="X114" s="2450">
        <v>2.0299999999999998</v>
      </c>
      <c r="Y114" s="3017">
        <v>0.47</v>
      </c>
      <c r="Z114" s="3337">
        <v>2.1240000000000001</v>
      </c>
      <c r="AA114" s="3017">
        <v>0.33600000000000002</v>
      </c>
      <c r="AB114" s="3017">
        <v>2.1579999999999999</v>
      </c>
      <c r="AC114" s="3017"/>
      <c r="AD114" s="3017"/>
      <c r="AE114" s="3017"/>
      <c r="BB114" s="83"/>
      <c r="BC114" s="83"/>
      <c r="BD114" s="83"/>
      <c r="BE114" s="83"/>
      <c r="BF114" s="83"/>
      <c r="BG114" s="83"/>
      <c r="BH114" s="83"/>
      <c r="BI114" s="83"/>
      <c r="BJ114" s="83"/>
      <c r="BK114" s="83"/>
      <c r="BL114" s="83"/>
      <c r="BM114" s="83"/>
      <c r="BN114" s="83"/>
      <c r="BO114" s="83"/>
      <c r="BP114" s="83"/>
      <c r="BQ114" s="83"/>
      <c r="BR114" s="83"/>
      <c r="BS114" s="83"/>
      <c r="BT114" s="83"/>
      <c r="BU114" s="83"/>
      <c r="BV114" s="83"/>
      <c r="CE114" s="83"/>
      <c r="CF114" s="83"/>
      <c r="CG114" s="83"/>
      <c r="CH114" s="83"/>
      <c r="CI114" s="83"/>
      <c r="CJ114" s="83"/>
      <c r="CK114" s="83"/>
      <c r="CL114" s="83"/>
      <c r="CM114" s="83"/>
      <c r="CN114" s="83"/>
      <c r="CO114" s="83"/>
      <c r="CP114" s="83"/>
      <c r="CQ114" s="83"/>
      <c r="CR114" s="83"/>
      <c r="CS114" s="83"/>
      <c r="CT114" s="83"/>
      <c r="CU114" s="83"/>
      <c r="CV114" s="83"/>
      <c r="CW114" s="83"/>
      <c r="CX114" s="83"/>
      <c r="CY114" s="83"/>
      <c r="CZ114" s="83"/>
      <c r="DA114" s="83"/>
    </row>
    <row r="115" spans="1:105" s="4" customFormat="1">
      <c r="A115" s="1199" t="s">
        <v>186</v>
      </c>
      <c r="B115" s="996"/>
      <c r="C115" s="1163" t="s">
        <v>189</v>
      </c>
      <c r="D115" s="1003">
        <v>2.3439999999999999</v>
      </c>
      <c r="E115" s="1003">
        <v>2.35</v>
      </c>
      <c r="F115" s="1003">
        <v>1.3</v>
      </c>
      <c r="G115" s="1480">
        <v>1.07</v>
      </c>
      <c r="H115" s="718">
        <v>2.0760000000000001</v>
      </c>
      <c r="I115" s="1122">
        <v>2.1669999999999998</v>
      </c>
      <c r="J115" s="1188">
        <v>6.38</v>
      </c>
      <c r="K115" s="1304">
        <v>1.4</v>
      </c>
      <c r="L115" s="1183">
        <v>1.76</v>
      </c>
      <c r="M115" s="1514">
        <v>28</v>
      </c>
      <c r="N115" s="1515">
        <v>0.9</v>
      </c>
      <c r="O115" s="2132"/>
      <c r="P115" s="2418">
        <v>1.9730000000000001</v>
      </c>
      <c r="Q115" s="1523">
        <v>1.9730000000000001</v>
      </c>
      <c r="R115" s="1523">
        <v>1.2</v>
      </c>
      <c r="S115" s="1524">
        <v>1.79</v>
      </c>
      <c r="T115" s="3017"/>
      <c r="U115" s="3017">
        <v>2.1</v>
      </c>
      <c r="V115" s="3017">
        <v>1.2050000000000001</v>
      </c>
      <c r="W115" s="3017"/>
      <c r="X115" s="2450">
        <v>0.998</v>
      </c>
      <c r="Y115" s="3213">
        <v>0.81599999999999995</v>
      </c>
      <c r="Z115" s="3337"/>
      <c r="AA115" s="3213">
        <v>1.0840000000000001</v>
      </c>
      <c r="AB115" s="3213">
        <v>1.879</v>
      </c>
      <c r="AC115" s="3213"/>
      <c r="AD115" s="3213"/>
      <c r="AE115" s="3213"/>
      <c r="BB115" s="83"/>
      <c r="BC115" s="83"/>
      <c r="BD115" s="83"/>
      <c r="BE115" s="83"/>
      <c r="BF115" s="83"/>
      <c r="BG115" s="83"/>
      <c r="BH115" s="83"/>
      <c r="BI115" s="83"/>
      <c r="BJ115" s="83"/>
      <c r="BK115" s="83"/>
      <c r="BL115" s="83"/>
      <c r="BM115" s="83"/>
      <c r="BN115" s="83"/>
      <c r="BO115" s="83"/>
      <c r="BP115" s="83"/>
      <c r="BQ115" s="83"/>
      <c r="BR115" s="83"/>
      <c r="BS115" s="83"/>
      <c r="BT115" s="83"/>
      <c r="BU115" s="83"/>
      <c r="BV115" s="83"/>
      <c r="CE115" s="83"/>
      <c r="CF115" s="83"/>
      <c r="CG115" s="83"/>
      <c r="CH115" s="83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3"/>
      <c r="CW115" s="83"/>
      <c r="CX115" s="83"/>
      <c r="CY115" s="83"/>
      <c r="CZ115" s="83"/>
      <c r="DA115" s="83"/>
    </row>
    <row r="116" spans="1:105" s="4" customFormat="1">
      <c r="A116" s="1199" t="s">
        <v>186</v>
      </c>
      <c r="B116" s="996"/>
      <c r="C116" s="1163" t="s">
        <v>266</v>
      </c>
      <c r="D116" s="1003"/>
      <c r="E116" s="1003"/>
      <c r="F116" s="1003"/>
      <c r="G116" s="1480"/>
      <c r="H116" s="718"/>
      <c r="I116" s="1122"/>
      <c r="J116" s="1188"/>
      <c r="K116" s="1304"/>
      <c r="L116" s="1183">
        <v>0.41</v>
      </c>
      <c r="M116" s="1514">
        <v>6.5</v>
      </c>
      <c r="N116" s="1515">
        <v>0.37</v>
      </c>
      <c r="O116" s="2132"/>
      <c r="P116" s="2418">
        <v>0.79300000000000004</v>
      </c>
      <c r="Q116" s="1523">
        <v>0.79300000000000004</v>
      </c>
      <c r="R116" s="1523">
        <v>0.48</v>
      </c>
      <c r="S116" s="1524">
        <v>0.53</v>
      </c>
      <c r="T116" s="3017"/>
      <c r="U116" s="3017">
        <v>1.0900000000000001</v>
      </c>
      <c r="V116" s="3017">
        <v>0.74299999999999999</v>
      </c>
      <c r="W116" s="3017"/>
      <c r="X116" s="2450">
        <v>2.032</v>
      </c>
      <c r="Y116" s="3213">
        <v>1.117</v>
      </c>
      <c r="Z116" s="3337">
        <v>0.78400000000000003</v>
      </c>
      <c r="AA116" s="3213">
        <v>0.05</v>
      </c>
      <c r="AB116" s="3213">
        <v>0.75800000000000001</v>
      </c>
      <c r="AC116" s="3213"/>
      <c r="AD116" s="3213"/>
      <c r="AE116" s="3213"/>
      <c r="BB116" s="83"/>
      <c r="BC116" s="83"/>
      <c r="BD116" s="83"/>
      <c r="BE116" s="83"/>
      <c r="BF116" s="83"/>
      <c r="BG116" s="83"/>
      <c r="BH116" s="83"/>
      <c r="BI116" s="83"/>
      <c r="BJ116" s="83"/>
      <c r="BK116" s="83"/>
      <c r="BL116" s="83"/>
      <c r="BM116" s="83"/>
      <c r="BN116" s="83"/>
      <c r="BO116" s="83"/>
      <c r="BP116" s="83"/>
      <c r="BQ116" s="83"/>
      <c r="BR116" s="83"/>
      <c r="BS116" s="83"/>
      <c r="BT116" s="83"/>
      <c r="BU116" s="83"/>
      <c r="BV116" s="83"/>
      <c r="CE116" s="83"/>
      <c r="CF116" s="83"/>
      <c r="CG116" s="83"/>
      <c r="CH116" s="83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</row>
    <row r="117" spans="1:105" s="4" customFormat="1" ht="15.75" thickBot="1">
      <c r="A117" s="1205" t="s">
        <v>186</v>
      </c>
      <c r="B117" s="997"/>
      <c r="C117" s="1165" t="s">
        <v>80</v>
      </c>
      <c r="D117" s="1147">
        <v>2.2679999999999998</v>
      </c>
      <c r="E117" s="1147">
        <v>2.38</v>
      </c>
      <c r="F117" s="1147">
        <v>1.1299999999999999</v>
      </c>
      <c r="G117" s="1485">
        <v>0.96</v>
      </c>
      <c r="H117" s="1160">
        <v>2.214</v>
      </c>
      <c r="I117" s="1146">
        <v>2.286</v>
      </c>
      <c r="J117" s="1193">
        <v>7.9320000000000004</v>
      </c>
      <c r="K117" s="1313">
        <v>1.41</v>
      </c>
      <c r="L117" s="1184">
        <v>1.75</v>
      </c>
      <c r="M117" s="1136">
        <v>21.5</v>
      </c>
      <c r="N117" s="1681">
        <v>0.8</v>
      </c>
      <c r="O117" s="2107"/>
      <c r="P117" s="2419">
        <v>1.9590000000000001</v>
      </c>
      <c r="Q117" s="2459">
        <v>1.9590000000000001</v>
      </c>
      <c r="R117" s="1525">
        <v>1.34</v>
      </c>
      <c r="S117" s="1526">
        <v>1.41</v>
      </c>
      <c r="T117" s="3018"/>
      <c r="U117" s="3018">
        <v>2.08</v>
      </c>
      <c r="V117" s="3018">
        <v>1.607</v>
      </c>
      <c r="W117" s="3018"/>
      <c r="X117" s="3112">
        <v>1.972</v>
      </c>
      <c r="Y117" s="3018">
        <v>1.6180000000000001</v>
      </c>
      <c r="Z117" s="3337">
        <v>1.181</v>
      </c>
      <c r="AA117" s="3018">
        <v>1.1619999999999999</v>
      </c>
      <c r="AB117" s="3018">
        <v>2</v>
      </c>
      <c r="AC117" s="3018"/>
      <c r="AD117" s="3018"/>
      <c r="AE117" s="3018"/>
      <c r="BB117" s="83"/>
      <c r="BC117" s="83"/>
      <c r="BD117" s="83"/>
      <c r="BE117" s="83"/>
      <c r="BF117" s="83"/>
      <c r="BG117" s="83"/>
      <c r="BH117" s="83"/>
      <c r="BI117" s="83"/>
      <c r="BJ117" s="83"/>
      <c r="BK117" s="83"/>
      <c r="BL117" s="83"/>
      <c r="BM117" s="83"/>
      <c r="BN117" s="83"/>
      <c r="BO117" s="83"/>
      <c r="BP117" s="83"/>
      <c r="BQ117" s="83"/>
      <c r="BR117" s="83"/>
      <c r="BS117" s="83"/>
      <c r="BT117" s="83"/>
      <c r="BU117" s="83"/>
      <c r="BV117" s="83"/>
      <c r="CE117" s="83"/>
      <c r="CF117" s="83"/>
      <c r="CG117" s="83"/>
      <c r="CH117" s="83"/>
      <c r="CI117" s="83"/>
      <c r="CJ117" s="83"/>
      <c r="CK117" s="83"/>
      <c r="CL117" s="83"/>
      <c r="CM117" s="83"/>
      <c r="CN117" s="83"/>
      <c r="CO117" s="83"/>
      <c r="CP117" s="83"/>
      <c r="CQ117" s="83"/>
      <c r="CR117" s="83"/>
      <c r="CS117" s="83"/>
      <c r="CT117" s="83"/>
      <c r="CU117" s="83"/>
      <c r="CV117" s="83"/>
      <c r="CW117" s="83"/>
      <c r="CX117" s="83"/>
      <c r="CY117" s="83"/>
      <c r="CZ117" s="83"/>
      <c r="DA117" s="83"/>
    </row>
    <row r="118" spans="1:105" s="4" customFormat="1">
      <c r="A118" s="1023" t="s">
        <v>68</v>
      </c>
      <c r="B118" s="995">
        <f>COUNTA(C118:C122)</f>
        <v>5</v>
      </c>
      <c r="C118" s="1161" t="s">
        <v>74</v>
      </c>
      <c r="D118" s="1185"/>
      <c r="E118" s="1185"/>
      <c r="F118" s="1185"/>
      <c r="G118" s="1186"/>
      <c r="H118" s="1187"/>
      <c r="I118" s="1114">
        <v>1.22</v>
      </c>
      <c r="J118" s="1185">
        <v>7.87</v>
      </c>
      <c r="K118" s="1296">
        <v>0.77</v>
      </c>
      <c r="L118" s="1400">
        <v>1.31</v>
      </c>
      <c r="M118" s="1118">
        <v>1.31</v>
      </c>
      <c r="N118" s="1682">
        <v>0.65</v>
      </c>
      <c r="O118" s="2133"/>
      <c r="P118" s="2420">
        <v>1.4750000000000001</v>
      </c>
      <c r="Q118" s="2466">
        <v>1.61</v>
      </c>
      <c r="R118" s="1527">
        <v>0.54</v>
      </c>
      <c r="S118" s="1528">
        <v>1.25</v>
      </c>
      <c r="T118" s="3019"/>
      <c r="U118" s="3019">
        <v>1.49</v>
      </c>
      <c r="V118" s="3019">
        <v>1.387</v>
      </c>
      <c r="W118" s="3019"/>
      <c r="X118" s="3111">
        <v>1.6</v>
      </c>
      <c r="Y118" s="3019">
        <v>0.23200000000000001</v>
      </c>
      <c r="Z118" s="3344">
        <v>1.0780000000000001</v>
      </c>
      <c r="AA118" s="3019">
        <v>1.1327499999999999</v>
      </c>
      <c r="AB118" s="3019">
        <v>1.9219999999999999</v>
      </c>
      <c r="AC118" s="3019"/>
      <c r="AD118" s="3019"/>
      <c r="AE118" s="3019"/>
      <c r="BB118" s="83"/>
      <c r="BC118" s="83"/>
      <c r="BD118" s="83"/>
      <c r="BE118" s="83"/>
      <c r="BF118" s="83"/>
      <c r="BG118" s="83"/>
      <c r="BH118" s="83"/>
      <c r="BI118" s="83"/>
      <c r="BJ118" s="83"/>
      <c r="BK118" s="83"/>
      <c r="BL118" s="83"/>
      <c r="BM118" s="83"/>
      <c r="BN118" s="83"/>
      <c r="BO118" s="83"/>
      <c r="BP118" s="83"/>
      <c r="BQ118" s="83"/>
      <c r="BR118" s="83"/>
      <c r="BS118" s="83"/>
      <c r="BT118" s="83"/>
      <c r="BU118" s="83"/>
      <c r="BV118" s="83"/>
      <c r="CE118" s="83"/>
      <c r="CF118" s="83"/>
      <c r="CG118" s="83"/>
      <c r="CH118" s="83"/>
      <c r="CI118" s="83"/>
      <c r="CJ118" s="83"/>
      <c r="CK118" s="83"/>
      <c r="CL118" s="83"/>
      <c r="CM118" s="83"/>
      <c r="CN118" s="83"/>
      <c r="CO118" s="83"/>
      <c r="CP118" s="83"/>
      <c r="CQ118" s="83"/>
      <c r="CR118" s="83"/>
      <c r="CS118" s="83"/>
      <c r="CT118" s="83"/>
      <c r="CU118" s="83"/>
      <c r="CV118" s="83"/>
      <c r="CW118" s="83"/>
      <c r="CX118" s="83"/>
      <c r="CY118" s="83"/>
      <c r="CZ118" s="83"/>
      <c r="DA118" s="83"/>
    </row>
    <row r="119" spans="1:105" s="4" customFormat="1">
      <c r="A119" s="1199" t="s">
        <v>68</v>
      </c>
      <c r="B119" s="996"/>
      <c r="C119" s="1163" t="s">
        <v>78</v>
      </c>
      <c r="D119" s="1188"/>
      <c r="E119" s="1188"/>
      <c r="F119" s="1188"/>
      <c r="G119" s="1189"/>
      <c r="H119" s="1190"/>
      <c r="I119" s="1003">
        <v>1.66</v>
      </c>
      <c r="J119" s="1188">
        <v>7.95</v>
      </c>
      <c r="K119" s="1304">
        <v>0.86</v>
      </c>
      <c r="L119" s="1401">
        <v>1.373</v>
      </c>
      <c r="M119" s="1126">
        <v>1.37</v>
      </c>
      <c r="N119" s="1513">
        <v>0.71</v>
      </c>
      <c r="O119" s="1208"/>
      <c r="P119" s="2415">
        <v>1.38</v>
      </c>
      <c r="Q119" s="1127">
        <v>1.58</v>
      </c>
      <c r="R119" s="1127">
        <v>0.8</v>
      </c>
      <c r="S119" s="1524">
        <v>0.97</v>
      </c>
      <c r="T119" s="3017"/>
      <c r="U119" s="3017">
        <v>1.66</v>
      </c>
      <c r="V119" s="3017">
        <v>1.3140000000000001</v>
      </c>
      <c r="W119" s="3017"/>
      <c r="X119" s="2450">
        <v>1.764</v>
      </c>
      <c r="Y119" s="3017">
        <v>1.415</v>
      </c>
      <c r="Z119" s="3345">
        <v>1.0629999999999999</v>
      </c>
      <c r="AA119" s="3017">
        <v>1.03325</v>
      </c>
      <c r="AB119" s="3017">
        <v>1.915</v>
      </c>
      <c r="AC119" s="3017"/>
      <c r="AD119" s="3017"/>
      <c r="AE119" s="3017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CE119" s="83"/>
      <c r="CF119" s="83"/>
      <c r="CG119" s="83"/>
      <c r="CH119" s="83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3"/>
      <c r="CW119" s="83"/>
      <c r="CX119" s="83"/>
      <c r="CY119" s="83"/>
      <c r="CZ119" s="83"/>
      <c r="DA119" s="83"/>
    </row>
    <row r="120" spans="1:105">
      <c r="A120" s="1199" t="s">
        <v>68</v>
      </c>
      <c r="B120" s="996"/>
      <c r="C120" s="1163" t="s">
        <v>69</v>
      </c>
      <c r="D120" s="1188"/>
      <c r="E120" s="1188"/>
      <c r="F120" s="1188"/>
      <c r="G120" s="1189"/>
      <c r="H120" s="1190"/>
      <c r="I120" s="1003">
        <v>0.42</v>
      </c>
      <c r="J120" s="1188">
        <v>1.27</v>
      </c>
      <c r="K120" s="1304">
        <v>0.36</v>
      </c>
      <c r="L120" s="1401">
        <v>0.36</v>
      </c>
      <c r="M120" s="1126">
        <v>0.36</v>
      </c>
      <c r="N120" s="1513">
        <v>0.41</v>
      </c>
      <c r="O120" s="1208"/>
      <c r="P120" s="2415">
        <v>0.43</v>
      </c>
      <c r="Q120" s="1127">
        <v>1</v>
      </c>
      <c r="R120" s="1127">
        <v>0.33</v>
      </c>
      <c r="S120" s="1128">
        <v>0.37</v>
      </c>
      <c r="T120" s="2927"/>
      <c r="U120" s="2927">
        <v>0.41</v>
      </c>
      <c r="V120" s="2927">
        <v>0.38</v>
      </c>
      <c r="W120" s="2927"/>
      <c r="X120" s="2450">
        <v>0.61099999999999999</v>
      </c>
      <c r="Y120" s="2927">
        <v>0.88700000000000001</v>
      </c>
      <c r="Z120" s="3346">
        <v>0.39500000000000002</v>
      </c>
      <c r="AA120" s="2927">
        <v>0.33574999999999999</v>
      </c>
      <c r="AB120" s="2927">
        <v>0.44700000000000001</v>
      </c>
      <c r="AC120" s="2927"/>
      <c r="AD120" s="2927"/>
      <c r="AE120" s="2927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  <c r="CH120" s="61"/>
      <c r="CI120" s="61"/>
      <c r="CJ120" s="61"/>
      <c r="CK120" s="61"/>
      <c r="CL120" s="61"/>
      <c r="CM120" s="61"/>
      <c r="CN120" s="61"/>
      <c r="CO120" s="61"/>
    </row>
    <row r="121" spans="1:105">
      <c r="A121" s="1199" t="s">
        <v>68</v>
      </c>
      <c r="B121" s="996"/>
      <c r="C121" s="1163" t="s">
        <v>75</v>
      </c>
      <c r="D121" s="1188"/>
      <c r="E121" s="1188"/>
      <c r="F121" s="1188"/>
      <c r="G121" s="1189"/>
      <c r="H121" s="1190"/>
      <c r="I121" s="1003">
        <v>0.68</v>
      </c>
      <c r="J121" s="1188">
        <v>0.4</v>
      </c>
      <c r="K121" s="1304">
        <v>0.4</v>
      </c>
      <c r="L121" s="1401">
        <v>0.63700000000000001</v>
      </c>
      <c r="M121" s="1126">
        <v>0.64</v>
      </c>
      <c r="N121" s="1513">
        <v>0.42299999999999999</v>
      </c>
      <c r="O121" s="1208"/>
      <c r="P121" s="2415">
        <v>0.42099999999999999</v>
      </c>
      <c r="Q121" s="1127">
        <v>1.21</v>
      </c>
      <c r="R121" s="1127">
        <v>0.46</v>
      </c>
      <c r="S121" s="1128">
        <v>0.61</v>
      </c>
      <c r="T121" s="2927"/>
      <c r="U121" s="2927">
        <v>0.68</v>
      </c>
      <c r="V121" s="2927">
        <v>0.67300000000000004</v>
      </c>
      <c r="W121" s="2927"/>
      <c r="X121" s="2450">
        <v>0.64300000000000002</v>
      </c>
      <c r="Y121" s="2927">
        <v>1.1850000000000001</v>
      </c>
      <c r="Z121" s="3346">
        <v>0.78200000000000003</v>
      </c>
      <c r="AA121" s="2927">
        <f>AVERAGE(0.82725,0.58025,0.55575)</f>
        <v>0.65441666666666676</v>
      </c>
      <c r="AB121" s="2927"/>
      <c r="AC121" s="2927"/>
      <c r="AD121" s="2927"/>
      <c r="AE121" s="2927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  <c r="CL121" s="61"/>
      <c r="CM121" s="61"/>
      <c r="CN121" s="61"/>
      <c r="CO121" s="61"/>
    </row>
    <row r="122" spans="1:105" ht="15.75" thickBot="1">
      <c r="A122" s="1205" t="s">
        <v>68</v>
      </c>
      <c r="B122" s="997"/>
      <c r="C122" s="1165" t="s">
        <v>73</v>
      </c>
      <c r="D122" s="1193"/>
      <c r="E122" s="1193"/>
      <c r="F122" s="1193"/>
      <c r="G122" s="1194"/>
      <c r="H122" s="1195"/>
      <c r="I122" s="1147">
        <v>0.47</v>
      </c>
      <c r="J122" s="1193">
        <v>0.74</v>
      </c>
      <c r="K122" s="1313">
        <v>0.39</v>
      </c>
      <c r="L122" s="1402">
        <v>0.48299999999999998</v>
      </c>
      <c r="M122" s="1136">
        <v>0.49</v>
      </c>
      <c r="N122" s="1635">
        <v>0.48</v>
      </c>
      <c r="O122" s="1209"/>
      <c r="P122" s="2313">
        <v>0.56499999999999995</v>
      </c>
      <c r="Q122" s="633">
        <v>1.33</v>
      </c>
      <c r="R122" s="633">
        <v>0.39</v>
      </c>
      <c r="S122" s="634">
        <v>0.51</v>
      </c>
      <c r="T122" s="2928"/>
      <c r="U122" s="2928">
        <v>0.81</v>
      </c>
      <c r="V122" s="2928">
        <v>0.71799999999999997</v>
      </c>
      <c r="W122" s="2928"/>
      <c r="X122" s="3112">
        <v>0.61</v>
      </c>
      <c r="Y122" s="2928"/>
      <c r="Z122" s="3338">
        <v>0.73199999999999998</v>
      </c>
      <c r="AA122" s="2928">
        <v>0.89949999999999997</v>
      </c>
      <c r="AB122" s="2928" t="s">
        <v>336</v>
      </c>
      <c r="AC122" s="2928"/>
      <c r="AD122" s="2928"/>
      <c r="AE122" s="2928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/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</row>
    <row r="123" spans="1:105">
      <c r="A123" s="1023" t="s">
        <v>70</v>
      </c>
      <c r="B123" s="995">
        <f>COUNTA(C123:C127)</f>
        <v>5</v>
      </c>
      <c r="C123" s="1286" t="s">
        <v>192</v>
      </c>
      <c r="D123" s="1112">
        <v>0.60799999999999998</v>
      </c>
      <c r="E123" s="1114">
        <v>1.1299999999999999</v>
      </c>
      <c r="F123" s="1114">
        <v>0.68</v>
      </c>
      <c r="G123" s="1162">
        <v>0.83</v>
      </c>
      <c r="H123" s="1158">
        <v>0.623</v>
      </c>
      <c r="I123" s="1112">
        <v>0.93</v>
      </c>
      <c r="J123" s="1185">
        <v>1.61</v>
      </c>
      <c r="K123" s="1296">
        <v>0.74</v>
      </c>
      <c r="L123" s="1400">
        <v>0.57499999999999996</v>
      </c>
      <c r="M123" s="1118">
        <v>0.57699999999999996</v>
      </c>
      <c r="N123" s="1634">
        <v>0.99</v>
      </c>
      <c r="O123" s="1207"/>
      <c r="P123" s="2414">
        <v>0.73699999999999999</v>
      </c>
      <c r="Q123" s="1118">
        <v>0.73450000000000004</v>
      </c>
      <c r="R123" s="1119">
        <v>0.93</v>
      </c>
      <c r="S123" s="1120">
        <v>1.0900000000000001</v>
      </c>
      <c r="T123" s="2926"/>
      <c r="U123" s="2926">
        <v>0.92</v>
      </c>
      <c r="V123" s="2926">
        <v>0.91500000000000004</v>
      </c>
      <c r="W123" s="2727"/>
      <c r="X123" s="2926">
        <v>0.77200000000000002</v>
      </c>
      <c r="Y123" s="2926">
        <v>1.4670000000000001</v>
      </c>
      <c r="Z123" s="2926">
        <v>1.244</v>
      </c>
      <c r="AA123" s="2926">
        <v>1.1232500000000001</v>
      </c>
      <c r="AB123" s="2926">
        <v>1.9590000000000001</v>
      </c>
      <c r="AC123" s="2926"/>
      <c r="AD123" s="2926"/>
      <c r="AE123" s="2926"/>
      <c r="AF123" s="61"/>
      <c r="AG123" s="40"/>
      <c r="AH123" s="40"/>
      <c r="AI123" s="40"/>
      <c r="AJ123" s="40"/>
      <c r="AK123" s="61"/>
      <c r="AL123" s="61"/>
      <c r="AM123" s="61"/>
      <c r="AN123" s="40"/>
      <c r="AO123" s="40"/>
      <c r="AP123" s="40"/>
      <c r="AQ123" s="40"/>
      <c r="AR123" s="61"/>
      <c r="AS123" s="61"/>
      <c r="AT123" s="61"/>
      <c r="AU123" s="61"/>
      <c r="AV123" s="40"/>
      <c r="AW123" s="40"/>
      <c r="AX123" s="40"/>
      <c r="AY123" s="40"/>
      <c r="AZ123" s="40"/>
      <c r="BA123" s="61"/>
      <c r="BB123" s="61"/>
      <c r="BC123" s="61"/>
      <c r="BD123" s="40"/>
      <c r="BE123" s="40"/>
      <c r="BF123" s="40"/>
      <c r="BG123" s="40"/>
      <c r="BH123" s="40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</row>
    <row r="124" spans="1:105">
      <c r="A124" s="1199" t="s">
        <v>70</v>
      </c>
      <c r="B124" s="996"/>
      <c r="C124" s="1197" t="s">
        <v>280</v>
      </c>
      <c r="D124" s="1122">
        <v>1.3560000000000001</v>
      </c>
      <c r="E124" s="1003">
        <v>1.5</v>
      </c>
      <c r="F124" s="1003">
        <v>0.78</v>
      </c>
      <c r="G124" s="1164">
        <v>1.0900000000000001</v>
      </c>
      <c r="H124" s="718">
        <v>1.347</v>
      </c>
      <c r="I124" s="1122">
        <v>1.45</v>
      </c>
      <c r="J124" s="1188">
        <v>4.38</v>
      </c>
      <c r="K124" s="1304">
        <v>0.69</v>
      </c>
      <c r="L124" s="1401">
        <v>1.079</v>
      </c>
      <c r="M124" s="1126">
        <v>0.97</v>
      </c>
      <c r="N124" s="1513">
        <v>0.67</v>
      </c>
      <c r="O124" s="1208"/>
      <c r="P124" s="2415">
        <v>3.238</v>
      </c>
      <c r="Q124" s="1126">
        <v>1.05</v>
      </c>
      <c r="R124" s="1127">
        <v>0.7</v>
      </c>
      <c r="S124" s="1128">
        <v>0.89</v>
      </c>
      <c r="T124" s="2927"/>
      <c r="U124" s="2927">
        <v>1.24</v>
      </c>
      <c r="V124" s="2927">
        <v>0.98799999999999999</v>
      </c>
      <c r="W124" s="2730"/>
      <c r="X124" s="2927">
        <v>1.667</v>
      </c>
      <c r="Y124" s="2927">
        <v>1.272</v>
      </c>
      <c r="Z124" s="2927">
        <v>1.03</v>
      </c>
      <c r="AA124" s="2927">
        <v>1.0747500000000001</v>
      </c>
      <c r="AB124" s="2927">
        <v>1.173</v>
      </c>
      <c r="AC124" s="2927"/>
      <c r="AD124" s="2927"/>
      <c r="AE124" s="2927"/>
      <c r="AF124" s="165"/>
      <c r="AG124" s="40"/>
      <c r="AH124" s="40"/>
      <c r="AI124" s="40"/>
      <c r="AJ124" s="40"/>
      <c r="AK124" s="44"/>
      <c r="AL124" s="61"/>
      <c r="AM124" s="165"/>
      <c r="AN124" s="40"/>
      <c r="AO124" s="40"/>
      <c r="AP124" s="40"/>
      <c r="AQ124" s="40"/>
      <c r="AR124" s="44"/>
      <c r="AS124" s="61"/>
      <c r="AT124" s="61"/>
      <c r="AU124" s="165"/>
      <c r="AV124" s="40"/>
      <c r="AW124" s="40"/>
      <c r="AX124" s="40"/>
      <c r="AY124" s="40"/>
      <c r="AZ124" s="40"/>
      <c r="BA124" s="44"/>
      <c r="BB124" s="61"/>
      <c r="BC124" s="165"/>
      <c r="BD124" s="40"/>
      <c r="BE124" s="40"/>
      <c r="BF124" s="40"/>
      <c r="BG124" s="40"/>
      <c r="BH124" s="40"/>
      <c r="BI124" s="44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</row>
    <row r="125" spans="1:105">
      <c r="A125" s="1199" t="s">
        <v>70</v>
      </c>
      <c r="B125" s="996"/>
      <c r="C125" s="1197" t="s">
        <v>270</v>
      </c>
      <c r="D125" s="1122">
        <v>0.66800000000000004</v>
      </c>
      <c r="E125" s="1003">
        <v>0.68200000000000005</v>
      </c>
      <c r="F125" s="1003">
        <v>0.32500000000000001</v>
      </c>
      <c r="G125" s="1164">
        <v>0.35</v>
      </c>
      <c r="H125" s="718">
        <v>0.32300000000000001</v>
      </c>
      <c r="I125" s="1122">
        <v>0.55000000000000004</v>
      </c>
      <c r="J125" s="1188">
        <v>2.0299999999999998</v>
      </c>
      <c r="K125" s="1304">
        <v>0.47</v>
      </c>
      <c r="L125" s="1401">
        <v>0.29199999999999998</v>
      </c>
      <c r="M125" s="1126">
        <v>0.27400000000000002</v>
      </c>
      <c r="N125" s="1513">
        <v>0.27</v>
      </c>
      <c r="O125" s="1208"/>
      <c r="P125" s="2415">
        <v>0.308</v>
      </c>
      <c r="Q125" s="1126">
        <v>0.60750000000000004</v>
      </c>
      <c r="R125" s="1127">
        <v>0.27</v>
      </c>
      <c r="S125" s="1128">
        <v>0.34</v>
      </c>
      <c r="T125" s="2927"/>
      <c r="U125" s="2927">
        <v>0.56000000000000005</v>
      </c>
      <c r="V125" s="2927">
        <v>0.42399999999999999</v>
      </c>
      <c r="W125" s="2730"/>
      <c r="X125" s="2927">
        <v>0.33800000000000002</v>
      </c>
      <c r="Y125" s="2927">
        <v>0.24399999999999999</v>
      </c>
      <c r="Z125" s="2927">
        <v>0.38900000000000001</v>
      </c>
      <c r="AA125" s="2927">
        <v>0.36749999999999999</v>
      </c>
      <c r="AB125" s="2927">
        <v>0.38</v>
      </c>
      <c r="AC125" s="2927"/>
      <c r="AD125" s="2927"/>
      <c r="AE125" s="2927"/>
      <c r="AF125" s="70"/>
      <c r="AG125" s="40"/>
      <c r="AH125" s="40"/>
      <c r="AI125" s="40"/>
      <c r="AJ125" s="40"/>
      <c r="AK125" s="44"/>
      <c r="AL125" s="61"/>
      <c r="AM125" s="70"/>
      <c r="AN125" s="40"/>
      <c r="AO125" s="40"/>
      <c r="AP125" s="40"/>
      <c r="AQ125" s="40"/>
      <c r="AR125" s="44"/>
      <c r="AS125" s="61"/>
      <c r="AT125" s="61"/>
      <c r="AU125" s="70"/>
      <c r="AV125" s="40"/>
      <c r="AW125" s="40"/>
      <c r="AX125" s="40"/>
      <c r="AY125" s="40"/>
      <c r="AZ125" s="40"/>
      <c r="BA125" s="44"/>
      <c r="BB125" s="61"/>
      <c r="BC125" s="70"/>
      <c r="BD125" s="40"/>
      <c r="BE125" s="40"/>
      <c r="BF125" s="40"/>
      <c r="BG125" s="40"/>
      <c r="BH125" s="40"/>
      <c r="BI125" s="44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</row>
    <row r="126" spans="1:105">
      <c r="A126" s="1199" t="s">
        <v>70</v>
      </c>
      <c r="B126" s="996"/>
      <c r="C126" s="1197" t="s">
        <v>71</v>
      </c>
      <c r="D126" s="1122">
        <v>0.92600000000000005</v>
      </c>
      <c r="E126" s="1003">
        <v>0.72199999999999998</v>
      </c>
      <c r="F126" s="1003">
        <v>6.4000000000000001E-2</v>
      </c>
      <c r="G126" s="1164">
        <v>0.85</v>
      </c>
      <c r="H126" s="718">
        <v>1.0760000000000001</v>
      </c>
      <c r="I126" s="1122">
        <v>0.93</v>
      </c>
      <c r="J126" s="1188">
        <v>0.62</v>
      </c>
      <c r="K126" s="1304">
        <v>0.48</v>
      </c>
      <c r="L126" s="1401">
        <v>0.79700000000000004</v>
      </c>
      <c r="M126" s="1126">
        <v>0.92900000000000005</v>
      </c>
      <c r="N126" s="1513">
        <v>0.62</v>
      </c>
      <c r="O126" s="1208"/>
      <c r="P126" s="2415">
        <v>0.76600000000000001</v>
      </c>
      <c r="Q126" s="1126">
        <v>0.83899999999999997</v>
      </c>
      <c r="R126" s="1127">
        <v>0.8</v>
      </c>
      <c r="S126" s="1128">
        <v>0.89</v>
      </c>
      <c r="T126" s="2927"/>
      <c r="U126" s="2927">
        <v>0.95</v>
      </c>
      <c r="V126" s="2927">
        <v>0.88600000000000001</v>
      </c>
      <c r="W126" s="2730"/>
      <c r="X126" s="2927">
        <v>1.0920000000000001</v>
      </c>
      <c r="Y126" s="2927">
        <v>1.381</v>
      </c>
      <c r="Z126" s="2927">
        <v>0.99199999999999999</v>
      </c>
      <c r="AA126" s="2927">
        <v>1.1879999999999999</v>
      </c>
      <c r="AB126" s="2927">
        <v>1.4139999999999999</v>
      </c>
      <c r="AC126" s="2927"/>
      <c r="AD126" s="2927"/>
      <c r="AE126" s="2927"/>
      <c r="AF126" s="70"/>
      <c r="AG126" s="40"/>
      <c r="AH126" s="40"/>
      <c r="AI126" s="40"/>
      <c r="AJ126" s="40"/>
      <c r="AK126" s="44"/>
      <c r="AL126" s="61"/>
      <c r="AM126" s="70"/>
      <c r="AN126" s="40"/>
      <c r="AO126" s="40"/>
      <c r="AP126" s="40"/>
      <c r="AQ126" s="40"/>
      <c r="AR126" s="44"/>
      <c r="AS126" s="61"/>
      <c r="AT126" s="61"/>
      <c r="AU126" s="70"/>
      <c r="AV126" s="40"/>
      <c r="AW126" s="40"/>
      <c r="AX126" s="40"/>
      <c r="AY126" s="40"/>
      <c r="AZ126" s="40"/>
      <c r="BA126" s="44"/>
      <c r="BB126" s="61"/>
      <c r="BC126" s="70"/>
      <c r="BD126" s="40"/>
      <c r="BE126" s="40"/>
      <c r="BF126" s="40"/>
      <c r="BG126" s="40"/>
      <c r="BH126" s="40"/>
      <c r="BI126" s="44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/>
    </row>
    <row r="127" spans="1:105" ht="15.75" thickBot="1">
      <c r="A127" s="1205" t="s">
        <v>70</v>
      </c>
      <c r="B127" s="997"/>
      <c r="C127" s="1198" t="s">
        <v>81</v>
      </c>
      <c r="D127" s="1146">
        <v>0.872</v>
      </c>
      <c r="E127" s="1147">
        <v>0.92800000000000005</v>
      </c>
      <c r="F127" s="1147">
        <v>0.53500000000000003</v>
      </c>
      <c r="G127" s="1166">
        <v>1.2</v>
      </c>
      <c r="H127" s="1160">
        <v>1.01</v>
      </c>
      <c r="I127" s="1146">
        <v>1.55</v>
      </c>
      <c r="J127" s="1193">
        <v>7.43</v>
      </c>
      <c r="K127" s="1313">
        <v>0.88</v>
      </c>
      <c r="L127" s="1402">
        <v>0.71199999999999997</v>
      </c>
      <c r="M127" s="1136">
        <v>0.35799999999999998</v>
      </c>
      <c r="N127" s="1635">
        <v>0.8</v>
      </c>
      <c r="O127" s="1209"/>
      <c r="P127" s="2313">
        <v>1.617</v>
      </c>
      <c r="Q127" s="1136">
        <v>1.407</v>
      </c>
      <c r="R127" s="633">
        <v>49.66</v>
      </c>
      <c r="S127" s="634">
        <v>1.52</v>
      </c>
      <c r="T127" s="2928"/>
      <c r="U127" s="2928">
        <v>0.82</v>
      </c>
      <c r="V127" s="2928">
        <v>1.502</v>
      </c>
      <c r="W127" s="3187"/>
      <c r="X127" s="2928">
        <v>1.823</v>
      </c>
      <c r="Y127" s="2928">
        <v>0.63100000000000001</v>
      </c>
      <c r="Z127" s="2928">
        <v>1.472</v>
      </c>
      <c r="AA127" s="2928">
        <v>2.06</v>
      </c>
      <c r="AB127" s="2928">
        <v>0.82799999999999996</v>
      </c>
      <c r="AC127" s="2928"/>
      <c r="AD127" s="2928"/>
      <c r="AE127" s="2928"/>
      <c r="AF127" s="70"/>
      <c r="AG127" s="40"/>
      <c r="AH127" s="40"/>
      <c r="AI127" s="40"/>
      <c r="AJ127" s="40"/>
      <c r="AK127" s="44"/>
      <c r="AL127" s="61"/>
      <c r="AM127" s="70"/>
      <c r="AN127" s="40"/>
      <c r="AO127" s="40"/>
      <c r="AP127" s="40"/>
      <c r="AQ127" s="40"/>
      <c r="AR127" s="44"/>
      <c r="AS127" s="61"/>
      <c r="AT127" s="61"/>
      <c r="AU127" s="70"/>
      <c r="AV127" s="40"/>
      <c r="AW127" s="40"/>
      <c r="AX127" s="40"/>
      <c r="AY127" s="40"/>
      <c r="AZ127" s="40"/>
      <c r="BA127" s="44"/>
      <c r="BB127" s="61"/>
      <c r="BC127" s="70"/>
      <c r="BD127" s="40"/>
      <c r="BE127" s="40"/>
      <c r="BF127" s="40"/>
      <c r="BG127" s="40"/>
      <c r="BH127" s="40"/>
      <c r="BI127" s="44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</row>
    <row r="128" spans="1:105" ht="17.25" customHeight="1">
      <c r="A128" s="114"/>
      <c r="B128" s="114"/>
      <c r="C128" s="775" t="s">
        <v>285</v>
      </c>
      <c r="D128" s="1025">
        <f>COUNTIF(D104:D127,"&lt;=0.4")</f>
        <v>0</v>
      </c>
      <c r="E128" s="1025">
        <f t="shared" ref="E128:S128" si="23">COUNTIF(E104:E127,"&lt;=0.4")</f>
        <v>1</v>
      </c>
      <c r="F128" s="1025">
        <f t="shared" si="23"/>
        <v>3</v>
      </c>
      <c r="G128" s="1025">
        <f t="shared" si="23"/>
        <v>1</v>
      </c>
      <c r="H128" s="1025">
        <f t="shared" si="23"/>
        <v>2</v>
      </c>
      <c r="I128" s="1025">
        <f t="shared" si="23"/>
        <v>2</v>
      </c>
      <c r="J128" s="1025">
        <f t="shared" si="23"/>
        <v>3</v>
      </c>
      <c r="K128" s="1025">
        <f t="shared" si="23"/>
        <v>3</v>
      </c>
      <c r="L128" s="1025">
        <f t="shared" si="23"/>
        <v>2</v>
      </c>
      <c r="M128" s="1025">
        <f t="shared" si="23"/>
        <v>5</v>
      </c>
      <c r="N128" s="1025">
        <f t="shared" si="23"/>
        <v>4</v>
      </c>
      <c r="O128" s="1025">
        <f t="shared" si="23"/>
        <v>0</v>
      </c>
      <c r="P128" s="1025">
        <f t="shared" si="23"/>
        <v>2</v>
      </c>
      <c r="Q128" s="1025">
        <f t="shared" si="23"/>
        <v>2</v>
      </c>
      <c r="R128" s="1025">
        <f t="shared" si="23"/>
        <v>5</v>
      </c>
      <c r="S128" s="1025">
        <f t="shared" si="23"/>
        <v>2</v>
      </c>
      <c r="T128" s="1025">
        <f t="shared" ref="T128:U128" si="24">COUNTIF(T104:T127,"&lt;=0.4")</f>
        <v>0</v>
      </c>
      <c r="U128" s="1025">
        <f t="shared" si="24"/>
        <v>2</v>
      </c>
      <c r="V128" s="1025">
        <f t="shared" ref="V128:Y128" si="25">COUNTIF(V104:V127,"&lt;=0.4")</f>
        <v>1</v>
      </c>
      <c r="W128" s="1025">
        <f t="shared" si="25"/>
        <v>0</v>
      </c>
      <c r="X128" s="1025">
        <f t="shared" si="25"/>
        <v>1</v>
      </c>
      <c r="Y128" s="1025">
        <f t="shared" si="25"/>
        <v>2</v>
      </c>
      <c r="Z128" s="1025">
        <f>COUNTIF(Z104:Z127,"&lt;=0.5")</f>
        <v>3</v>
      </c>
      <c r="AA128" s="1025">
        <f>COUNTIF(AA104:AA127,"&lt;=0.5")</f>
        <v>8</v>
      </c>
      <c r="AB128" s="1025">
        <f t="shared" ref="AB128:AE128" si="26">COUNTIF(AB104:AB127,"&lt;=0.5")</f>
        <v>2</v>
      </c>
      <c r="AC128" s="1025">
        <f t="shared" si="26"/>
        <v>0</v>
      </c>
      <c r="AD128" s="1025">
        <f t="shared" si="26"/>
        <v>0</v>
      </c>
      <c r="AE128" s="1025">
        <f t="shared" si="26"/>
        <v>0</v>
      </c>
      <c r="AF128" s="95"/>
      <c r="AG128" s="40"/>
      <c r="AH128" s="40"/>
      <c r="AI128" s="40"/>
      <c r="AJ128" s="175"/>
      <c r="AK128" s="44"/>
      <c r="AL128" s="61"/>
      <c r="AM128" s="95"/>
      <c r="AN128" s="40"/>
      <c r="AO128" s="175"/>
      <c r="AP128" s="40"/>
      <c r="AQ128" s="40"/>
      <c r="AR128" s="44"/>
      <c r="AS128" s="61"/>
      <c r="AT128" s="61"/>
      <c r="AU128" s="95"/>
      <c r="AV128" s="40"/>
      <c r="AW128" s="40"/>
      <c r="AX128" s="40"/>
      <c r="AY128" s="40"/>
      <c r="AZ128" s="40"/>
      <c r="BA128" s="44"/>
      <c r="BB128" s="61"/>
      <c r="BC128" s="95"/>
      <c r="BD128" s="40"/>
      <c r="BE128" s="40"/>
      <c r="BF128" s="40"/>
      <c r="BG128" s="40"/>
      <c r="BH128" s="40"/>
      <c r="BI128" s="44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  <c r="CL128" s="61"/>
      <c r="CM128" s="61"/>
      <c r="CN128" s="61"/>
      <c r="CO128" s="61"/>
    </row>
    <row r="129" spans="1:93">
      <c r="A129" s="114"/>
      <c r="B129" s="114"/>
      <c r="C129" s="775" t="s">
        <v>287</v>
      </c>
      <c r="D129" s="1027">
        <f>COUNT(D104:D127)</f>
        <v>14</v>
      </c>
      <c r="E129" s="1027">
        <f t="shared" ref="E129:S129" si="27">COUNT(E104:E127)</f>
        <v>14</v>
      </c>
      <c r="F129" s="1027">
        <f t="shared" si="27"/>
        <v>14</v>
      </c>
      <c r="G129" s="1027">
        <f t="shared" si="27"/>
        <v>14</v>
      </c>
      <c r="H129" s="1027">
        <f t="shared" si="27"/>
        <v>14</v>
      </c>
      <c r="I129" s="1027">
        <f t="shared" si="27"/>
        <v>19</v>
      </c>
      <c r="J129" s="1027">
        <f t="shared" si="27"/>
        <v>19</v>
      </c>
      <c r="K129" s="1027">
        <f t="shared" si="27"/>
        <v>19</v>
      </c>
      <c r="L129" s="1027">
        <f t="shared" si="27"/>
        <v>24</v>
      </c>
      <c r="M129" s="1027">
        <f t="shared" si="27"/>
        <v>24</v>
      </c>
      <c r="N129" s="1027">
        <f t="shared" si="27"/>
        <v>24</v>
      </c>
      <c r="O129" s="1027">
        <f t="shared" si="27"/>
        <v>0</v>
      </c>
      <c r="P129" s="1027">
        <f t="shared" si="27"/>
        <v>24</v>
      </c>
      <c r="Q129" s="1027">
        <f t="shared" si="27"/>
        <v>24</v>
      </c>
      <c r="R129" s="1027">
        <f t="shared" si="27"/>
        <v>24</v>
      </c>
      <c r="S129" s="1027">
        <f t="shared" si="27"/>
        <v>24</v>
      </c>
      <c r="T129" s="1027">
        <f t="shared" ref="T129:U129" si="28">COUNT(T104:T127)</f>
        <v>0</v>
      </c>
      <c r="U129" s="1027">
        <f t="shared" si="28"/>
        <v>24</v>
      </c>
      <c r="V129" s="1027">
        <f t="shared" ref="V129:Y129" si="29">COUNT(V104:V127)</f>
        <v>24</v>
      </c>
      <c r="W129" s="1027">
        <f t="shared" si="29"/>
        <v>6</v>
      </c>
      <c r="X129" s="1027">
        <f t="shared" si="29"/>
        <v>18</v>
      </c>
      <c r="Y129" s="1027">
        <f t="shared" si="29"/>
        <v>23</v>
      </c>
      <c r="Z129" s="1027">
        <f t="shared" ref="Z129:AA129" si="30">COUNT(Z104:Z127)</f>
        <v>23</v>
      </c>
      <c r="AA129" s="1027">
        <f t="shared" si="30"/>
        <v>24</v>
      </c>
      <c r="AB129" s="1027">
        <f t="shared" ref="AB129:AE129" si="31">COUNT(AB104:AB127)</f>
        <v>22</v>
      </c>
      <c r="AC129" s="1027">
        <f t="shared" si="31"/>
        <v>0</v>
      </c>
      <c r="AD129" s="1027">
        <f t="shared" si="31"/>
        <v>0</v>
      </c>
      <c r="AE129" s="1027">
        <f t="shared" si="31"/>
        <v>0</v>
      </c>
      <c r="AF129" s="70"/>
      <c r="AG129" s="175"/>
      <c r="AH129" s="40"/>
      <c r="AI129" s="40"/>
      <c r="AJ129" s="40"/>
      <c r="AK129" s="177"/>
      <c r="AL129" s="61"/>
      <c r="AM129" s="70"/>
      <c r="AN129" s="175"/>
      <c r="AO129" s="40"/>
      <c r="AP129" s="40"/>
      <c r="AQ129" s="40"/>
      <c r="AR129" s="177"/>
      <c r="AS129" s="61"/>
      <c r="AT129" s="61"/>
      <c r="AU129" s="70"/>
      <c r="AV129" s="40"/>
      <c r="AW129" s="40"/>
      <c r="AX129" s="40"/>
      <c r="AY129" s="40"/>
      <c r="AZ129" s="40"/>
      <c r="BA129" s="177"/>
      <c r="BB129" s="61"/>
      <c r="BC129" s="70"/>
      <c r="BD129" s="40"/>
      <c r="BE129" s="40"/>
      <c r="BF129" s="40"/>
      <c r="BG129" s="40"/>
      <c r="BH129" s="40"/>
      <c r="BI129" s="177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1"/>
    </row>
    <row r="130" spans="1:93">
      <c r="A130" s="114"/>
      <c r="B130" s="114"/>
      <c r="C130" s="775" t="s">
        <v>286</v>
      </c>
      <c r="D130" s="1026">
        <f t="shared" ref="D130:S130" si="32">D128/D129</f>
        <v>0</v>
      </c>
      <c r="E130" s="1026">
        <f t="shared" si="32"/>
        <v>7.1428571428571425E-2</v>
      </c>
      <c r="F130" s="1026">
        <f t="shared" si="32"/>
        <v>0.21428571428571427</v>
      </c>
      <c r="G130" s="1026">
        <f t="shared" si="32"/>
        <v>7.1428571428571425E-2</v>
      </c>
      <c r="H130" s="1026">
        <f t="shared" si="32"/>
        <v>0.14285714285714285</v>
      </c>
      <c r="I130" s="1026">
        <f t="shared" si="32"/>
        <v>0.10526315789473684</v>
      </c>
      <c r="J130" s="1026">
        <f t="shared" si="32"/>
        <v>0.15789473684210525</v>
      </c>
      <c r="K130" s="1026">
        <f t="shared" si="32"/>
        <v>0.15789473684210525</v>
      </c>
      <c r="L130" s="1026">
        <f t="shared" si="32"/>
        <v>8.3333333333333329E-2</v>
      </c>
      <c r="M130" s="1026">
        <f t="shared" si="32"/>
        <v>0.20833333333333334</v>
      </c>
      <c r="N130" s="1026">
        <f t="shared" si="32"/>
        <v>0.16666666666666666</v>
      </c>
      <c r="O130" s="1026" t="e">
        <f t="shared" si="32"/>
        <v>#DIV/0!</v>
      </c>
      <c r="P130" s="1026">
        <f t="shared" si="32"/>
        <v>8.3333333333333329E-2</v>
      </c>
      <c r="Q130" s="1026">
        <f t="shared" si="32"/>
        <v>8.3333333333333329E-2</v>
      </c>
      <c r="R130" s="1026">
        <f t="shared" si="32"/>
        <v>0.20833333333333334</v>
      </c>
      <c r="S130" s="1026">
        <f t="shared" si="32"/>
        <v>8.3333333333333329E-2</v>
      </c>
      <c r="T130" s="1026" t="e">
        <f t="shared" ref="T130:U130" si="33">T128/T129</f>
        <v>#DIV/0!</v>
      </c>
      <c r="U130" s="1026">
        <f t="shared" si="33"/>
        <v>8.3333333333333329E-2</v>
      </c>
      <c r="V130" s="1026">
        <f t="shared" ref="V130:Y130" si="34">V128/V129</f>
        <v>4.1666666666666664E-2</v>
      </c>
      <c r="W130" s="1026">
        <f t="shared" si="34"/>
        <v>0</v>
      </c>
      <c r="X130" s="1026">
        <f t="shared" si="34"/>
        <v>5.5555555555555552E-2</v>
      </c>
      <c r="Y130" s="1026">
        <f t="shared" si="34"/>
        <v>8.6956521739130432E-2</v>
      </c>
      <c r="Z130" s="1026">
        <f t="shared" ref="Z130:AA130" si="35">Z128/Z129</f>
        <v>0.13043478260869565</v>
      </c>
      <c r="AA130" s="1026">
        <f t="shared" si="35"/>
        <v>0.33333333333333331</v>
      </c>
      <c r="AB130" s="1026">
        <f t="shared" ref="AB130:AE130" si="36">AB128/AB129</f>
        <v>9.0909090909090912E-2</v>
      </c>
      <c r="AC130" s="1026" t="e">
        <f t="shared" si="36"/>
        <v>#DIV/0!</v>
      </c>
      <c r="AD130" s="1026" t="e">
        <f t="shared" si="36"/>
        <v>#DIV/0!</v>
      </c>
      <c r="AE130" s="1026" t="e">
        <f t="shared" si="36"/>
        <v>#DIV/0!</v>
      </c>
      <c r="AF130" s="70"/>
      <c r="AG130" s="40"/>
      <c r="AH130" s="40"/>
      <c r="AI130" s="40"/>
      <c r="AJ130" s="40"/>
      <c r="AK130" s="177"/>
      <c r="AL130" s="61"/>
      <c r="AM130" s="70"/>
      <c r="AN130" s="40"/>
      <c r="AO130" s="40"/>
      <c r="AP130" s="40"/>
      <c r="AQ130" s="40"/>
      <c r="AR130" s="177"/>
      <c r="AS130" s="61"/>
      <c r="AT130" s="61"/>
      <c r="AU130" s="70"/>
      <c r="AV130" s="175"/>
      <c r="AW130" s="40"/>
      <c r="AX130" s="175"/>
      <c r="AY130" s="40"/>
      <c r="AZ130" s="40"/>
      <c r="BA130" s="177"/>
      <c r="BB130" s="61"/>
      <c r="BC130" s="70"/>
      <c r="BD130" s="40"/>
      <c r="BE130" s="40"/>
      <c r="BF130" s="40"/>
      <c r="BG130" s="40"/>
      <c r="BH130" s="40"/>
      <c r="BI130" s="177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  <c r="CL130" s="61"/>
      <c r="CM130" s="61"/>
      <c r="CN130" s="61"/>
      <c r="CO130" s="61"/>
    </row>
    <row r="131" spans="1:93">
      <c r="A131" s="114"/>
      <c r="B131" s="114"/>
      <c r="C131" s="775"/>
      <c r="D131" s="1026"/>
      <c r="E131" s="1026"/>
      <c r="F131" s="1026"/>
      <c r="G131" s="1026"/>
      <c r="H131" s="1026"/>
      <c r="I131" s="1026"/>
      <c r="J131" s="1026"/>
      <c r="K131" s="1026"/>
      <c r="L131" s="1026"/>
      <c r="M131" s="1026"/>
      <c r="N131" s="1026"/>
      <c r="O131" s="1026"/>
      <c r="P131" s="1026"/>
      <c r="Q131" s="1026"/>
      <c r="R131" s="1026"/>
      <c r="S131" s="1026"/>
      <c r="T131" s="1026"/>
      <c r="U131" s="1026"/>
      <c r="V131" s="1026"/>
      <c r="W131" s="1026"/>
      <c r="X131" s="770"/>
      <c r="Y131" s="4"/>
      <c r="Z131" s="4"/>
      <c r="AA131" s="4"/>
      <c r="AB131" s="40"/>
      <c r="AC131" s="44"/>
      <c r="AD131" s="61"/>
      <c r="AE131" s="61"/>
      <c r="AF131" s="70"/>
      <c r="AG131" s="40"/>
      <c r="AH131" s="40"/>
      <c r="AI131" s="175"/>
      <c r="AJ131" s="40"/>
      <c r="AK131" s="44"/>
      <c r="AL131" s="61"/>
      <c r="AM131" s="70"/>
      <c r="AN131" s="40"/>
      <c r="AO131" s="40"/>
      <c r="AP131" s="40"/>
      <c r="AQ131" s="40"/>
      <c r="AR131" s="44"/>
      <c r="AS131" s="61"/>
      <c r="AT131" s="61"/>
      <c r="AU131" s="70"/>
      <c r="AV131" s="40"/>
      <c r="AW131" s="40"/>
      <c r="AX131" s="40"/>
      <c r="AY131" s="40"/>
      <c r="AZ131" s="40"/>
      <c r="BA131" s="44"/>
      <c r="BB131" s="61"/>
      <c r="BC131" s="70"/>
      <c r="BD131" s="175"/>
      <c r="BE131" s="40"/>
      <c r="BF131" s="40"/>
      <c r="BG131" s="40"/>
      <c r="BH131" s="40"/>
      <c r="BI131" s="44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1"/>
      <c r="CM131" s="61"/>
      <c r="CN131" s="61"/>
      <c r="CO131" s="61"/>
    </row>
    <row r="132" spans="1:93">
      <c r="A132" s="114"/>
      <c r="B132" s="114"/>
      <c r="C132" s="775"/>
      <c r="D132" s="1026"/>
      <c r="E132" s="1026"/>
      <c r="F132" s="1026"/>
      <c r="G132" s="1026"/>
      <c r="H132" s="1026"/>
      <c r="I132" s="1026"/>
      <c r="J132" s="1026"/>
      <c r="K132" s="1026"/>
      <c r="L132" s="1050"/>
      <c r="M132" s="1050"/>
      <c r="N132" s="1026"/>
      <c r="O132" s="1026"/>
      <c r="P132" s="1026"/>
      <c r="Q132" s="1026"/>
      <c r="R132" s="1026"/>
      <c r="S132" s="1026"/>
      <c r="T132" s="1026"/>
      <c r="U132" s="1026"/>
      <c r="V132" s="1026"/>
      <c r="W132" s="1026"/>
      <c r="X132" s="770"/>
      <c r="Y132" s="4"/>
      <c r="Z132" s="4"/>
      <c r="AA132" s="4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188"/>
      <c r="AW132" s="188"/>
      <c r="AX132" s="188"/>
      <c r="AY132" s="188"/>
      <c r="AZ132" s="188"/>
      <c r="BA132" s="61"/>
      <c r="BB132" s="61"/>
      <c r="BC132" s="61"/>
      <c r="BD132" s="40"/>
      <c r="BE132" s="40"/>
      <c r="BF132" s="40"/>
      <c r="BG132" s="40"/>
      <c r="BH132" s="40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  <c r="CL132" s="61"/>
      <c r="CM132" s="61"/>
      <c r="CN132" s="61"/>
      <c r="CO132" s="61"/>
    </row>
    <row r="133" spans="1:93">
      <c r="A133" s="114"/>
      <c r="B133" s="3568" t="s">
        <v>291</v>
      </c>
      <c r="C133" s="775" t="s">
        <v>289</v>
      </c>
      <c r="D133" s="1027">
        <f>SUM(D64,D97,D128)</f>
        <v>0</v>
      </c>
      <c r="E133" s="1027">
        <f t="shared" ref="E133:S133" si="37">SUM(E64,E97,E128)</f>
        <v>1</v>
      </c>
      <c r="F133" s="1027">
        <f t="shared" si="37"/>
        <v>3</v>
      </c>
      <c r="G133" s="1027">
        <f t="shared" si="37"/>
        <v>1</v>
      </c>
      <c r="H133" s="1027">
        <f t="shared" si="37"/>
        <v>2</v>
      </c>
      <c r="I133" s="1049">
        <f t="shared" si="37"/>
        <v>14</v>
      </c>
      <c r="J133" s="1027">
        <f t="shared" si="37"/>
        <v>15</v>
      </c>
      <c r="K133" s="1027">
        <f t="shared" si="37"/>
        <v>15</v>
      </c>
      <c r="L133" s="1049">
        <f t="shared" si="37"/>
        <v>14</v>
      </c>
      <c r="M133" s="1049">
        <f t="shared" si="37"/>
        <v>5</v>
      </c>
      <c r="N133" s="1027">
        <f t="shared" si="37"/>
        <v>17</v>
      </c>
      <c r="O133" s="1027">
        <f t="shared" si="37"/>
        <v>0</v>
      </c>
      <c r="P133" s="1027">
        <f t="shared" si="37"/>
        <v>10</v>
      </c>
      <c r="Q133" s="1027">
        <f t="shared" si="37"/>
        <v>6</v>
      </c>
      <c r="R133" s="1027">
        <f t="shared" si="37"/>
        <v>12</v>
      </c>
      <c r="S133" s="1027">
        <f t="shared" si="37"/>
        <v>10</v>
      </c>
      <c r="T133" s="1027">
        <f t="shared" ref="T133:U133" si="38">SUM(T64,T97,T128)</f>
        <v>0</v>
      </c>
      <c r="U133" s="1027">
        <f t="shared" si="38"/>
        <v>2</v>
      </c>
      <c r="V133" s="1027">
        <f t="shared" ref="V133:AA133" si="39">SUM(V64,V97,V128)</f>
        <v>1</v>
      </c>
      <c r="W133" s="1027">
        <f t="shared" si="39"/>
        <v>12</v>
      </c>
      <c r="X133" s="1027">
        <f t="shared" si="39"/>
        <v>12</v>
      </c>
      <c r="Y133" s="1027">
        <f t="shared" si="39"/>
        <v>11</v>
      </c>
      <c r="Z133" s="1027">
        <f t="shared" si="39"/>
        <v>14</v>
      </c>
      <c r="AA133" s="1027">
        <f t="shared" si="39"/>
        <v>19</v>
      </c>
      <c r="AB133" s="1027">
        <f t="shared" ref="AB133:AE133" si="40">SUM(AB64,AB97,AB128)</f>
        <v>13</v>
      </c>
      <c r="AC133" s="1027">
        <f t="shared" si="40"/>
        <v>0</v>
      </c>
      <c r="AD133" s="1027">
        <f t="shared" si="40"/>
        <v>0</v>
      </c>
      <c r="AE133" s="1027">
        <f t="shared" si="40"/>
        <v>0</v>
      </c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</row>
    <row r="134" spans="1:93">
      <c r="A134" s="114"/>
      <c r="B134" s="3568"/>
      <c r="C134" s="775" t="s">
        <v>288</v>
      </c>
      <c r="D134" s="1027">
        <f>SUM(D65,D98,D129)</f>
        <v>40</v>
      </c>
      <c r="E134" s="1027">
        <f t="shared" ref="E134:S134" si="41">SUM(E65,E98,E129)</f>
        <v>40</v>
      </c>
      <c r="F134" s="1027">
        <f t="shared" si="41"/>
        <v>40</v>
      </c>
      <c r="G134" s="1027">
        <f t="shared" si="41"/>
        <v>40</v>
      </c>
      <c r="H134" s="1027">
        <f t="shared" si="41"/>
        <v>40</v>
      </c>
      <c r="I134" s="1049">
        <f t="shared" si="41"/>
        <v>79</v>
      </c>
      <c r="J134" s="1027">
        <f t="shared" si="41"/>
        <v>79</v>
      </c>
      <c r="K134" s="1027">
        <f t="shared" si="41"/>
        <v>79</v>
      </c>
      <c r="L134" s="1049">
        <f t="shared" si="41"/>
        <v>80</v>
      </c>
      <c r="M134" s="1049">
        <f t="shared" si="41"/>
        <v>50</v>
      </c>
      <c r="N134" s="1027">
        <f t="shared" si="41"/>
        <v>81</v>
      </c>
      <c r="O134" s="1027">
        <f t="shared" si="41"/>
        <v>0</v>
      </c>
      <c r="P134" s="1027">
        <f t="shared" si="41"/>
        <v>79</v>
      </c>
      <c r="Q134" s="1027">
        <f t="shared" si="41"/>
        <v>78</v>
      </c>
      <c r="R134" s="1027">
        <f t="shared" si="41"/>
        <v>79</v>
      </c>
      <c r="S134" s="1027">
        <f t="shared" si="41"/>
        <v>84</v>
      </c>
      <c r="T134" s="1027">
        <f t="shared" ref="T134:U134" si="42">SUM(T65,T98,T129)</f>
        <v>39</v>
      </c>
      <c r="U134" s="1027">
        <f t="shared" si="42"/>
        <v>62</v>
      </c>
      <c r="V134" s="1027">
        <f t="shared" ref="V134:AA134" si="43">SUM(V65,V98,V129)</f>
        <v>63</v>
      </c>
      <c r="W134" s="1027">
        <f t="shared" si="43"/>
        <v>66</v>
      </c>
      <c r="X134" s="1027">
        <f t="shared" si="43"/>
        <v>77</v>
      </c>
      <c r="Y134" s="1027">
        <f t="shared" si="43"/>
        <v>98</v>
      </c>
      <c r="Z134" s="1027">
        <f t="shared" si="43"/>
        <v>82</v>
      </c>
      <c r="AA134" s="1027">
        <f t="shared" si="43"/>
        <v>83</v>
      </c>
      <c r="AB134" s="1027">
        <f t="shared" ref="AB134:AE134" si="44">SUM(AB65,AB98,AB129)</f>
        <v>81</v>
      </c>
      <c r="AC134" s="1027">
        <f t="shared" si="44"/>
        <v>0</v>
      </c>
      <c r="AD134" s="1027">
        <f t="shared" si="44"/>
        <v>0</v>
      </c>
      <c r="AE134" s="1027">
        <f t="shared" si="44"/>
        <v>0</v>
      </c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</row>
    <row r="135" spans="1:93">
      <c r="A135" s="114"/>
      <c r="B135" s="3568"/>
      <c r="C135" s="775" t="s">
        <v>290</v>
      </c>
      <c r="D135" s="1026">
        <f>D133/D134</f>
        <v>0</v>
      </c>
      <c r="E135" s="1026">
        <f t="shared" ref="E135:S135" si="45">E133/E134</f>
        <v>2.5000000000000001E-2</v>
      </c>
      <c r="F135" s="1026">
        <f t="shared" si="45"/>
        <v>7.4999999999999997E-2</v>
      </c>
      <c r="G135" s="1026">
        <f t="shared" si="45"/>
        <v>2.5000000000000001E-2</v>
      </c>
      <c r="H135" s="1026">
        <f t="shared" si="45"/>
        <v>0.05</v>
      </c>
      <c r="I135" s="1050">
        <f t="shared" si="45"/>
        <v>0.17721518987341772</v>
      </c>
      <c r="J135" s="1026">
        <f t="shared" si="45"/>
        <v>0.189873417721519</v>
      </c>
      <c r="K135" s="1026">
        <f t="shared" si="45"/>
        <v>0.189873417721519</v>
      </c>
      <c r="L135" s="1050">
        <f t="shared" si="45"/>
        <v>0.17499999999999999</v>
      </c>
      <c r="M135" s="1050">
        <f t="shared" si="45"/>
        <v>0.1</v>
      </c>
      <c r="N135" s="1026">
        <f t="shared" si="45"/>
        <v>0.20987654320987653</v>
      </c>
      <c r="O135" s="1026" t="e">
        <f t="shared" si="45"/>
        <v>#DIV/0!</v>
      </c>
      <c r="P135" s="1026">
        <f t="shared" si="45"/>
        <v>0.12658227848101267</v>
      </c>
      <c r="Q135" s="1026">
        <f t="shared" si="45"/>
        <v>7.6923076923076927E-2</v>
      </c>
      <c r="R135" s="1026">
        <f t="shared" si="45"/>
        <v>0.15189873417721519</v>
      </c>
      <c r="S135" s="1026">
        <f t="shared" si="45"/>
        <v>0.11904761904761904</v>
      </c>
      <c r="T135" s="1026">
        <f t="shared" ref="T135:U135" si="46">T133/T134</f>
        <v>0</v>
      </c>
      <c r="U135" s="1026">
        <f t="shared" si="46"/>
        <v>3.2258064516129031E-2</v>
      </c>
      <c r="V135" s="1026">
        <f t="shared" ref="V135:AA135" si="47">V133/V134</f>
        <v>1.5873015873015872E-2</v>
      </c>
      <c r="W135" s="1026">
        <f t="shared" si="47"/>
        <v>0.18181818181818182</v>
      </c>
      <c r="X135" s="1026">
        <f t="shared" si="47"/>
        <v>0.15584415584415584</v>
      </c>
      <c r="Y135" s="1026">
        <f t="shared" si="47"/>
        <v>0.11224489795918367</v>
      </c>
      <c r="Z135" s="1026">
        <f t="shared" si="47"/>
        <v>0.17073170731707318</v>
      </c>
      <c r="AA135" s="1026">
        <f t="shared" si="47"/>
        <v>0.2289156626506024</v>
      </c>
      <c r="AB135" s="1026">
        <f t="shared" ref="AB135:AE135" si="48">AB133/AB134</f>
        <v>0.16049382716049382</v>
      </c>
      <c r="AC135" s="1026" t="e">
        <f t="shared" si="48"/>
        <v>#DIV/0!</v>
      </c>
      <c r="AD135" s="1026" t="e">
        <f t="shared" si="48"/>
        <v>#DIV/0!</v>
      </c>
      <c r="AE135" s="1026" t="e">
        <f t="shared" si="48"/>
        <v>#DIV/0!</v>
      </c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</row>
    <row r="136" spans="1:93">
      <c r="A136" s="108"/>
      <c r="B136" s="108"/>
      <c r="C136" s="124"/>
      <c r="D136" s="224"/>
      <c r="E136" s="223"/>
      <c r="F136" s="223"/>
      <c r="G136" s="223"/>
      <c r="H136" s="223"/>
      <c r="I136" s="224"/>
      <c r="J136" s="206"/>
      <c r="K136" s="206"/>
      <c r="L136" s="120"/>
      <c r="M136" s="120"/>
      <c r="N136" s="120"/>
      <c r="O136" s="120"/>
      <c r="P136" s="2289"/>
      <c r="Q136" s="120"/>
      <c r="R136" s="120"/>
      <c r="S136" s="120"/>
      <c r="T136" s="120"/>
      <c r="U136" s="120"/>
      <c r="V136" s="120"/>
      <c r="W136" s="120"/>
      <c r="X136" s="767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</row>
    <row r="137" spans="1:93">
      <c r="A137" s="108"/>
      <c r="B137" s="108"/>
      <c r="C137" s="124"/>
      <c r="D137" s="224"/>
      <c r="E137" s="223"/>
      <c r="F137" s="3546" t="s">
        <v>228</v>
      </c>
      <c r="G137" s="3546"/>
      <c r="H137" s="3546"/>
      <c r="I137" s="3546"/>
      <c r="J137" s="107"/>
      <c r="K137" s="206"/>
      <c r="L137" s="120"/>
      <c r="M137" s="120"/>
      <c r="N137" s="3546" t="s">
        <v>228</v>
      </c>
      <c r="O137" s="3546"/>
      <c r="P137" s="3546"/>
      <c r="Q137" s="3546"/>
      <c r="R137" s="120"/>
      <c r="S137" s="120"/>
      <c r="T137" s="120"/>
      <c r="U137" s="120"/>
      <c r="V137" s="120"/>
      <c r="W137" s="120"/>
      <c r="X137" s="767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</row>
    <row r="138" spans="1:93" ht="15.75" thickBot="1">
      <c r="A138" s="330"/>
      <c r="B138" s="127"/>
      <c r="C138" s="121"/>
      <c r="D138" s="121"/>
      <c r="E138" s="121"/>
      <c r="F138" s="3546"/>
      <c r="G138" s="3546"/>
      <c r="H138" s="3546"/>
      <c r="I138" s="3546"/>
      <c r="J138" s="107"/>
      <c r="K138" s="121"/>
      <c r="L138" s="120"/>
      <c r="M138" s="120"/>
      <c r="N138" s="3546"/>
      <c r="O138" s="3546"/>
      <c r="P138" s="3546"/>
      <c r="Q138" s="3546"/>
      <c r="R138" s="120"/>
      <c r="S138" s="120"/>
      <c r="T138" s="120"/>
      <c r="U138" s="120"/>
      <c r="V138" s="120"/>
      <c r="W138" s="120"/>
      <c r="X138" s="767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</row>
    <row r="139" spans="1:93" ht="15.75" thickBot="1">
      <c r="A139" s="330"/>
      <c r="B139" s="127"/>
      <c r="C139" s="266" t="s">
        <v>168</v>
      </c>
      <c r="D139" s="268">
        <v>0.4</v>
      </c>
      <c r="E139" s="268">
        <v>0.4</v>
      </c>
      <c r="F139" s="268">
        <v>0.4</v>
      </c>
      <c r="G139" s="345">
        <v>0.4</v>
      </c>
      <c r="H139" s="346">
        <v>0.4</v>
      </c>
      <c r="I139" s="268">
        <v>0.4</v>
      </c>
      <c r="J139" s="268">
        <v>0.4</v>
      </c>
      <c r="K139" s="269">
        <v>0.4</v>
      </c>
      <c r="L139" s="346">
        <v>0.4</v>
      </c>
      <c r="M139" s="268">
        <v>0.4</v>
      </c>
      <c r="N139" s="268">
        <v>0.4</v>
      </c>
      <c r="O139" s="274">
        <v>0.4</v>
      </c>
      <c r="P139" s="367">
        <v>0.4</v>
      </c>
      <c r="Q139" s="268">
        <v>0.4</v>
      </c>
      <c r="R139" s="268">
        <v>0.4</v>
      </c>
      <c r="S139" s="274">
        <v>0.4</v>
      </c>
      <c r="T139" s="274">
        <v>0.4</v>
      </c>
      <c r="U139" s="274">
        <v>0.4</v>
      </c>
      <c r="V139" s="274">
        <v>0.4</v>
      </c>
      <c r="W139" s="274">
        <v>0.4</v>
      </c>
      <c r="X139" s="274">
        <v>0.4</v>
      </c>
      <c r="Y139" s="274">
        <v>0.4</v>
      </c>
      <c r="Z139" s="274">
        <v>0.4</v>
      </c>
      <c r="AA139" s="274">
        <v>0.5</v>
      </c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</row>
    <row r="140" spans="1:93">
      <c r="A140" s="195"/>
      <c r="B140" s="1039"/>
      <c r="C140" s="263" t="s">
        <v>105</v>
      </c>
      <c r="D140" s="589">
        <v>2.0909</v>
      </c>
      <c r="E140" s="593">
        <v>2.5304700000000002</v>
      </c>
      <c r="F140" s="589">
        <v>0.879</v>
      </c>
      <c r="G140" s="590">
        <v>0.4002</v>
      </c>
      <c r="H140" s="475">
        <v>1.839</v>
      </c>
      <c r="I140" s="476">
        <v>2.2509999999999999</v>
      </c>
      <c r="J140" s="476">
        <v>0.47299999999999998</v>
      </c>
      <c r="K140" s="477">
        <v>0.76400000000000001</v>
      </c>
      <c r="L140" s="518"/>
      <c r="M140" s="519">
        <v>1.9770000000000001</v>
      </c>
      <c r="N140" s="520">
        <v>0.95399999999999996</v>
      </c>
      <c r="O140" s="2124"/>
      <c r="P140" s="2361">
        <v>2.835</v>
      </c>
      <c r="Q140" s="2637">
        <v>2.7770000000000001</v>
      </c>
      <c r="R140" s="840"/>
      <c r="S140" s="388"/>
      <c r="T140" s="388"/>
      <c r="U140" s="388"/>
      <c r="V140" s="388"/>
      <c r="W140" s="388"/>
      <c r="X140" s="388">
        <v>1.8460000000000001</v>
      </c>
      <c r="Y140" s="388">
        <v>2.5369999999999999</v>
      </c>
      <c r="Z140" s="388"/>
      <c r="AA140" s="388">
        <v>1.2436666666666667</v>
      </c>
      <c r="AB140" s="61"/>
      <c r="AC140" s="61"/>
      <c r="AD140" s="165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</row>
    <row r="141" spans="1:93">
      <c r="A141" s="195"/>
      <c r="B141" s="1039"/>
      <c r="C141" s="106" t="s">
        <v>94</v>
      </c>
      <c r="D141" s="591">
        <v>0.17249999999999999</v>
      </c>
      <c r="E141" s="594">
        <v>0.72772999999999999</v>
      </c>
      <c r="F141" s="591">
        <v>0.39850000000000002</v>
      </c>
      <c r="G141" s="592">
        <v>0.16109999999999999</v>
      </c>
      <c r="H141" s="462">
        <v>0.23799999999999999</v>
      </c>
      <c r="I141" s="459">
        <v>0.253</v>
      </c>
      <c r="J141" s="459">
        <v>0.247</v>
      </c>
      <c r="K141" s="460">
        <v>0.20599999999999999</v>
      </c>
      <c r="L141" s="409">
        <v>0.24399999999999999</v>
      </c>
      <c r="M141" s="499">
        <v>0.127</v>
      </c>
      <c r="N141" s="521">
        <v>0.48899999999999999</v>
      </c>
      <c r="O141" s="847"/>
      <c r="P141" s="2294">
        <v>0.114</v>
      </c>
      <c r="Q141" s="2637">
        <v>1.0369999999999999</v>
      </c>
      <c r="R141" s="839"/>
      <c r="S141" s="319"/>
      <c r="T141" s="319"/>
      <c r="U141" s="319"/>
      <c r="V141" s="319"/>
      <c r="W141" s="319"/>
      <c r="X141" s="319">
        <v>0.40100000000000002</v>
      </c>
      <c r="Y141" s="319">
        <v>0.106</v>
      </c>
      <c r="Z141" s="319"/>
      <c r="AA141" s="319">
        <v>0.52166666666666661</v>
      </c>
      <c r="AB141" s="61"/>
      <c r="AC141" s="61"/>
      <c r="AD141" s="70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</row>
    <row r="142" spans="1:93">
      <c r="A142" s="195"/>
      <c r="B142" s="1039"/>
      <c r="C142" s="106" t="s">
        <v>166</v>
      </c>
      <c r="D142" s="586" t="s">
        <v>82</v>
      </c>
      <c r="E142" s="595" t="s">
        <v>82</v>
      </c>
      <c r="F142" s="586" t="s">
        <v>82</v>
      </c>
      <c r="G142" s="587" t="s">
        <v>82</v>
      </c>
      <c r="H142" s="462">
        <v>0.93300000000000005</v>
      </c>
      <c r="I142" s="459">
        <v>0.67900000000000005</v>
      </c>
      <c r="J142" s="459">
        <v>0.247</v>
      </c>
      <c r="K142" s="460">
        <v>0.47599999999999998</v>
      </c>
      <c r="L142" s="409">
        <v>1.4330000000000001</v>
      </c>
      <c r="M142" s="499"/>
      <c r="N142" s="521"/>
      <c r="O142" s="847"/>
      <c r="P142" s="2294"/>
      <c r="Q142" s="841"/>
      <c r="R142" s="839"/>
      <c r="S142" s="319"/>
      <c r="T142" s="319"/>
      <c r="U142" s="319"/>
      <c r="V142" s="319"/>
      <c r="W142" s="319"/>
      <c r="X142" s="319"/>
      <c r="Y142" s="319"/>
      <c r="Z142" s="319"/>
      <c r="AA142" s="319" t="e">
        <v>#DIV/0!</v>
      </c>
      <c r="AB142" s="61"/>
      <c r="AC142" s="61"/>
      <c r="AD142" s="70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</row>
    <row r="143" spans="1:93">
      <c r="A143" s="195"/>
      <c r="B143" s="1039"/>
      <c r="C143" s="106" t="s">
        <v>162</v>
      </c>
      <c r="D143" s="591">
        <v>0.38719999999999999</v>
      </c>
      <c r="E143" s="594">
        <v>0.33950000000000002</v>
      </c>
      <c r="F143" s="591">
        <v>0.25340000000000001</v>
      </c>
      <c r="G143" s="592">
        <v>0.29249999999999998</v>
      </c>
      <c r="H143" s="462">
        <v>0.24399999999999999</v>
      </c>
      <c r="I143" s="459">
        <v>0.32</v>
      </c>
      <c r="J143" s="459">
        <v>0.36099999999999999</v>
      </c>
      <c r="K143" s="460">
        <v>0.313</v>
      </c>
      <c r="L143" s="409">
        <v>0.38</v>
      </c>
      <c r="M143" s="499">
        <v>1.353</v>
      </c>
      <c r="N143" s="521">
        <v>0.40699999999999997</v>
      </c>
      <c r="O143" s="847"/>
      <c r="P143" s="2294">
        <v>0.67100000000000004</v>
      </c>
      <c r="Q143" s="2637">
        <v>0.371</v>
      </c>
      <c r="R143" s="839"/>
      <c r="S143" s="319"/>
      <c r="T143" s="319"/>
      <c r="U143" s="319"/>
      <c r="V143" s="319"/>
      <c r="W143" s="319"/>
      <c r="X143" s="319">
        <v>0.38800000000000001</v>
      </c>
      <c r="Y143" s="319">
        <v>0.30299999999999999</v>
      </c>
      <c r="Z143" s="319"/>
      <c r="AA143" s="319">
        <v>0.40933333333333333</v>
      </c>
      <c r="AB143" s="61"/>
      <c r="AC143" s="61"/>
      <c r="AD143" s="70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</row>
    <row r="144" spans="1:93">
      <c r="A144" s="195"/>
      <c r="B144" s="1039"/>
      <c r="C144" s="106" t="s">
        <v>101</v>
      </c>
      <c r="D144" s="591">
        <v>1.2767999999999999</v>
      </c>
      <c r="E144" s="594">
        <v>1.1947300000000001</v>
      </c>
      <c r="F144" s="591">
        <v>0.86219999999999997</v>
      </c>
      <c r="G144" s="592">
        <v>0.4929</v>
      </c>
      <c r="H144" s="462">
        <v>1.405</v>
      </c>
      <c r="I144" s="459">
        <v>1.232</v>
      </c>
      <c r="J144" s="459">
        <v>0.248</v>
      </c>
      <c r="K144" s="460">
        <v>1.3340000000000001</v>
      </c>
      <c r="L144" s="409">
        <v>1.2410000000000001</v>
      </c>
      <c r="M144" s="501">
        <v>1.31</v>
      </c>
      <c r="N144" s="521">
        <v>1.18</v>
      </c>
      <c r="O144" s="847"/>
      <c r="P144" s="2294">
        <v>1.482</v>
      </c>
      <c r="Q144" s="2637">
        <v>1.331</v>
      </c>
      <c r="R144" s="839"/>
      <c r="S144" s="319"/>
      <c r="T144" s="319"/>
      <c r="U144" s="319"/>
      <c r="V144" s="319"/>
      <c r="W144" s="319"/>
      <c r="X144" s="319">
        <v>1.61</v>
      </c>
      <c r="Y144" s="319">
        <v>1.083</v>
      </c>
      <c r="Z144" s="319"/>
      <c r="AA144" s="319">
        <v>1.0853333333333335</v>
      </c>
      <c r="AB144" s="61"/>
      <c r="AC144" s="61"/>
      <c r="AD144" s="95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</row>
    <row r="145" spans="1:105">
      <c r="A145" s="195"/>
      <c r="B145" s="1039"/>
      <c r="C145" s="106" t="s">
        <v>158</v>
      </c>
      <c r="D145" s="591">
        <v>2.9460000000000002</v>
      </c>
      <c r="E145" s="594">
        <v>2.3658700000000001</v>
      </c>
      <c r="F145" s="591">
        <v>1.3982000000000001</v>
      </c>
      <c r="G145" s="592">
        <v>0.62090000000000001</v>
      </c>
      <c r="H145" s="462">
        <v>1.883</v>
      </c>
      <c r="I145" s="459">
        <v>1.7190000000000001</v>
      </c>
      <c r="J145" s="459">
        <v>1.012</v>
      </c>
      <c r="K145" s="460">
        <v>1.889</v>
      </c>
      <c r="L145" s="409">
        <v>1.841</v>
      </c>
      <c r="M145" s="499">
        <v>1.506</v>
      </c>
      <c r="N145" s="521">
        <v>1.4650000000000001</v>
      </c>
      <c r="O145" s="847"/>
      <c r="P145" s="2294">
        <v>4.9000000000000002E-2</v>
      </c>
      <c r="Q145" s="2637">
        <v>2.1179999999999999</v>
      </c>
      <c r="R145" s="855"/>
      <c r="S145" s="319"/>
      <c r="T145" s="319"/>
      <c r="U145" s="319"/>
      <c r="V145" s="319"/>
      <c r="W145" s="319"/>
      <c r="X145" s="319">
        <v>2.15</v>
      </c>
      <c r="Y145" s="319">
        <v>2.1230000000000002</v>
      </c>
      <c r="Z145" s="319"/>
      <c r="AA145" s="319">
        <v>1.2553333333333334</v>
      </c>
      <c r="AB145" s="61"/>
      <c r="AC145" s="61"/>
      <c r="AD145" s="70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</row>
    <row r="146" spans="1:105">
      <c r="A146" s="195"/>
      <c r="B146" s="1039"/>
      <c r="C146" s="106" t="s">
        <v>97</v>
      </c>
      <c r="D146" s="591">
        <v>1.2428999999999999</v>
      </c>
      <c r="E146" s="594">
        <v>1.4509300000000001</v>
      </c>
      <c r="F146" s="591">
        <v>0.81499999999999995</v>
      </c>
      <c r="G146" s="592">
        <v>0.56940000000000002</v>
      </c>
      <c r="H146" s="462">
        <v>1.1160000000000001</v>
      </c>
      <c r="I146" s="459">
        <v>1.1299999999999999</v>
      </c>
      <c r="J146" s="459">
        <v>0.56299999999999994</v>
      </c>
      <c r="K146" s="460">
        <v>1.0780000000000001</v>
      </c>
      <c r="L146" s="409">
        <v>1.6890000000000001</v>
      </c>
      <c r="M146" s="499">
        <v>1.4730000000000001</v>
      </c>
      <c r="N146" s="521">
        <v>0.85099999999999998</v>
      </c>
      <c r="O146" s="847"/>
      <c r="P146" s="2294">
        <v>1.6619999999999999</v>
      </c>
      <c r="Q146" s="2637">
        <v>0.79400000000000004</v>
      </c>
      <c r="R146" s="855"/>
      <c r="S146" s="319"/>
      <c r="T146" s="319"/>
      <c r="U146" s="319"/>
      <c r="V146" s="319"/>
      <c r="W146" s="319"/>
      <c r="X146" s="319">
        <v>1.0029999999999999</v>
      </c>
      <c r="Y146" s="319">
        <v>0.86799999999999999</v>
      </c>
      <c r="Z146" s="319"/>
      <c r="AA146" s="319" t="e">
        <v>#DIV/0!</v>
      </c>
      <c r="AB146" s="61"/>
      <c r="AC146" s="61"/>
      <c r="AD146" s="70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</row>
    <row r="147" spans="1:105">
      <c r="A147" s="195"/>
      <c r="B147" s="1039"/>
      <c r="C147" s="106" t="s">
        <v>167</v>
      </c>
      <c r="D147" s="591">
        <v>1.5823</v>
      </c>
      <c r="E147" s="594">
        <v>1.10833</v>
      </c>
      <c r="F147" s="591">
        <v>0.54220000000000002</v>
      </c>
      <c r="G147" s="592">
        <v>0.495</v>
      </c>
      <c r="H147" s="462">
        <v>1.254</v>
      </c>
      <c r="I147" s="459">
        <v>0.83599999999999997</v>
      </c>
      <c r="J147" s="459">
        <v>0.42499999999999999</v>
      </c>
      <c r="K147" s="460">
        <v>0.49399999999999999</v>
      </c>
      <c r="L147" s="409">
        <v>1.704</v>
      </c>
      <c r="M147" s="499">
        <v>1.0980000000000001</v>
      </c>
      <c r="N147" s="521">
        <v>0.47499999999999998</v>
      </c>
      <c r="O147" s="847"/>
      <c r="P147" s="2294">
        <v>1.4159999999999999</v>
      </c>
      <c r="Q147" s="2637">
        <v>1.62</v>
      </c>
      <c r="R147" s="839"/>
      <c r="S147" s="319"/>
      <c r="T147" s="319"/>
      <c r="U147" s="319"/>
      <c r="V147" s="319"/>
      <c r="W147" s="319"/>
      <c r="X147" s="319">
        <v>0.77700000000000002</v>
      </c>
      <c r="Y147" s="319">
        <v>1.0449999999999999</v>
      </c>
      <c r="Z147" s="319"/>
      <c r="AA147" s="319">
        <v>0.77533333333333332</v>
      </c>
      <c r="AB147" s="61"/>
      <c r="AC147" s="61"/>
      <c r="AD147" s="70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/>
      <c r="CM147" s="61"/>
      <c r="CN147" s="61"/>
      <c r="CO147" s="61"/>
    </row>
    <row r="148" spans="1:105">
      <c r="A148" s="195"/>
      <c r="B148" s="1039"/>
      <c r="C148" s="106" t="s">
        <v>165</v>
      </c>
      <c r="D148" s="586" t="s">
        <v>82</v>
      </c>
      <c r="E148" s="595" t="s">
        <v>82</v>
      </c>
      <c r="F148" s="586" t="s">
        <v>82</v>
      </c>
      <c r="G148" s="587" t="s">
        <v>82</v>
      </c>
      <c r="H148" s="462">
        <v>0.245</v>
      </c>
      <c r="I148" s="596" t="s">
        <v>82</v>
      </c>
      <c r="J148" s="459">
        <v>0.34799999999999998</v>
      </c>
      <c r="K148" s="460">
        <v>0.35399999999999998</v>
      </c>
      <c r="L148" s="409"/>
      <c r="M148" s="410"/>
      <c r="N148" s="410">
        <v>0.39900000000000002</v>
      </c>
      <c r="O148" s="846"/>
      <c r="P148" s="2407"/>
      <c r="Q148" s="304"/>
      <c r="R148" s="304"/>
      <c r="S148" s="319"/>
      <c r="T148" s="319"/>
      <c r="U148" s="319"/>
      <c r="V148" s="319"/>
      <c r="W148" s="319"/>
      <c r="X148" s="319"/>
      <c r="Y148" s="319"/>
      <c r="Z148" s="319"/>
      <c r="AA148" s="319">
        <v>0.34399999999999997</v>
      </c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</row>
    <row r="149" spans="1:105">
      <c r="A149" s="195"/>
      <c r="B149" s="1039"/>
      <c r="C149" s="106" t="s">
        <v>87</v>
      </c>
      <c r="D149" s="591">
        <v>0.47289999999999999</v>
      </c>
      <c r="E149" s="594">
        <v>0.44436999999999999</v>
      </c>
      <c r="F149" s="591">
        <v>0.35549999999999998</v>
      </c>
      <c r="G149" s="592">
        <v>0.1721</v>
      </c>
      <c r="H149" s="462">
        <v>0.26</v>
      </c>
      <c r="I149" s="459">
        <v>0.441</v>
      </c>
      <c r="J149" s="459">
        <v>0.308</v>
      </c>
      <c r="K149" s="460">
        <v>0.161</v>
      </c>
      <c r="L149" s="409">
        <v>0.46600000000000003</v>
      </c>
      <c r="M149" s="410">
        <v>0.44400000000000001</v>
      </c>
      <c r="N149" s="410">
        <v>0.42399999999999999</v>
      </c>
      <c r="O149" s="846"/>
      <c r="P149" s="2407">
        <v>0.42799999999999999</v>
      </c>
      <c r="Q149" s="2637">
        <v>0.49299999999999999</v>
      </c>
      <c r="R149" s="304"/>
      <c r="S149" s="319"/>
      <c r="T149" s="319"/>
      <c r="U149" s="319"/>
      <c r="V149" s="319"/>
      <c r="W149" s="319"/>
      <c r="X149" s="319">
        <v>0.48899999999999999</v>
      </c>
      <c r="Y149" s="319">
        <v>0.505</v>
      </c>
      <c r="Z149" s="319"/>
      <c r="AA149" s="319">
        <v>0.4323333333333334</v>
      </c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</row>
    <row r="150" spans="1:105" ht="16.5" customHeight="1">
      <c r="A150" s="195"/>
      <c r="B150" s="1039"/>
      <c r="C150" s="1717" t="s">
        <v>435</v>
      </c>
      <c r="D150" s="1729">
        <v>2.4512999999999998</v>
      </c>
      <c r="E150" s="1730">
        <v>1.5132699999999999</v>
      </c>
      <c r="F150" s="1729">
        <v>0.97250000000000003</v>
      </c>
      <c r="G150" s="1731">
        <v>0.44869999999999999</v>
      </c>
      <c r="H150" s="1732">
        <v>0.64200000000000002</v>
      </c>
      <c r="I150" s="1704">
        <v>1.22</v>
      </c>
      <c r="J150" s="1704">
        <v>0.876</v>
      </c>
      <c r="K150" s="1705">
        <v>0.372</v>
      </c>
      <c r="L150" s="1715"/>
      <c r="M150" s="1707"/>
      <c r="N150" s="1707"/>
      <c r="O150" s="846"/>
      <c r="P150" s="2407">
        <v>0.72399999999999998</v>
      </c>
      <c r="Q150" s="2637">
        <v>1.5029999999999999</v>
      </c>
      <c r="R150" s="304"/>
      <c r="S150" s="319"/>
      <c r="T150" s="319"/>
      <c r="U150" s="319"/>
      <c r="V150" s="319"/>
      <c r="W150" s="319"/>
      <c r="X150" s="319">
        <v>1.173</v>
      </c>
      <c r="Y150" s="319">
        <v>1.1950000000000001</v>
      </c>
      <c r="Z150" s="319"/>
      <c r="AA150" s="319">
        <v>0.86599999999999999</v>
      </c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  <c r="CL150" s="61"/>
      <c r="CM150" s="61"/>
      <c r="CN150" s="61"/>
      <c r="CO150" s="61"/>
    </row>
    <row r="151" spans="1:105" s="3452" customFormat="1" ht="16.5" customHeight="1">
      <c r="A151" s="195"/>
      <c r="B151" s="1039"/>
      <c r="C151" s="1717" t="s">
        <v>436</v>
      </c>
      <c r="D151" s="1729"/>
      <c r="E151" s="1730"/>
      <c r="F151" s="1729"/>
      <c r="G151" s="1731"/>
      <c r="H151" s="1732"/>
      <c r="I151" s="1704"/>
      <c r="J151" s="1704"/>
      <c r="K151" s="1705"/>
      <c r="L151" s="1715"/>
      <c r="M151" s="1707"/>
      <c r="N151" s="1707"/>
      <c r="O151" s="846"/>
      <c r="P151" s="2407"/>
      <c r="Q151" s="2637"/>
      <c r="R151" s="304"/>
      <c r="S151" s="319"/>
      <c r="T151" s="319"/>
      <c r="U151" s="319"/>
      <c r="V151" s="319"/>
      <c r="W151" s="319"/>
      <c r="X151" s="319"/>
      <c r="Y151" s="319"/>
      <c r="Z151" s="319"/>
      <c r="AA151" s="319">
        <v>0.69</v>
      </c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</row>
    <row r="152" spans="1:105" s="4" customFormat="1">
      <c r="A152" s="195"/>
      <c r="B152" s="1039"/>
      <c r="C152" s="106" t="s">
        <v>95</v>
      </c>
      <c r="D152" s="591">
        <v>0.86529999999999996</v>
      </c>
      <c r="E152" s="594">
        <v>0.63956999999999997</v>
      </c>
      <c r="F152" s="591">
        <v>0.16900000000000001</v>
      </c>
      <c r="G152" s="592">
        <v>0.2427</v>
      </c>
      <c r="H152" s="462">
        <v>0.68500000000000005</v>
      </c>
      <c r="I152" s="459">
        <v>0.50900000000000001</v>
      </c>
      <c r="J152" s="459">
        <v>0.16200000000000001</v>
      </c>
      <c r="K152" s="460">
        <v>0.34300000000000003</v>
      </c>
      <c r="L152" s="409">
        <v>0.83199999999999996</v>
      </c>
      <c r="M152" s="410">
        <v>0.72099999999999997</v>
      </c>
      <c r="N152" s="410">
        <v>0.47199999999999998</v>
      </c>
      <c r="O152" s="846"/>
      <c r="P152" s="2407">
        <v>0.998</v>
      </c>
      <c r="Q152" s="2637">
        <v>1.1499999999999999</v>
      </c>
      <c r="R152" s="304"/>
      <c r="S152" s="319"/>
      <c r="T152" s="319"/>
      <c r="U152" s="319"/>
      <c r="V152" s="319"/>
      <c r="W152" s="319"/>
      <c r="X152" s="319">
        <v>0.78400000000000003</v>
      </c>
      <c r="Y152" s="319">
        <v>0.72799999999999998</v>
      </c>
      <c r="Z152" s="319"/>
      <c r="AA152" s="319">
        <v>0.36433333333333334</v>
      </c>
      <c r="AD152" s="61"/>
      <c r="BB152" s="83"/>
      <c r="BC152" s="83"/>
      <c r="BD152" s="83"/>
      <c r="BE152" s="83"/>
      <c r="BF152" s="83"/>
      <c r="BG152" s="83"/>
      <c r="BH152" s="83"/>
      <c r="BI152" s="83"/>
      <c r="BJ152" s="83"/>
      <c r="BK152" s="83"/>
      <c r="BL152" s="83"/>
      <c r="BM152" s="83"/>
      <c r="BN152" s="83"/>
      <c r="BO152" s="83"/>
      <c r="BP152" s="83"/>
      <c r="BQ152" s="83"/>
      <c r="BR152" s="83"/>
      <c r="BS152" s="83"/>
      <c r="BT152" s="83"/>
      <c r="BU152" s="83"/>
      <c r="BV152" s="83"/>
      <c r="CE152" s="83"/>
      <c r="CF152" s="83"/>
      <c r="CG152" s="83"/>
      <c r="CH152" s="83"/>
      <c r="CI152" s="83"/>
      <c r="CJ152" s="83"/>
      <c r="CK152" s="83"/>
      <c r="CL152" s="83"/>
      <c r="CM152" s="83"/>
      <c r="CN152" s="83"/>
      <c r="CO152" s="83"/>
      <c r="CP152" s="83"/>
      <c r="CQ152" s="83"/>
      <c r="CR152" s="83"/>
      <c r="CS152" s="83"/>
      <c r="CT152" s="83"/>
      <c r="CU152" s="83"/>
      <c r="CV152" s="83"/>
      <c r="CW152" s="83"/>
      <c r="CX152" s="83"/>
      <c r="CY152" s="83"/>
      <c r="CZ152" s="83"/>
      <c r="DA152" s="83"/>
    </row>
    <row r="153" spans="1:105" s="4" customFormat="1">
      <c r="A153" s="195"/>
      <c r="B153" s="1039"/>
      <c r="C153" s="1717" t="s">
        <v>437</v>
      </c>
      <c r="D153" s="1729">
        <v>1.9098999999999999</v>
      </c>
      <c r="E153" s="1730">
        <v>1.0903</v>
      </c>
      <c r="F153" s="1729">
        <v>0.78120000000000001</v>
      </c>
      <c r="G153" s="1731">
        <v>0.88200000000000001</v>
      </c>
      <c r="H153" s="1732">
        <v>1.4179999999999999</v>
      </c>
      <c r="I153" s="1704">
        <v>1.6759999999999999</v>
      </c>
      <c r="J153" s="1704">
        <v>0.78400000000000003</v>
      </c>
      <c r="K153" s="1705">
        <v>1.1060000000000001</v>
      </c>
      <c r="L153" s="1715">
        <v>1.1459999999999999</v>
      </c>
      <c r="M153" s="1707"/>
      <c r="N153" s="1707"/>
      <c r="O153" s="846"/>
      <c r="P153" s="2407">
        <v>0.59199999999999997</v>
      </c>
      <c r="Q153" s="304">
        <v>1.454</v>
      </c>
      <c r="R153"/>
      <c r="S153" s="319"/>
      <c r="T153" s="319"/>
      <c r="U153" s="319"/>
      <c r="V153" s="319"/>
      <c r="W153" s="319"/>
      <c r="X153" s="319">
        <v>0.92500000000000004</v>
      </c>
      <c r="Y153" s="319">
        <v>0.98399999999999999</v>
      </c>
      <c r="Z153" s="319"/>
      <c r="AA153" s="319">
        <v>1.4563333333333333</v>
      </c>
      <c r="AD153" s="61"/>
      <c r="BB153" s="83"/>
      <c r="BC153" s="83"/>
      <c r="BD153" s="83"/>
      <c r="BE153" s="83"/>
      <c r="BF153" s="83"/>
      <c r="BG153" s="83"/>
      <c r="BH153" s="83"/>
      <c r="BI153" s="83"/>
      <c r="BJ153" s="83"/>
      <c r="BK153" s="83"/>
      <c r="BL153" s="83"/>
      <c r="BM153" s="83"/>
      <c r="BN153" s="83"/>
      <c r="BO153" s="83"/>
      <c r="BP153" s="83"/>
      <c r="BQ153" s="83"/>
      <c r="BR153" s="83"/>
      <c r="BS153" s="83"/>
      <c r="BT153" s="83"/>
      <c r="BU153" s="83"/>
      <c r="BV153" s="83"/>
      <c r="CE153" s="83"/>
      <c r="CF153" s="83"/>
      <c r="CG153" s="83"/>
      <c r="CH153" s="83"/>
      <c r="CI153" s="83"/>
      <c r="CJ153" s="83"/>
      <c r="CK153" s="83"/>
      <c r="CL153" s="83"/>
      <c r="CM153" s="83"/>
      <c r="CN153" s="83"/>
      <c r="CO153" s="83"/>
      <c r="CP153" s="83"/>
      <c r="CQ153" s="83"/>
      <c r="CR153" s="83"/>
      <c r="CS153" s="83"/>
      <c r="CT153" s="83"/>
      <c r="CU153" s="83"/>
      <c r="CV153" s="83"/>
      <c r="CW153" s="83"/>
      <c r="CX153" s="83"/>
      <c r="CY153" s="83"/>
      <c r="CZ153" s="83"/>
      <c r="DA153" s="83"/>
    </row>
    <row r="154" spans="1:105" s="4" customFormat="1">
      <c r="A154" s="195"/>
      <c r="B154" s="1039"/>
      <c r="C154" s="1717" t="s">
        <v>438</v>
      </c>
      <c r="D154" s="1729"/>
      <c r="E154" s="1730"/>
      <c r="F154" s="1729"/>
      <c r="G154" s="1731"/>
      <c r="H154" s="1732"/>
      <c r="I154" s="1704"/>
      <c r="J154" s="1704"/>
      <c r="K154" s="1705"/>
      <c r="L154" s="1715"/>
      <c r="M154" s="1707"/>
      <c r="N154" s="1707"/>
      <c r="O154" s="846"/>
      <c r="P154" s="2407"/>
      <c r="Q154" s="61"/>
      <c r="R154" s="3452"/>
      <c r="S154" s="319"/>
      <c r="T154" s="319"/>
      <c r="U154" s="319"/>
      <c r="V154" s="319"/>
      <c r="W154" s="319"/>
      <c r="X154" s="319"/>
      <c r="Y154" s="319"/>
      <c r="Z154" s="319"/>
      <c r="AA154" s="319">
        <v>1.4206666666666665</v>
      </c>
      <c r="AD154" s="61"/>
      <c r="BB154" s="83"/>
      <c r="BC154" s="83"/>
      <c r="BD154" s="83"/>
      <c r="BE154" s="83"/>
      <c r="BF154" s="83"/>
      <c r="BG154" s="83"/>
      <c r="BH154" s="83"/>
      <c r="BI154" s="83"/>
      <c r="BJ154" s="83"/>
      <c r="BK154" s="83"/>
      <c r="BL154" s="83"/>
      <c r="BM154" s="83"/>
      <c r="BN154" s="83"/>
      <c r="BO154" s="83"/>
      <c r="BP154" s="83"/>
      <c r="BQ154" s="83"/>
      <c r="BR154" s="83"/>
      <c r="BS154" s="83"/>
      <c r="BT154" s="83"/>
      <c r="BU154" s="83"/>
      <c r="BV154" s="83"/>
      <c r="CE154" s="83"/>
      <c r="CF154" s="83"/>
      <c r="CG154" s="83"/>
      <c r="CH154" s="83"/>
      <c r="CI154" s="83"/>
      <c r="CJ154" s="83"/>
      <c r="CK154" s="83"/>
      <c r="CL154" s="83"/>
      <c r="CM154" s="83"/>
      <c r="CN154" s="83"/>
      <c r="CO154" s="83"/>
      <c r="CP154" s="83"/>
      <c r="CQ154" s="83"/>
      <c r="CR154" s="83"/>
      <c r="CS154" s="83"/>
      <c r="CT154" s="83"/>
      <c r="CU154" s="83"/>
      <c r="CV154" s="83"/>
      <c r="CW154" s="83"/>
      <c r="CX154" s="83"/>
      <c r="CY154" s="83"/>
      <c r="CZ154" s="83"/>
      <c r="DA154" s="83"/>
    </row>
    <row r="155" spans="1:105" s="4" customFormat="1">
      <c r="A155" s="195"/>
      <c r="B155" s="1039"/>
      <c r="C155" s="106" t="s">
        <v>164</v>
      </c>
      <c r="D155" s="591">
        <v>6.9000000000000006E-2</v>
      </c>
      <c r="E155" s="594">
        <v>6.0929999999999998E-2</v>
      </c>
      <c r="F155" s="591">
        <v>0.21690000000000001</v>
      </c>
      <c r="G155" s="592">
        <v>3.2000000000000001E-2</v>
      </c>
      <c r="H155" s="462">
        <v>6.8000000000000005E-2</v>
      </c>
      <c r="I155" s="459">
        <v>8.3000000000000004E-2</v>
      </c>
      <c r="J155" s="459">
        <v>5.0999999999999997E-2</v>
      </c>
      <c r="K155" s="460">
        <v>5.1999999999999998E-2</v>
      </c>
      <c r="L155" s="409">
        <v>8.1000000000000003E-2</v>
      </c>
      <c r="M155" s="410">
        <v>0.11600000000000001</v>
      </c>
      <c r="N155" s="410">
        <v>0.16</v>
      </c>
      <c r="O155" s="846"/>
      <c r="P155" s="2407">
        <v>9.0999999999999998E-2</v>
      </c>
      <c r="Q155" s="2637">
        <v>0.113</v>
      </c>
      <c r="R155" s="304"/>
      <c r="S155" s="319"/>
      <c r="T155" s="319"/>
      <c r="U155" s="319"/>
      <c r="V155" s="319"/>
      <c r="W155" s="319"/>
      <c r="X155" s="319">
        <v>5.5E-2</v>
      </c>
      <c r="Y155" s="319">
        <v>0.13800000000000001</v>
      </c>
      <c r="Z155" s="319"/>
      <c r="AA155" s="319">
        <v>4.5666666666666668E-2</v>
      </c>
      <c r="AD155" s="61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CE155" s="83"/>
      <c r="CF155" s="83"/>
      <c r="CG155" s="83"/>
      <c r="CH155" s="83"/>
      <c r="CI155" s="83"/>
      <c r="CJ155" s="83"/>
      <c r="CK155" s="83"/>
      <c r="CL155" s="83"/>
      <c r="CM155" s="83"/>
      <c r="CN155" s="83"/>
      <c r="CO155" s="83"/>
      <c r="CP155" s="83"/>
      <c r="CQ155" s="83"/>
      <c r="CR155" s="83"/>
      <c r="CS155" s="83"/>
      <c r="CT155" s="83"/>
      <c r="CU155" s="83"/>
      <c r="CV155" s="83"/>
      <c r="CW155" s="83"/>
      <c r="CX155" s="83"/>
      <c r="CY155" s="83"/>
      <c r="CZ155" s="83"/>
      <c r="DA155" s="83"/>
    </row>
    <row r="156" spans="1:105" ht="16.5" customHeight="1">
      <c r="A156" s="195"/>
      <c r="B156" s="1039"/>
      <c r="C156" s="1717" t="s">
        <v>439</v>
      </c>
      <c r="D156" s="1729">
        <v>8.9300000000000004E-2</v>
      </c>
      <c r="E156" s="1730">
        <v>7.7729999999999994E-2</v>
      </c>
      <c r="F156" s="1729">
        <v>6.4799999999999996E-2</v>
      </c>
      <c r="G156" s="1731">
        <v>3.9199999999999999E-2</v>
      </c>
      <c r="H156" s="1732">
        <v>6.0999999999999999E-2</v>
      </c>
      <c r="I156" s="1704">
        <v>0.107</v>
      </c>
      <c r="J156" s="1704">
        <v>0.09</v>
      </c>
      <c r="K156" s="1705">
        <v>6.3E-2</v>
      </c>
      <c r="L156" s="1715">
        <v>0.106</v>
      </c>
      <c r="M156" s="1707"/>
      <c r="N156" s="1707"/>
      <c r="O156" s="846"/>
      <c r="P156" s="2407">
        <v>8.5999999999999993E-2</v>
      </c>
      <c r="Q156" s="304">
        <v>0.18</v>
      </c>
      <c r="R156" s="304"/>
      <c r="S156" s="319"/>
      <c r="T156" s="319"/>
      <c r="U156" s="319"/>
      <c r="V156" s="319"/>
      <c r="W156" s="319"/>
      <c r="X156" s="319">
        <v>6.2300000000000001E-2</v>
      </c>
      <c r="Y156" s="319">
        <v>0.10299999999999999</v>
      </c>
      <c r="Z156" s="319"/>
      <c r="AA156" s="319">
        <v>0.10966666666666668</v>
      </c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</row>
    <row r="157" spans="1:105" s="3452" customFormat="1" ht="16.5" customHeight="1">
      <c r="A157" s="195"/>
      <c r="B157" s="1039"/>
      <c r="C157" s="1717" t="s">
        <v>440</v>
      </c>
      <c r="D157" s="1729"/>
      <c r="E157" s="1730"/>
      <c r="F157" s="1729"/>
      <c r="G157" s="1731"/>
      <c r="H157" s="1732"/>
      <c r="I157" s="1704"/>
      <c r="J157" s="1704"/>
      <c r="K157" s="1705"/>
      <c r="L157" s="1715"/>
      <c r="M157" s="1707"/>
      <c r="N157" s="1707"/>
      <c r="O157" s="846"/>
      <c r="P157" s="2407"/>
      <c r="Q157" s="61"/>
      <c r="R157" s="304"/>
      <c r="S157" s="319"/>
      <c r="T157" s="319"/>
      <c r="U157" s="319"/>
      <c r="V157" s="319"/>
      <c r="W157" s="319"/>
      <c r="X157" s="319"/>
      <c r="Y157" s="319"/>
      <c r="Z157" s="319"/>
      <c r="AA157" s="319">
        <v>8.7000000000000008E-2</v>
      </c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  <c r="CM157" s="61"/>
      <c r="CN157" s="61"/>
      <c r="CO157" s="61"/>
    </row>
    <row r="158" spans="1:105" ht="16.5" customHeight="1">
      <c r="A158" s="195"/>
      <c r="B158" s="1039"/>
      <c r="C158" s="106" t="s">
        <v>90</v>
      </c>
      <c r="D158" s="591">
        <v>0.12139999999999999</v>
      </c>
      <c r="E158" s="594">
        <v>0.20277000000000001</v>
      </c>
      <c r="F158" s="591">
        <v>0.15379999999999999</v>
      </c>
      <c r="G158" s="592">
        <v>9.06E-2</v>
      </c>
      <c r="H158" s="462">
        <v>0.35</v>
      </c>
      <c r="I158" s="459">
        <v>0.16600000000000001</v>
      </c>
      <c r="J158" s="459">
        <v>0.217</v>
      </c>
      <c r="K158" s="460">
        <v>0.11600000000000001</v>
      </c>
      <c r="L158" s="409">
        <v>0.217</v>
      </c>
      <c r="M158" s="410">
        <v>0.19900000000000001</v>
      </c>
      <c r="N158" s="410">
        <v>0.31</v>
      </c>
      <c r="O158" s="846"/>
      <c r="P158" s="2407">
        <v>0.2</v>
      </c>
      <c r="Q158" s="2637">
        <v>0.26600000000000001</v>
      </c>
      <c r="R158" s="304"/>
      <c r="S158" s="319"/>
      <c r="T158" s="319"/>
      <c r="U158" s="319"/>
      <c r="V158" s="319"/>
      <c r="W158" s="319"/>
      <c r="X158" s="319">
        <v>0.17100000000000001</v>
      </c>
      <c r="Y158" s="319">
        <v>0.15</v>
      </c>
      <c r="Z158" s="319"/>
      <c r="AA158" s="319">
        <v>0.18300000000000002</v>
      </c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</row>
    <row r="159" spans="1:105" ht="16.5" customHeight="1">
      <c r="A159" s="195"/>
      <c r="B159" s="1039"/>
      <c r="C159" s="106" t="s">
        <v>92</v>
      </c>
      <c r="D159" s="591">
        <v>0.16089999999999999</v>
      </c>
      <c r="E159" s="594">
        <v>0.4768</v>
      </c>
      <c r="F159" s="591">
        <v>0.3891</v>
      </c>
      <c r="G159" s="592">
        <v>0.2651</v>
      </c>
      <c r="H159" s="462">
        <v>0.48399999999999999</v>
      </c>
      <c r="I159" s="459">
        <v>0.26600000000000001</v>
      </c>
      <c r="J159" s="459">
        <v>0.17299999999999999</v>
      </c>
      <c r="K159" s="460">
        <v>0.25700000000000001</v>
      </c>
      <c r="L159" s="409">
        <v>0.16500000000000001</v>
      </c>
      <c r="M159" s="410">
        <v>0.25600000000000001</v>
      </c>
      <c r="N159" s="410">
        <v>0.45800000000000002</v>
      </c>
      <c r="O159" s="846"/>
      <c r="P159" s="2407">
        <v>0.20899999999999999</v>
      </c>
      <c r="Q159" s="2637">
        <v>0.218</v>
      </c>
      <c r="R159" s="304"/>
      <c r="S159" s="319"/>
      <c r="T159" s="319"/>
      <c r="U159" s="319"/>
      <c r="V159" s="319"/>
      <c r="W159" s="319"/>
      <c r="X159" s="319">
        <v>0.38200000000000001</v>
      </c>
      <c r="Y159" s="319">
        <v>0.33400000000000002</v>
      </c>
      <c r="Z159" s="319"/>
      <c r="AA159" s="319">
        <v>0.38066666666666665</v>
      </c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</row>
    <row r="160" spans="1:105">
      <c r="A160" s="195"/>
      <c r="B160" s="1039"/>
      <c r="C160" s="106" t="s">
        <v>160</v>
      </c>
      <c r="D160" s="591">
        <v>0.42209999999999998</v>
      </c>
      <c r="E160" s="594">
        <v>0.69396999999999998</v>
      </c>
      <c r="F160" s="591">
        <v>0.5121</v>
      </c>
      <c r="G160" s="592">
        <v>0.22650000000000001</v>
      </c>
      <c r="H160" s="462">
        <v>0.50800000000000001</v>
      </c>
      <c r="I160" s="459">
        <v>0.48199999999999998</v>
      </c>
      <c r="J160" s="459">
        <v>0.48399999999999999</v>
      </c>
      <c r="K160" s="460">
        <v>0.51800000000000002</v>
      </c>
      <c r="L160" s="409">
        <v>0.621</v>
      </c>
      <c r="M160" s="410">
        <v>0.309</v>
      </c>
      <c r="N160" s="410">
        <v>0.33300000000000002</v>
      </c>
      <c r="O160" s="846"/>
      <c r="P160" s="2407">
        <v>0.49399999999999999</v>
      </c>
      <c r="Q160" s="2637">
        <v>0.53400000000000003</v>
      </c>
      <c r="R160" s="304"/>
      <c r="S160" s="319"/>
      <c r="T160" s="319"/>
      <c r="U160" s="319"/>
      <c r="V160" s="319"/>
      <c r="W160" s="319"/>
      <c r="X160" s="319">
        <v>0.40400000000000003</v>
      </c>
      <c r="Y160" s="319">
        <v>0.60299999999999998</v>
      </c>
      <c r="Z160" s="319"/>
      <c r="AA160" s="319">
        <v>0.53400000000000003</v>
      </c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</row>
    <row r="161" spans="1:93">
      <c r="A161" s="195"/>
      <c r="B161" s="1039"/>
      <c r="C161" s="106" t="s">
        <v>161</v>
      </c>
      <c r="D161" s="591">
        <v>0.83699999999999997</v>
      </c>
      <c r="E161" s="594">
        <v>0.84216999999999997</v>
      </c>
      <c r="F161" s="591">
        <v>0.71360000000000001</v>
      </c>
      <c r="G161" s="592">
        <v>0.5514</v>
      </c>
      <c r="H161" s="462">
        <v>0.63700000000000001</v>
      </c>
      <c r="I161" s="459">
        <v>0.58599999999999997</v>
      </c>
      <c r="J161" s="459">
        <v>0.54100000000000004</v>
      </c>
      <c r="K161" s="460">
        <v>0.56999999999999995</v>
      </c>
      <c r="L161" s="409">
        <v>0.63800000000000001</v>
      </c>
      <c r="M161" s="410">
        <v>0.71499999999999997</v>
      </c>
      <c r="N161" s="410">
        <v>0.65500000000000003</v>
      </c>
      <c r="O161" s="846"/>
      <c r="P161" s="2407">
        <v>0.67</v>
      </c>
      <c r="Q161" s="2637">
        <v>0.53400000000000003</v>
      </c>
      <c r="R161" s="304"/>
      <c r="S161" s="319"/>
      <c r="T161" s="319"/>
      <c r="U161" s="319"/>
      <c r="V161" s="319"/>
      <c r="W161" s="319"/>
      <c r="X161" s="319">
        <v>0.81200000000000006</v>
      </c>
      <c r="Y161" s="319">
        <v>0.94299999999999995</v>
      </c>
      <c r="Z161" s="319"/>
      <c r="AA161" s="319">
        <v>0.80000000000000016</v>
      </c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</row>
    <row r="162" spans="1:93">
      <c r="A162" s="195"/>
      <c r="B162" s="1039"/>
      <c r="C162" s="106" t="s">
        <v>159</v>
      </c>
      <c r="D162" s="591">
        <v>3.6726999999999999</v>
      </c>
      <c r="E162" s="594">
        <v>2.0547300000000002</v>
      </c>
      <c r="F162" s="591">
        <v>1.3614999999999999</v>
      </c>
      <c r="G162" s="592">
        <v>0.63439999999999996</v>
      </c>
      <c r="H162" s="462">
        <v>1.83</v>
      </c>
      <c r="I162" s="459">
        <v>1.9019999999999999</v>
      </c>
      <c r="J162" s="459">
        <v>0.70199999999999996</v>
      </c>
      <c r="K162" s="460">
        <v>1.752</v>
      </c>
      <c r="L162" s="409">
        <v>1.901</v>
      </c>
      <c r="M162" s="410">
        <v>2.0299999999999998</v>
      </c>
      <c r="N162" s="410">
        <v>1.111</v>
      </c>
      <c r="O162" s="846"/>
      <c r="P162" s="2407"/>
      <c r="Q162" s="2637">
        <v>1.4910000000000001</v>
      </c>
      <c r="R162" s="304"/>
      <c r="S162" s="319"/>
      <c r="T162" s="319"/>
      <c r="U162" s="319"/>
      <c r="V162" s="319"/>
      <c r="W162" s="319"/>
      <c r="X162" s="319">
        <v>1.829</v>
      </c>
      <c r="Y162" s="319">
        <v>1.446</v>
      </c>
      <c r="Z162" s="319"/>
      <c r="AA162" s="319">
        <v>1.7506666666666668</v>
      </c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</row>
    <row r="163" spans="1:93">
      <c r="A163" s="195"/>
      <c r="B163" s="1039"/>
      <c r="C163" s="106" t="s">
        <v>89</v>
      </c>
      <c r="D163" s="591">
        <v>9.5200000000000007E-2</v>
      </c>
      <c r="E163" s="594">
        <v>9.0929999999999997E-2</v>
      </c>
      <c r="F163" s="591">
        <v>0.1245</v>
      </c>
      <c r="G163" s="592">
        <v>5.6399999999999999E-2</v>
      </c>
      <c r="H163" s="462">
        <v>8.5000000000000006E-2</v>
      </c>
      <c r="I163" s="459">
        <v>0.10100000000000001</v>
      </c>
      <c r="J163" s="459">
        <v>0.13300000000000001</v>
      </c>
      <c r="K163" s="460">
        <v>6.8000000000000005E-2</v>
      </c>
      <c r="L163" s="409">
        <v>8.7999999999999995E-2</v>
      </c>
      <c r="M163" s="410">
        <v>0.108</v>
      </c>
      <c r="N163" s="410">
        <v>0.08</v>
      </c>
      <c r="O163" s="846"/>
      <c r="P163" s="2407">
        <v>0.53500000000000003</v>
      </c>
      <c r="Q163" s="2637">
        <v>0.19600000000000001</v>
      </c>
      <c r="R163" s="304"/>
      <c r="S163" s="319"/>
      <c r="T163" s="319"/>
      <c r="U163" s="319"/>
      <c r="V163" s="319"/>
      <c r="W163" s="319"/>
      <c r="X163" s="319">
        <v>9.7500000000000003E-2</v>
      </c>
      <c r="Y163" s="319">
        <v>0.26100000000000001</v>
      </c>
      <c r="Z163" s="319"/>
      <c r="AA163" s="319">
        <v>0.27199999999999996</v>
      </c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</row>
    <row r="164" spans="1:93" ht="16.5" customHeight="1">
      <c r="A164" s="195"/>
      <c r="B164" s="1039"/>
      <c r="C164" s="106" t="s">
        <v>163</v>
      </c>
      <c r="D164" s="51">
        <v>0.24679999999999999</v>
      </c>
      <c r="E164" s="51">
        <v>0.34203</v>
      </c>
      <c r="F164" s="51">
        <v>0.43</v>
      </c>
      <c r="G164" s="316">
        <v>0.26650000000000001</v>
      </c>
      <c r="H164" s="1774">
        <v>0.35399999999999998</v>
      </c>
      <c r="I164" s="42">
        <v>0.27700000000000002</v>
      </c>
      <c r="J164" s="42">
        <v>0.34499999999999997</v>
      </c>
      <c r="K164" s="641">
        <v>0.33500000000000002</v>
      </c>
      <c r="L164" s="393">
        <v>0.34799999999999998</v>
      </c>
      <c r="M164" s="394">
        <v>0.38</v>
      </c>
      <c r="N164" s="394">
        <v>0.47199999999999998</v>
      </c>
      <c r="O164" s="846"/>
      <c r="P164" s="2407">
        <v>0.254</v>
      </c>
      <c r="Q164" s="2637">
        <v>0.32800000000000001</v>
      </c>
      <c r="R164" s="304"/>
      <c r="S164" s="319"/>
      <c r="T164" s="319"/>
      <c r="U164" s="319"/>
      <c r="V164" s="319"/>
      <c r="W164" s="319"/>
      <c r="X164" s="319">
        <v>0.29299999999999998</v>
      </c>
      <c r="Y164" s="319">
        <v>0.18</v>
      </c>
      <c r="Z164" s="319"/>
      <c r="AA164" s="319">
        <v>0.43500000000000005</v>
      </c>
      <c r="AB164" s="38"/>
      <c r="AC164" s="40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</row>
    <row r="165" spans="1:93">
      <c r="A165" s="195"/>
      <c r="B165" s="1039"/>
      <c r="C165" s="1717" t="s">
        <v>441</v>
      </c>
      <c r="D165" s="1775">
        <v>0.1166</v>
      </c>
      <c r="E165" s="1775">
        <v>9.5130000000000006E-2</v>
      </c>
      <c r="F165" s="1775">
        <v>4.8500000000000001E-2</v>
      </c>
      <c r="G165" s="1776">
        <v>3.73E-2</v>
      </c>
      <c r="H165" s="1777">
        <v>4.5999999999999999E-2</v>
      </c>
      <c r="I165" s="1759">
        <v>0.104</v>
      </c>
      <c r="J165" s="1759">
        <v>0.06</v>
      </c>
      <c r="K165" s="1760">
        <v>7.1999999999999995E-2</v>
      </c>
      <c r="L165" s="1764">
        <v>0.106</v>
      </c>
      <c r="M165" s="1765"/>
      <c r="N165" s="1765"/>
      <c r="O165" s="846"/>
      <c r="P165" s="2407">
        <v>6.6000000000000003E-2</v>
      </c>
      <c r="Q165" s="2637">
        <v>0.154</v>
      </c>
      <c r="R165" s="304"/>
      <c r="S165" s="319"/>
      <c r="T165" s="319"/>
      <c r="U165" s="319"/>
      <c r="V165" s="319"/>
      <c r="W165" s="319"/>
      <c r="X165" s="319">
        <v>8.5999999999999993E-2</v>
      </c>
      <c r="Y165" s="319">
        <v>0.12</v>
      </c>
      <c r="Z165" s="319"/>
      <c r="AA165" s="319">
        <v>0.15066666666666664</v>
      </c>
      <c r="AB165" s="189"/>
      <c r="AC165" s="189"/>
      <c r="AD165" s="61"/>
      <c r="AE165" s="44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</row>
    <row r="166" spans="1:93" s="3452" customFormat="1">
      <c r="A166" s="195"/>
      <c r="B166" s="1039"/>
      <c r="C166" s="1717" t="s">
        <v>442</v>
      </c>
      <c r="D166" s="1775"/>
      <c r="E166" s="1775"/>
      <c r="F166" s="1775"/>
      <c r="G166" s="1776"/>
      <c r="H166" s="1777"/>
      <c r="I166" s="1759"/>
      <c r="J166" s="1759"/>
      <c r="K166" s="1760"/>
      <c r="L166" s="1764"/>
      <c r="M166" s="1765"/>
      <c r="N166" s="1765"/>
      <c r="O166" s="846"/>
      <c r="P166" s="2407"/>
      <c r="Q166" s="2637"/>
      <c r="R166" s="304"/>
      <c r="S166" s="319"/>
      <c r="T166" s="319"/>
      <c r="U166" s="319"/>
      <c r="V166" s="319"/>
      <c r="W166" s="319"/>
      <c r="X166" s="319"/>
      <c r="Y166" s="319"/>
      <c r="Z166" s="319"/>
      <c r="AA166" s="319">
        <v>0.11666666666666668</v>
      </c>
      <c r="AB166" s="189"/>
      <c r="AC166" s="189"/>
      <c r="AD166" s="61"/>
      <c r="AE166" s="44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</row>
    <row r="167" spans="1:93">
      <c r="A167" s="195"/>
      <c r="B167" s="1039"/>
      <c r="C167" s="1717" t="s">
        <v>443</v>
      </c>
      <c r="D167" s="1775">
        <v>3.7081</v>
      </c>
      <c r="E167" s="1775">
        <v>1.2807299999999999</v>
      </c>
      <c r="F167" s="1775">
        <v>1.1533</v>
      </c>
      <c r="G167" s="1776">
        <v>0.39950000000000002</v>
      </c>
      <c r="H167" s="1777">
        <v>0.80400000000000005</v>
      </c>
      <c r="I167" s="1759">
        <v>1.103</v>
      </c>
      <c r="J167" s="1759">
        <v>0.316</v>
      </c>
      <c r="K167" s="1760">
        <v>0.998</v>
      </c>
      <c r="L167" s="1764">
        <v>1.286</v>
      </c>
      <c r="M167" s="1765"/>
      <c r="N167" s="1765"/>
      <c r="O167" s="846"/>
      <c r="P167" s="2407">
        <v>0.86899999999999999</v>
      </c>
      <c r="Q167" s="2637">
        <v>2.2400000000000002</v>
      </c>
      <c r="R167" s="304"/>
      <c r="S167" s="319"/>
      <c r="T167" s="319"/>
      <c r="U167" s="319"/>
      <c r="V167" s="319"/>
      <c r="W167" s="319"/>
      <c r="X167" s="319">
        <v>0.82599999999999996</v>
      </c>
      <c r="Y167" s="319">
        <v>0.40799999999999997</v>
      </c>
      <c r="Z167" s="319"/>
      <c r="AA167" s="319">
        <v>0.77600000000000013</v>
      </c>
      <c r="AB167" s="189"/>
      <c r="AC167" s="189"/>
      <c r="AD167" s="61"/>
      <c r="AE167" s="44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</row>
    <row r="168" spans="1:93" s="3452" customFormat="1">
      <c r="A168" s="195"/>
      <c r="B168" s="1039"/>
      <c r="C168" s="1717" t="s">
        <v>444</v>
      </c>
      <c r="D168" s="1775"/>
      <c r="E168" s="1775"/>
      <c r="F168" s="1775"/>
      <c r="G168" s="1776"/>
      <c r="H168" s="1777"/>
      <c r="I168" s="1759"/>
      <c r="J168" s="1759"/>
      <c r="K168" s="1760"/>
      <c r="L168" s="1764"/>
      <c r="M168" s="1765"/>
      <c r="N168" s="1765"/>
      <c r="O168" s="846"/>
      <c r="P168" s="2407"/>
      <c r="Q168" s="2637"/>
      <c r="R168" s="304"/>
      <c r="S168" s="319"/>
      <c r="T168" s="319"/>
      <c r="U168" s="319"/>
      <c r="V168" s="319"/>
      <c r="W168" s="319"/>
      <c r="X168" s="319"/>
      <c r="Y168" s="319"/>
      <c r="Z168" s="319"/>
      <c r="AA168" s="319">
        <v>0.83199999999999996</v>
      </c>
      <c r="AB168" s="189"/>
      <c r="AC168" s="189"/>
      <c r="AD168" s="61"/>
      <c r="AE168" s="44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</row>
    <row r="169" spans="1:93" s="3452" customFormat="1">
      <c r="A169" s="195"/>
      <c r="B169" s="1039"/>
      <c r="C169" s="1717" t="s">
        <v>445</v>
      </c>
      <c r="D169" s="1775"/>
      <c r="E169" s="1775"/>
      <c r="F169" s="1775"/>
      <c r="G169" s="1776"/>
      <c r="H169" s="1777"/>
      <c r="I169" s="1759"/>
      <c r="J169" s="1759"/>
      <c r="K169" s="1760"/>
      <c r="L169" s="1764"/>
      <c r="M169" s="1765"/>
      <c r="N169" s="1765"/>
      <c r="O169" s="846"/>
      <c r="P169" s="2407"/>
      <c r="Q169" s="2637"/>
      <c r="R169" s="304"/>
      <c r="S169" s="319"/>
      <c r="T169" s="319"/>
      <c r="U169" s="319"/>
      <c r="V169" s="319"/>
      <c r="W169" s="319"/>
      <c r="X169" s="319"/>
      <c r="Y169" s="319"/>
      <c r="Z169" s="319"/>
      <c r="AA169" s="319">
        <v>0.70000000000000007</v>
      </c>
      <c r="AB169" s="189"/>
      <c r="AC169" s="189"/>
      <c r="AD169" s="61"/>
      <c r="AE169" s="44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</row>
    <row r="170" spans="1:93">
      <c r="A170" s="195"/>
      <c r="B170" s="1039"/>
      <c r="C170" s="1717" t="s">
        <v>91</v>
      </c>
      <c r="D170" s="1775">
        <v>0.37259999999999999</v>
      </c>
      <c r="E170" s="1775">
        <v>0.26567000000000002</v>
      </c>
      <c r="F170" s="1775">
        <v>0.36680000000000001</v>
      </c>
      <c r="G170" s="1776">
        <v>0.17580000000000001</v>
      </c>
      <c r="H170" s="1777">
        <v>0.253</v>
      </c>
      <c r="I170" s="1759">
        <v>0.28799999999999998</v>
      </c>
      <c r="J170" s="1759">
        <v>0.14899999999999999</v>
      </c>
      <c r="K170" s="1760">
        <v>0.14000000000000001</v>
      </c>
      <c r="L170" s="1764">
        <v>0.16800000000000001</v>
      </c>
      <c r="M170" s="1765"/>
      <c r="N170" s="1765"/>
      <c r="O170" s="846"/>
      <c r="P170" s="2407">
        <v>0.20799999999999999</v>
      </c>
      <c r="Q170" s="2637">
        <v>0.107</v>
      </c>
      <c r="R170" s="304"/>
      <c r="S170" s="319"/>
      <c r="T170" s="319"/>
      <c r="U170" s="319"/>
      <c r="V170" s="319"/>
      <c r="W170" s="319"/>
      <c r="X170" s="319">
        <v>9.0999999999999998E-2</v>
      </c>
      <c r="Y170" s="319"/>
      <c r="Z170" s="319"/>
      <c r="AA170" s="319" t="e">
        <v>#DIV/0!</v>
      </c>
      <c r="AB170" s="189"/>
      <c r="AC170" s="189"/>
      <c r="AD170" s="61"/>
      <c r="AE170" s="44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</row>
    <row r="171" spans="1:93" s="3269" customFormat="1">
      <c r="A171" s="195"/>
      <c r="B171" s="1039"/>
      <c r="C171" s="1700" t="s">
        <v>409</v>
      </c>
      <c r="D171" s="1781"/>
      <c r="E171" s="1781"/>
      <c r="F171" s="1781"/>
      <c r="G171" s="1782"/>
      <c r="H171" s="1783"/>
      <c r="I171" s="1784"/>
      <c r="J171" s="1784"/>
      <c r="K171" s="1785"/>
      <c r="L171" s="1764"/>
      <c r="M171" s="1765"/>
      <c r="N171" s="1765"/>
      <c r="O171" s="846"/>
      <c r="P171" s="2407"/>
      <c r="Q171" s="2637"/>
      <c r="R171" s="304"/>
      <c r="S171" s="319"/>
      <c r="T171" s="319"/>
      <c r="U171" s="319"/>
      <c r="V171" s="319"/>
      <c r="W171" s="319"/>
      <c r="X171" s="319"/>
      <c r="Y171" s="319">
        <v>0.10100000000000001</v>
      </c>
      <c r="Z171" s="319"/>
      <c r="AA171" s="319">
        <v>0.23433333333333337</v>
      </c>
      <c r="AB171" s="189"/>
      <c r="AC171" s="189"/>
      <c r="AD171" s="61"/>
      <c r="AE171" s="44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</row>
    <row r="172" spans="1:93" s="3269" customFormat="1">
      <c r="A172" s="195"/>
      <c r="B172" s="1039"/>
      <c r="C172" s="1700" t="s">
        <v>410</v>
      </c>
      <c r="D172" s="1781"/>
      <c r="E172" s="1781"/>
      <c r="F172" s="1781"/>
      <c r="G172" s="1782"/>
      <c r="H172" s="1783"/>
      <c r="I172" s="1784"/>
      <c r="J172" s="1784"/>
      <c r="K172" s="1785"/>
      <c r="L172" s="1764"/>
      <c r="M172" s="1765"/>
      <c r="N172" s="1765"/>
      <c r="O172" s="846"/>
      <c r="P172" s="2407"/>
      <c r="Q172" s="2637"/>
      <c r="R172" s="304"/>
      <c r="S172" s="319"/>
      <c r="T172" s="319"/>
      <c r="U172" s="319"/>
      <c r="V172" s="319"/>
      <c r="W172" s="319"/>
      <c r="X172" s="319"/>
      <c r="Y172" s="319">
        <v>1.7000000000000001E-2</v>
      </c>
      <c r="Z172" s="319"/>
      <c r="AA172" s="319">
        <v>0.13699999999999998</v>
      </c>
      <c r="AB172" s="189"/>
      <c r="AC172" s="189"/>
      <c r="AD172" s="61"/>
      <c r="AE172" s="44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</row>
    <row r="173" spans="1:93" s="3269" customFormat="1">
      <c r="A173" s="195"/>
      <c r="B173" s="1039"/>
      <c r="C173" s="1700" t="s">
        <v>411</v>
      </c>
      <c r="D173" s="1781"/>
      <c r="E173" s="1781"/>
      <c r="F173" s="1781"/>
      <c r="G173" s="1782"/>
      <c r="H173" s="1783"/>
      <c r="I173" s="1784"/>
      <c r="J173" s="1784"/>
      <c r="K173" s="1785"/>
      <c r="L173" s="1764"/>
      <c r="M173" s="1765"/>
      <c r="N173" s="1765"/>
      <c r="O173" s="846"/>
      <c r="P173" s="2407"/>
      <c r="Q173" s="2637"/>
      <c r="R173" s="304"/>
      <c r="S173" s="319"/>
      <c r="T173" s="319"/>
      <c r="U173" s="319"/>
      <c r="V173" s="319"/>
      <c r="W173" s="319"/>
      <c r="X173" s="319"/>
      <c r="Y173" s="319">
        <v>8.0000000000000002E-3</v>
      </c>
      <c r="Z173" s="319"/>
      <c r="AA173" s="319" t="e">
        <v>#DIV/0!</v>
      </c>
      <c r="AB173" s="189"/>
      <c r="AC173" s="189"/>
      <c r="AD173" s="61"/>
      <c r="AE173" s="44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</row>
    <row r="174" spans="1:93">
      <c r="A174" s="195"/>
      <c r="B174" s="1039"/>
      <c r="C174" s="99" t="s">
        <v>108</v>
      </c>
      <c r="D174" s="710">
        <v>1.4103000000000001</v>
      </c>
      <c r="E174" s="710">
        <v>0.81703000000000003</v>
      </c>
      <c r="F174" s="710">
        <v>0.37159999999999999</v>
      </c>
      <c r="G174" s="711">
        <v>0.24929999999999999</v>
      </c>
      <c r="H174" s="1778" t="s">
        <v>82</v>
      </c>
      <c r="I174" s="1779" t="s">
        <v>82</v>
      </c>
      <c r="J174" s="1779" t="s">
        <v>82</v>
      </c>
      <c r="K174" s="1780" t="s">
        <v>82</v>
      </c>
      <c r="L174" s="393"/>
      <c r="M174" s="394">
        <v>1.2250000000000001</v>
      </c>
      <c r="N174" s="394">
        <v>0.75800000000000001</v>
      </c>
      <c r="O174" s="846"/>
      <c r="P174" s="2407">
        <v>1.2789999999999999</v>
      </c>
      <c r="Q174" s="2637">
        <v>1.4830000000000001</v>
      </c>
      <c r="R174" s="304"/>
      <c r="S174" s="319"/>
      <c r="T174" s="319"/>
      <c r="U174" s="319"/>
      <c r="V174" s="319"/>
      <c r="W174" s="319"/>
      <c r="X174" s="319">
        <v>0.85299999999999998</v>
      </c>
      <c r="Y174" s="319">
        <v>1.1479999999999999</v>
      </c>
      <c r="Z174" s="319"/>
      <c r="AA174" s="319">
        <v>0.90933333333333322</v>
      </c>
      <c r="AB174" s="189"/>
      <c r="AC174" s="189"/>
      <c r="AD174" s="61"/>
      <c r="AE174" s="44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</row>
    <row r="175" spans="1:93" ht="15" customHeight="1" thickBot="1">
      <c r="A175" s="195"/>
      <c r="B175" s="1039"/>
      <c r="C175" s="1723" t="s">
        <v>446</v>
      </c>
      <c r="D175" s="1781">
        <v>4.1082999999999998</v>
      </c>
      <c r="E175" s="1781">
        <v>2.4094000000000002</v>
      </c>
      <c r="F175" s="1781">
        <v>1.9798</v>
      </c>
      <c r="G175" s="1782">
        <v>0.89729999999999999</v>
      </c>
      <c r="H175" s="1783">
        <v>2.1850000000000001</v>
      </c>
      <c r="I175" s="1784">
        <v>2.02</v>
      </c>
      <c r="J175" s="1784">
        <v>0.95299999999999996</v>
      </c>
      <c r="K175" s="1785">
        <v>2.91</v>
      </c>
      <c r="L175" s="1764">
        <v>2.8180000000000001</v>
      </c>
      <c r="M175" s="1765"/>
      <c r="N175" s="1765"/>
      <c r="O175" s="846"/>
      <c r="P175" s="2413">
        <v>2.6720000000000002</v>
      </c>
      <c r="Q175" s="2637">
        <v>1.579</v>
      </c>
      <c r="R175" s="540"/>
      <c r="S175" s="541"/>
      <c r="T175" s="541"/>
      <c r="U175" s="541"/>
      <c r="V175" s="541"/>
      <c r="W175" s="541"/>
      <c r="X175" s="541">
        <v>2.5920000000000001</v>
      </c>
      <c r="Y175" s="541">
        <v>2.2360000000000002</v>
      </c>
      <c r="Z175" s="541"/>
      <c r="AA175" s="541">
        <v>1.0166666666666666</v>
      </c>
      <c r="AB175" s="175"/>
      <c r="AC175" s="175"/>
      <c r="AD175" s="61"/>
      <c r="AE175" s="44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</row>
    <row r="176" spans="1:93" s="3452" customFormat="1" ht="15" customHeight="1" thickBot="1">
      <c r="A176" s="195"/>
      <c r="B176" s="1039"/>
      <c r="C176" s="1723" t="s">
        <v>447</v>
      </c>
      <c r="D176" s="3469"/>
      <c r="E176" s="3469"/>
      <c r="F176" s="3469"/>
      <c r="G176" s="3469"/>
      <c r="H176" s="3464"/>
      <c r="I176" s="3464"/>
      <c r="J176" s="3464"/>
      <c r="K176" s="3464"/>
      <c r="L176" s="3456"/>
      <c r="M176" s="3456"/>
      <c r="N176" s="3456"/>
      <c r="O176" s="3465"/>
      <c r="P176" s="3466"/>
      <c r="Q176" s="2637"/>
      <c r="R176" s="61"/>
      <c r="S176" s="61"/>
      <c r="T176" s="61"/>
      <c r="U176" s="61"/>
      <c r="V176" s="61"/>
      <c r="W176" s="61"/>
      <c r="X176" s="61"/>
      <c r="Y176" s="61"/>
      <c r="Z176" s="61"/>
      <c r="AA176" s="61">
        <v>0.93366666666666676</v>
      </c>
      <c r="AB176" s="175"/>
      <c r="AC176" s="175"/>
      <c r="AD176" s="61"/>
      <c r="AE176" s="44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</row>
    <row r="177" spans="1:105" s="3452" customFormat="1" ht="15" customHeight="1" thickBot="1">
      <c r="A177" s="195"/>
      <c r="B177" s="1039"/>
      <c r="C177" s="1723" t="s">
        <v>434</v>
      </c>
      <c r="D177" s="3469"/>
      <c r="E177" s="3469"/>
      <c r="F177" s="3469"/>
      <c r="G177" s="3469"/>
      <c r="H177" s="3464"/>
      <c r="I177" s="3464"/>
      <c r="J177" s="3464"/>
      <c r="K177" s="3464"/>
      <c r="L177" s="3456"/>
      <c r="M177" s="3456"/>
      <c r="N177" s="3456"/>
      <c r="O177" s="3465"/>
      <c r="P177" s="3466"/>
      <c r="Q177" s="2637"/>
      <c r="R177" s="61"/>
      <c r="S177" s="61"/>
      <c r="T177" s="61"/>
      <c r="U177" s="61"/>
      <c r="V177" s="61"/>
      <c r="W177" s="61"/>
      <c r="X177" s="61"/>
      <c r="Y177" s="61"/>
      <c r="Z177" s="61"/>
      <c r="AA177" s="61">
        <v>0.47833333333333333</v>
      </c>
      <c r="AB177" s="175"/>
      <c r="AC177" s="175"/>
      <c r="AD177" s="61"/>
      <c r="AE177" s="44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</row>
    <row r="178" spans="1:105" s="4" customFormat="1">
      <c r="A178" s="114"/>
      <c r="B178" s="114"/>
      <c r="C178" s="775" t="s">
        <v>285</v>
      </c>
      <c r="D178" s="1025">
        <f>COUNTIF(D140:D175,"&lt;=0.4")</f>
        <v>10</v>
      </c>
      <c r="E178" s="1025">
        <f t="shared" ref="E178:Z178" si="49">COUNTIF(E140:E175,"&lt;=0.4")</f>
        <v>8</v>
      </c>
      <c r="F178" s="1025">
        <f t="shared" si="49"/>
        <v>12</v>
      </c>
      <c r="G178" s="1025">
        <f t="shared" si="49"/>
        <v>15</v>
      </c>
      <c r="H178" s="1025">
        <f t="shared" si="49"/>
        <v>11</v>
      </c>
      <c r="I178" s="1025">
        <f t="shared" si="49"/>
        <v>10</v>
      </c>
      <c r="J178" s="1025">
        <f t="shared" si="49"/>
        <v>16</v>
      </c>
      <c r="K178" s="1025">
        <f t="shared" si="49"/>
        <v>14</v>
      </c>
      <c r="L178" s="1025">
        <f t="shared" si="49"/>
        <v>10</v>
      </c>
      <c r="M178" s="1025">
        <f t="shared" si="49"/>
        <v>7</v>
      </c>
      <c r="N178" s="1025">
        <f t="shared" si="49"/>
        <v>5</v>
      </c>
      <c r="O178" s="1025">
        <f t="shared" si="49"/>
        <v>0</v>
      </c>
      <c r="P178" s="1025">
        <f t="shared" si="49"/>
        <v>9</v>
      </c>
      <c r="Q178" s="1025">
        <f t="shared" si="49"/>
        <v>9</v>
      </c>
      <c r="R178" s="1025">
        <f t="shared" si="49"/>
        <v>0</v>
      </c>
      <c r="S178" s="1025">
        <f t="shared" si="49"/>
        <v>0</v>
      </c>
      <c r="T178" s="1025">
        <f t="shared" si="49"/>
        <v>0</v>
      </c>
      <c r="U178" s="1025">
        <f t="shared" si="49"/>
        <v>0</v>
      </c>
      <c r="V178" s="1025">
        <f t="shared" si="49"/>
        <v>0</v>
      </c>
      <c r="W178" s="1025">
        <f t="shared" si="49"/>
        <v>0</v>
      </c>
      <c r="X178" s="1025">
        <f>COUNTIF(AD140:AD175,"&lt;=0.4")</f>
        <v>0</v>
      </c>
      <c r="Y178" s="1025">
        <f t="shared" si="49"/>
        <v>12</v>
      </c>
      <c r="Z178" s="1025">
        <f t="shared" si="49"/>
        <v>0</v>
      </c>
      <c r="AA178" s="1025">
        <f>COUNTIF(AA140:AA175,"&lt;=0.5")</f>
        <v>15</v>
      </c>
      <c r="BB178" s="83"/>
      <c r="BC178" s="83"/>
      <c r="BD178" s="83"/>
      <c r="BE178" s="83"/>
      <c r="BF178" s="83"/>
      <c r="BG178" s="83"/>
      <c r="BH178" s="83"/>
      <c r="BI178" s="83"/>
      <c r="BJ178" s="83"/>
      <c r="BK178" s="83"/>
      <c r="BL178" s="83"/>
      <c r="BM178" s="83"/>
      <c r="BN178" s="83"/>
      <c r="BO178" s="83"/>
      <c r="BP178" s="83"/>
      <c r="BQ178" s="83"/>
      <c r="BR178" s="83"/>
      <c r="BS178" s="83"/>
      <c r="BT178" s="83"/>
      <c r="BU178" s="83"/>
      <c r="BV178" s="83"/>
      <c r="CE178" s="83"/>
      <c r="CF178" s="83"/>
      <c r="CG178" s="83"/>
      <c r="CH178" s="83"/>
      <c r="CI178" s="83"/>
      <c r="CJ178" s="83"/>
      <c r="CK178" s="83"/>
      <c r="CL178" s="83"/>
      <c r="CM178" s="83"/>
      <c r="CN178" s="83"/>
      <c r="CO178" s="83"/>
      <c r="CP178" s="83"/>
      <c r="CQ178" s="83"/>
      <c r="CR178" s="83"/>
      <c r="CS178" s="83"/>
      <c r="CT178" s="83"/>
      <c r="CU178" s="83"/>
      <c r="CV178" s="83"/>
      <c r="CW178" s="83"/>
      <c r="CX178" s="83"/>
      <c r="CY178" s="83"/>
      <c r="CZ178" s="83"/>
      <c r="DA178" s="83"/>
    </row>
    <row r="179" spans="1:105" s="4" customFormat="1">
      <c r="A179" s="114"/>
      <c r="B179" s="114"/>
      <c r="C179" s="775" t="s">
        <v>287</v>
      </c>
      <c r="D179" s="1027">
        <f>COUNT(D140:D175)</f>
        <v>25</v>
      </c>
      <c r="E179" s="1027">
        <f t="shared" ref="E179:Z179" si="50">COUNT(E140:E175)</f>
        <v>25</v>
      </c>
      <c r="F179" s="1027">
        <f t="shared" si="50"/>
        <v>25</v>
      </c>
      <c r="G179" s="1027">
        <f t="shared" si="50"/>
        <v>25</v>
      </c>
      <c r="H179" s="1027">
        <f t="shared" si="50"/>
        <v>26</v>
      </c>
      <c r="I179" s="1027">
        <f t="shared" si="50"/>
        <v>25</v>
      </c>
      <c r="J179" s="1027">
        <f t="shared" si="50"/>
        <v>26</v>
      </c>
      <c r="K179" s="1027">
        <f t="shared" si="50"/>
        <v>26</v>
      </c>
      <c r="L179" s="1027">
        <f t="shared" si="50"/>
        <v>23</v>
      </c>
      <c r="M179" s="1027">
        <f t="shared" si="50"/>
        <v>18</v>
      </c>
      <c r="N179" s="1027">
        <f t="shared" si="50"/>
        <v>19</v>
      </c>
      <c r="O179" s="1027">
        <f t="shared" si="50"/>
        <v>0</v>
      </c>
      <c r="P179" s="1027">
        <f t="shared" si="50"/>
        <v>24</v>
      </c>
      <c r="Q179" s="1027">
        <f t="shared" si="50"/>
        <v>25</v>
      </c>
      <c r="R179" s="1027">
        <f t="shared" si="50"/>
        <v>0</v>
      </c>
      <c r="S179" s="1027">
        <f t="shared" si="50"/>
        <v>0</v>
      </c>
      <c r="T179" s="1027">
        <f t="shared" si="50"/>
        <v>0</v>
      </c>
      <c r="U179" s="1027">
        <f t="shared" si="50"/>
        <v>0</v>
      </c>
      <c r="V179" s="1027">
        <f t="shared" si="50"/>
        <v>0</v>
      </c>
      <c r="W179" s="1027">
        <f t="shared" si="50"/>
        <v>0</v>
      </c>
      <c r="X179" s="1027">
        <f>COUNT(AD140:AD175)</f>
        <v>0</v>
      </c>
      <c r="Y179" s="1027">
        <f t="shared" si="50"/>
        <v>27</v>
      </c>
      <c r="Z179" s="1027">
        <f t="shared" si="50"/>
        <v>0</v>
      </c>
      <c r="AA179" s="1027">
        <f>COUNT(AA140:AA177)</f>
        <v>34</v>
      </c>
      <c r="BB179" s="83"/>
      <c r="BC179" s="83"/>
      <c r="BD179" s="83"/>
      <c r="BE179" s="83"/>
      <c r="BF179" s="83"/>
      <c r="BG179" s="83"/>
      <c r="BH179" s="83"/>
      <c r="BI179" s="83"/>
      <c r="BJ179" s="83"/>
      <c r="BK179" s="83"/>
      <c r="BL179" s="83"/>
      <c r="BM179" s="83"/>
      <c r="BN179" s="83"/>
      <c r="BO179" s="83"/>
      <c r="BP179" s="83"/>
      <c r="BQ179" s="83"/>
      <c r="BR179" s="83"/>
      <c r="BS179" s="83"/>
      <c r="BT179" s="83"/>
      <c r="BU179" s="83"/>
      <c r="BV179" s="83"/>
      <c r="CE179" s="83"/>
      <c r="CF179" s="83"/>
      <c r="CG179" s="83"/>
      <c r="CH179" s="83"/>
      <c r="CI179" s="83"/>
      <c r="CJ179" s="83"/>
      <c r="CK179" s="83"/>
      <c r="CL179" s="83"/>
      <c r="CM179" s="83"/>
      <c r="CN179" s="83"/>
      <c r="CO179" s="83"/>
      <c r="CP179" s="83"/>
      <c r="CQ179" s="83"/>
      <c r="CR179" s="83"/>
      <c r="CS179" s="83"/>
      <c r="CT179" s="83"/>
      <c r="CU179" s="83"/>
      <c r="CV179" s="83"/>
      <c r="CW179" s="83"/>
      <c r="CX179" s="83"/>
      <c r="CY179" s="83"/>
      <c r="CZ179" s="83"/>
      <c r="DA179" s="83"/>
    </row>
    <row r="180" spans="1:105" s="4" customFormat="1">
      <c r="A180" s="114"/>
      <c r="B180" s="114"/>
      <c r="C180" s="775" t="s">
        <v>286</v>
      </c>
      <c r="D180" s="1026">
        <f t="shared" ref="D180:AA180" si="51">D178/D179</f>
        <v>0.4</v>
      </c>
      <c r="E180" s="1026">
        <f t="shared" si="51"/>
        <v>0.32</v>
      </c>
      <c r="F180" s="1026">
        <f t="shared" si="51"/>
        <v>0.48</v>
      </c>
      <c r="G180" s="1026">
        <f t="shared" si="51"/>
        <v>0.6</v>
      </c>
      <c r="H180" s="1026">
        <f t="shared" si="51"/>
        <v>0.42307692307692307</v>
      </c>
      <c r="I180" s="1026">
        <f t="shared" si="51"/>
        <v>0.4</v>
      </c>
      <c r="J180" s="1026">
        <f t="shared" si="51"/>
        <v>0.61538461538461542</v>
      </c>
      <c r="K180" s="1026">
        <f t="shared" si="51"/>
        <v>0.53846153846153844</v>
      </c>
      <c r="L180" s="1026">
        <f t="shared" si="51"/>
        <v>0.43478260869565216</v>
      </c>
      <c r="M180" s="1026">
        <f t="shared" si="51"/>
        <v>0.3888888888888889</v>
      </c>
      <c r="N180" s="1026">
        <f t="shared" si="51"/>
        <v>0.26315789473684209</v>
      </c>
      <c r="O180" s="1026" t="e">
        <f t="shared" si="51"/>
        <v>#DIV/0!</v>
      </c>
      <c r="P180" s="1026">
        <f t="shared" si="51"/>
        <v>0.375</v>
      </c>
      <c r="Q180" s="1026">
        <f t="shared" si="51"/>
        <v>0.36</v>
      </c>
      <c r="R180" s="1026" t="e">
        <f t="shared" si="51"/>
        <v>#DIV/0!</v>
      </c>
      <c r="S180" s="1026" t="e">
        <f t="shared" si="51"/>
        <v>#DIV/0!</v>
      </c>
      <c r="T180" s="1026" t="e">
        <f t="shared" si="51"/>
        <v>#DIV/0!</v>
      </c>
      <c r="U180" s="1026" t="e">
        <f t="shared" si="51"/>
        <v>#DIV/0!</v>
      </c>
      <c r="V180" s="1026" t="e">
        <f t="shared" si="51"/>
        <v>#DIV/0!</v>
      </c>
      <c r="W180" s="1026" t="e">
        <f t="shared" si="51"/>
        <v>#DIV/0!</v>
      </c>
      <c r="X180" s="1026" t="e">
        <f t="shared" si="51"/>
        <v>#DIV/0!</v>
      </c>
      <c r="Y180" s="1026">
        <f t="shared" si="51"/>
        <v>0.44444444444444442</v>
      </c>
      <c r="Z180" s="1026" t="e">
        <f t="shared" si="51"/>
        <v>#DIV/0!</v>
      </c>
      <c r="AA180" s="1026">
        <f t="shared" si="51"/>
        <v>0.44117647058823528</v>
      </c>
      <c r="BB180" s="83"/>
      <c r="BC180" s="83"/>
      <c r="BD180" s="83"/>
      <c r="BE180" s="83"/>
      <c r="BF180" s="83"/>
      <c r="BG180" s="83"/>
      <c r="BH180" s="83"/>
      <c r="BI180" s="83"/>
      <c r="BJ180" s="83"/>
      <c r="BK180" s="83"/>
      <c r="BL180" s="83"/>
      <c r="BM180" s="83"/>
      <c r="BN180" s="83"/>
      <c r="BO180" s="83"/>
      <c r="BP180" s="83"/>
      <c r="BQ180" s="83"/>
      <c r="BR180" s="83"/>
      <c r="BS180" s="83"/>
      <c r="BT180" s="83"/>
      <c r="BU180" s="83"/>
      <c r="BV180" s="83"/>
      <c r="CE180" s="83"/>
      <c r="CF180" s="83"/>
      <c r="CG180" s="83"/>
      <c r="CH180" s="83"/>
      <c r="CI180" s="83"/>
      <c r="CJ180" s="83"/>
      <c r="CK180" s="83"/>
      <c r="CL180" s="83"/>
      <c r="CM180" s="83"/>
      <c r="CN180" s="83"/>
      <c r="CO180" s="83"/>
      <c r="CP180" s="83"/>
      <c r="CQ180" s="83"/>
      <c r="CR180" s="83"/>
      <c r="CS180" s="83"/>
      <c r="CT180" s="83"/>
      <c r="CU180" s="83"/>
      <c r="CV180" s="83"/>
      <c r="CW180" s="83"/>
      <c r="CX180" s="83"/>
      <c r="CY180" s="83"/>
      <c r="CZ180" s="83"/>
      <c r="DA180" s="83"/>
    </row>
    <row r="181" spans="1:105" ht="15" customHeight="1">
      <c r="A181" s="195"/>
      <c r="B181" s="1039"/>
      <c r="C181" s="123"/>
      <c r="D181" s="123"/>
      <c r="E181" s="123"/>
      <c r="F181" s="123"/>
      <c r="G181" s="123"/>
      <c r="H181" s="233"/>
      <c r="I181" s="234"/>
      <c r="J181" s="233"/>
      <c r="K181" s="234"/>
      <c r="L181" s="120"/>
      <c r="M181" s="120"/>
      <c r="N181" s="120"/>
      <c r="O181" s="120"/>
      <c r="P181" s="2289"/>
      <c r="Q181" s="120"/>
      <c r="R181" s="120"/>
      <c r="S181" s="120"/>
      <c r="T181" s="120"/>
      <c r="U181" s="120"/>
      <c r="V181" s="120"/>
      <c r="W181" s="120"/>
      <c r="X181" s="767"/>
      <c r="Y181" s="61"/>
      <c r="Z181" s="61"/>
      <c r="AA181" s="61"/>
      <c r="AB181" s="175"/>
      <c r="AC181" s="175"/>
      <c r="AD181" s="175"/>
      <c r="AE181" s="44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</row>
    <row r="182" spans="1:105" ht="15" customHeight="1">
      <c r="A182" s="195"/>
      <c r="B182" s="1039"/>
      <c r="C182" s="123"/>
      <c r="D182" s="123"/>
      <c r="E182" s="123"/>
      <c r="F182" s="3546" t="s">
        <v>229</v>
      </c>
      <c r="G182" s="3546"/>
      <c r="H182" s="3546"/>
      <c r="I182" s="3546"/>
      <c r="J182" s="107"/>
      <c r="K182" s="234"/>
      <c r="L182" s="120"/>
      <c r="M182" s="120"/>
      <c r="N182" s="3546" t="s">
        <v>229</v>
      </c>
      <c r="O182" s="3546"/>
      <c r="P182" s="3546"/>
      <c r="Q182" s="3546"/>
      <c r="R182" s="120"/>
      <c r="S182" s="120"/>
      <c r="T182" s="120"/>
      <c r="U182" s="120"/>
      <c r="V182" s="120"/>
      <c r="W182" s="120"/>
      <c r="X182" s="767"/>
      <c r="Y182" s="61"/>
      <c r="Z182" s="61"/>
      <c r="AA182" s="61"/>
      <c r="AB182" s="175"/>
      <c r="AC182" s="175"/>
      <c r="AD182" s="175"/>
      <c r="AE182" s="44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</row>
    <row r="183" spans="1:105" ht="15" customHeight="1" thickBot="1">
      <c r="A183" s="330"/>
      <c r="B183" s="127"/>
      <c r="C183" s="123"/>
      <c r="D183" s="123"/>
      <c r="E183" s="123"/>
      <c r="F183" s="3546"/>
      <c r="G183" s="3546"/>
      <c r="H183" s="3546"/>
      <c r="I183" s="3546"/>
      <c r="J183" s="107"/>
      <c r="K183" s="234"/>
      <c r="L183" s="120"/>
      <c r="M183" s="120"/>
      <c r="N183" s="3546"/>
      <c r="O183" s="3546"/>
      <c r="P183" s="3546"/>
      <c r="Q183" s="3546"/>
      <c r="R183" s="120"/>
      <c r="S183" s="120"/>
      <c r="T183" s="120"/>
      <c r="U183" s="120"/>
      <c r="V183" s="120"/>
      <c r="W183" s="120"/>
      <c r="X183" s="767"/>
      <c r="Y183" s="61"/>
      <c r="Z183" s="61"/>
      <c r="AA183" s="61"/>
      <c r="AB183" s="175"/>
      <c r="AC183" s="175"/>
      <c r="AD183" s="175"/>
      <c r="AE183" s="44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/>
      <c r="CH183" s="61"/>
      <c r="CI183" s="61"/>
      <c r="CJ183" s="61"/>
      <c r="CK183" s="61"/>
      <c r="CL183" s="61"/>
      <c r="CM183" s="61"/>
      <c r="CN183" s="61"/>
      <c r="CO183" s="61"/>
    </row>
    <row r="184" spans="1:105" ht="15.75" thickBot="1">
      <c r="A184" s="330"/>
      <c r="B184" s="127"/>
      <c r="C184" s="266" t="s">
        <v>168</v>
      </c>
      <c r="D184" s="268">
        <v>0.4</v>
      </c>
      <c r="E184" s="268">
        <v>0.4</v>
      </c>
      <c r="F184" s="268">
        <v>0.4</v>
      </c>
      <c r="G184" s="345">
        <v>0.4</v>
      </c>
      <c r="H184" s="346">
        <v>0.4</v>
      </c>
      <c r="I184" s="268">
        <v>0.4</v>
      </c>
      <c r="J184" s="268">
        <v>0.4</v>
      </c>
      <c r="K184" s="269">
        <v>0.4</v>
      </c>
      <c r="L184" s="346">
        <v>0.4</v>
      </c>
      <c r="M184" s="268">
        <v>0.4</v>
      </c>
      <c r="N184" s="268">
        <v>0.4</v>
      </c>
      <c r="O184" s="274">
        <v>0.4</v>
      </c>
      <c r="P184" s="547">
        <v>0.4</v>
      </c>
      <c r="Q184" s="355">
        <v>0.4</v>
      </c>
      <c r="R184" s="355">
        <v>0.4</v>
      </c>
      <c r="S184" s="428">
        <v>0.4</v>
      </c>
      <c r="T184" s="428">
        <v>0.4</v>
      </c>
      <c r="U184" s="428">
        <v>0.4</v>
      </c>
      <c r="V184" s="428">
        <v>0.4</v>
      </c>
      <c r="W184" s="428">
        <v>0.4</v>
      </c>
      <c r="X184" s="428">
        <v>0.4</v>
      </c>
      <c r="Y184" s="428">
        <v>0.4</v>
      </c>
      <c r="Z184" s="428">
        <v>0.4</v>
      </c>
      <c r="AA184" s="428">
        <v>0.4</v>
      </c>
      <c r="AB184" s="428">
        <v>0.4</v>
      </c>
      <c r="AC184" s="428">
        <v>0.4</v>
      </c>
      <c r="AD184" s="175"/>
      <c r="AE184" s="177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/>
      <c r="CH184" s="61"/>
      <c r="CI184" s="61"/>
      <c r="CJ184" s="61"/>
      <c r="CK184" s="61"/>
      <c r="CL184" s="61"/>
      <c r="CM184" s="61"/>
      <c r="CN184" s="61"/>
      <c r="CO184" s="61"/>
    </row>
    <row r="185" spans="1:105">
      <c r="A185" s="123"/>
      <c r="B185" s="122"/>
      <c r="C185" s="105" t="s">
        <v>152</v>
      </c>
      <c r="D185" s="1835">
        <v>3.0800000000000004E-2</v>
      </c>
      <c r="E185" s="1835">
        <v>0.22593333333333332</v>
      </c>
      <c r="F185" s="1835">
        <v>8.7133333333333327E-2</v>
      </c>
      <c r="G185" s="1836">
        <v>4.4249999999999998E-2</v>
      </c>
      <c r="H185" s="1846">
        <v>0.13100000000000001</v>
      </c>
      <c r="I185" s="1847">
        <v>0.11</v>
      </c>
      <c r="J185" s="1847">
        <v>0.12</v>
      </c>
      <c r="K185" s="1848">
        <v>7.3999999999999996E-2</v>
      </c>
      <c r="L185" s="1828">
        <v>5.1999999999999998E-2</v>
      </c>
      <c r="M185" s="1829">
        <v>5.2999999999999999E-2</v>
      </c>
      <c r="N185" s="1829">
        <v>3.3000000000000002E-2</v>
      </c>
      <c r="O185" s="845"/>
      <c r="P185" s="2411">
        <v>4.65E-2</v>
      </c>
      <c r="Q185" s="358">
        <v>0.105</v>
      </c>
      <c r="R185" s="358"/>
      <c r="S185" s="354"/>
      <c r="T185" s="354"/>
      <c r="U185" s="354"/>
      <c r="V185" s="354"/>
      <c r="W185" s="354"/>
      <c r="X185" s="354">
        <v>3.9E-2</v>
      </c>
      <c r="Y185" s="354">
        <v>0.127</v>
      </c>
      <c r="Z185" s="354"/>
      <c r="AA185" s="354">
        <v>0.12166666666666666</v>
      </c>
      <c r="AB185" s="354"/>
      <c r="AC185" s="354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</row>
    <row r="186" spans="1:105">
      <c r="A186" s="123"/>
      <c r="B186" s="122"/>
      <c r="C186" s="106" t="s">
        <v>153</v>
      </c>
      <c r="D186" s="51">
        <v>1.7033333333333334E-2</v>
      </c>
      <c r="E186" s="51">
        <v>4.1399999999999999E-2</v>
      </c>
      <c r="F186" s="51">
        <v>6.5800000000000011E-2</v>
      </c>
      <c r="G186" s="1840">
        <v>4.3E-3</v>
      </c>
      <c r="H186" s="1842">
        <v>0.34200000000000003</v>
      </c>
      <c r="I186" s="51">
        <v>6.8000000000000005E-2</v>
      </c>
      <c r="J186" s="51">
        <v>7.0000000000000007E-2</v>
      </c>
      <c r="K186" s="1840">
        <v>4.1000000000000002E-2</v>
      </c>
      <c r="L186" s="393">
        <v>4.3999999999999997E-2</v>
      </c>
      <c r="M186" s="394">
        <v>0.04</v>
      </c>
      <c r="N186" s="394">
        <v>4.2999999999999997E-2</v>
      </c>
      <c r="O186" s="846"/>
      <c r="P186" s="2407">
        <v>0.11</v>
      </c>
      <c r="Q186" s="304">
        <v>6.9000000000000006E-2</v>
      </c>
      <c r="R186" s="304"/>
      <c r="S186" s="319"/>
      <c r="T186" s="319"/>
      <c r="U186" s="319"/>
      <c r="V186" s="319"/>
      <c r="W186" s="319"/>
      <c r="X186" s="319">
        <v>3.15E-2</v>
      </c>
      <c r="Y186" s="319">
        <v>9.6000000000000002E-2</v>
      </c>
      <c r="Z186" s="319"/>
      <c r="AA186" s="319">
        <v>6.3E-2</v>
      </c>
      <c r="AB186" s="319"/>
      <c r="AC186" s="319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  <c r="CL186" s="61"/>
      <c r="CM186" s="61"/>
    </row>
    <row r="187" spans="1:105">
      <c r="A187" s="109"/>
      <c r="B187" s="108"/>
      <c r="C187" s="75" t="s">
        <v>150</v>
      </c>
      <c r="D187" s="51">
        <v>2.3633333333333329E-2</v>
      </c>
      <c r="E187" s="51">
        <v>4.1299999999999996E-2</v>
      </c>
      <c r="F187" s="51">
        <v>6.4933333333333329E-2</v>
      </c>
      <c r="G187" s="1840">
        <v>5.1150000000000001E-2</v>
      </c>
      <c r="H187" s="1842">
        <v>0.14399999999999999</v>
      </c>
      <c r="I187" s="51">
        <v>0.1</v>
      </c>
      <c r="J187" s="51">
        <v>0.122</v>
      </c>
      <c r="K187" s="1840">
        <v>8.1000000000000003E-2</v>
      </c>
      <c r="L187" s="393">
        <v>5.8000000000000003E-2</v>
      </c>
      <c r="M187" s="394">
        <v>6.2E-2</v>
      </c>
      <c r="N187" s="394">
        <v>4.2000000000000003E-2</v>
      </c>
      <c r="O187" s="846"/>
      <c r="P187" s="2407">
        <v>0.247</v>
      </c>
      <c r="Q187" s="304">
        <v>7.0999999999999994E-2</v>
      </c>
      <c r="R187" s="304"/>
      <c r="S187" s="319"/>
      <c r="T187" s="319"/>
      <c r="U187" s="319"/>
      <c r="V187" s="319"/>
      <c r="W187" s="319"/>
      <c r="X187" s="319">
        <v>3.4500000000000003E-2</v>
      </c>
      <c r="Y187" s="319">
        <v>0.11899999999999999</v>
      </c>
      <c r="Z187" s="319"/>
      <c r="AA187" s="319">
        <v>0.16200000000000001</v>
      </c>
      <c r="AB187" s="319"/>
      <c r="AC187" s="319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1"/>
      <c r="CM187" s="61"/>
    </row>
    <row r="188" spans="1:105">
      <c r="A188" s="109"/>
      <c r="B188" s="108"/>
      <c r="C188" s="75" t="s">
        <v>149</v>
      </c>
      <c r="D188" s="51">
        <v>2.6266666666666671E-2</v>
      </c>
      <c r="E188" s="51">
        <v>6.3099999999999989E-2</v>
      </c>
      <c r="F188" s="51">
        <v>8.2533333333333334E-2</v>
      </c>
      <c r="G188" s="1840">
        <v>7.6949999999999991E-2</v>
      </c>
      <c r="H188" s="1842">
        <v>0.13300000000000001</v>
      </c>
      <c r="I188" s="51">
        <v>0.21299999999999999</v>
      </c>
      <c r="J188" s="51">
        <v>0.11600000000000001</v>
      </c>
      <c r="K188" s="1840">
        <v>7.0000000000000007E-2</v>
      </c>
      <c r="L188" s="393">
        <v>5.8000000000000003E-2</v>
      </c>
      <c r="M188" s="394">
        <v>0.11</v>
      </c>
      <c r="N188" s="383">
        <v>5.5E-2</v>
      </c>
      <c r="O188" s="847"/>
      <c r="P188" s="866">
        <v>0.29099999999999998</v>
      </c>
      <c r="Q188" s="849">
        <v>0.21099999999999999</v>
      </c>
      <c r="R188" s="849"/>
      <c r="S188" s="319"/>
      <c r="T188" s="319"/>
      <c r="U188" s="319"/>
      <c r="V188" s="319"/>
      <c r="W188" s="319"/>
      <c r="X188" s="319">
        <v>8.5999999999999993E-2</v>
      </c>
      <c r="Y188" s="319">
        <v>0.152</v>
      </c>
      <c r="Z188" s="319"/>
      <c r="AA188" s="319">
        <v>0.19066666666666668</v>
      </c>
      <c r="AB188" s="319"/>
      <c r="AC188" s="319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  <c r="CL188" s="61"/>
      <c r="CM188" s="61"/>
    </row>
    <row r="189" spans="1:105">
      <c r="A189" s="109"/>
      <c r="B189" s="108"/>
      <c r="C189" s="75" t="s">
        <v>151</v>
      </c>
      <c r="D189" s="51">
        <v>3.2766666666666666E-2</v>
      </c>
      <c r="E189" s="51">
        <v>7.6166666666666674E-2</v>
      </c>
      <c r="F189" s="51">
        <v>0.12309999999999999</v>
      </c>
      <c r="G189" s="1840">
        <v>6.6250000000000003E-2</v>
      </c>
      <c r="H189" s="1842">
        <v>0.16500000000000001</v>
      </c>
      <c r="I189" s="51">
        <v>9.9000000000000005E-2</v>
      </c>
      <c r="J189" s="51">
        <v>9.9000000000000005E-2</v>
      </c>
      <c r="K189" s="1840">
        <v>6.9000000000000006E-2</v>
      </c>
      <c r="L189" s="393">
        <v>5.7000000000000002E-2</v>
      </c>
      <c r="M189" s="1843">
        <v>8.6999999999999994E-2</v>
      </c>
      <c r="N189" s="383">
        <v>4.4999999999999998E-2</v>
      </c>
      <c r="O189" s="847"/>
      <c r="P189" s="2294">
        <v>0.38300000000000001</v>
      </c>
      <c r="Q189" s="2641">
        <v>6.8000000000000005E-2</v>
      </c>
      <c r="R189" s="383"/>
      <c r="S189" s="856"/>
      <c r="T189" s="856"/>
      <c r="U189" s="856"/>
      <c r="V189" s="856"/>
      <c r="W189" s="856"/>
      <c r="X189" s="856">
        <v>4.9500000000000002E-2</v>
      </c>
      <c r="Y189" s="3279">
        <v>8.5000000000000006E-2</v>
      </c>
      <c r="Z189" s="856"/>
      <c r="AA189" s="856">
        <v>0.14666666666666667</v>
      </c>
      <c r="AB189" s="856"/>
      <c r="AC189" s="856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</row>
    <row r="190" spans="1:105">
      <c r="A190" s="109"/>
      <c r="B190" s="108"/>
      <c r="C190" s="106" t="s">
        <v>273</v>
      </c>
      <c r="D190" s="51"/>
      <c r="E190" s="51"/>
      <c r="F190" s="51"/>
      <c r="G190" s="1840"/>
      <c r="H190" s="1842">
        <v>4.4999999999999998E-2</v>
      </c>
      <c r="I190" s="51">
        <v>5.6000000000000001E-2</v>
      </c>
      <c r="J190" s="51">
        <v>5.5E-2</v>
      </c>
      <c r="K190" s="1840">
        <v>6.3E-2</v>
      </c>
      <c r="L190" s="393">
        <v>3.4000000000000002E-2</v>
      </c>
      <c r="M190" s="400">
        <v>2.1999999999999999E-2</v>
      </c>
      <c r="N190" s="383">
        <v>1.9E-2</v>
      </c>
      <c r="O190" s="847"/>
      <c r="P190" s="2294">
        <v>0.193</v>
      </c>
      <c r="Q190" s="2641">
        <v>6.3E-2</v>
      </c>
      <c r="R190" s="383"/>
      <c r="S190" s="856"/>
      <c r="T190" s="856"/>
      <c r="U190" s="856"/>
      <c r="V190" s="856"/>
      <c r="W190" s="856"/>
      <c r="X190" s="856">
        <v>3.15E-2</v>
      </c>
      <c r="Y190" s="856">
        <v>5.1999999999999998E-2</v>
      </c>
      <c r="Z190" s="856"/>
      <c r="AA190" s="856">
        <v>0.11866666666666666</v>
      </c>
      <c r="AB190" s="856"/>
      <c r="AC190" s="856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</row>
    <row r="191" spans="1:105">
      <c r="A191" s="109"/>
      <c r="B191" s="108"/>
      <c r="C191" s="106" t="s">
        <v>274</v>
      </c>
      <c r="D191" s="51"/>
      <c r="E191" s="51"/>
      <c r="F191" s="51"/>
      <c r="G191" s="1840"/>
      <c r="H191" s="1842">
        <v>0.122</v>
      </c>
      <c r="I191" s="51">
        <v>0.1</v>
      </c>
      <c r="J191" s="51">
        <v>9.8000000000000004E-2</v>
      </c>
      <c r="K191" s="1840">
        <v>7.5999999999999998E-2</v>
      </c>
      <c r="L191" s="393">
        <v>4.1000000000000002E-2</v>
      </c>
      <c r="M191" s="400">
        <v>1.6E-2</v>
      </c>
      <c r="N191" s="383">
        <v>4.1000000000000002E-2</v>
      </c>
      <c r="O191" s="847"/>
      <c r="P191" s="2294">
        <v>0.20399999999999999</v>
      </c>
      <c r="Q191" s="383">
        <v>4.2999999999999997E-2</v>
      </c>
      <c r="R191" s="383"/>
      <c r="S191" s="856"/>
      <c r="T191" s="856"/>
      <c r="U191" s="856"/>
      <c r="V191" s="856"/>
      <c r="W191" s="856"/>
      <c r="X191" s="856">
        <v>3.4000000000000002E-2</v>
      </c>
      <c r="Y191" s="856">
        <v>7.5999999999999998E-2</v>
      </c>
      <c r="Z191" s="856"/>
      <c r="AA191" s="856">
        <v>0.11033333333333334</v>
      </c>
      <c r="AB191" s="856"/>
      <c r="AC191" s="856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/>
      <c r="CI191" s="61"/>
      <c r="CJ191" s="61"/>
      <c r="CK191" s="61"/>
      <c r="CL191" s="61"/>
      <c r="CM191" s="61"/>
    </row>
    <row r="192" spans="1:105">
      <c r="A192" s="123"/>
      <c r="B192" s="122"/>
      <c r="C192" s="75" t="s">
        <v>275</v>
      </c>
      <c r="D192" s="51"/>
      <c r="E192" s="51"/>
      <c r="F192" s="51"/>
      <c r="G192" s="1840"/>
      <c r="H192" s="1842">
        <v>0.14000000000000001</v>
      </c>
      <c r="I192" s="51">
        <v>0.113</v>
      </c>
      <c r="J192" s="51">
        <v>0.123</v>
      </c>
      <c r="K192" s="1840">
        <v>7.0000000000000007E-2</v>
      </c>
      <c r="L192" s="393">
        <v>4.3999999999999997E-2</v>
      </c>
      <c r="M192" s="400">
        <v>4.7E-2</v>
      </c>
      <c r="N192" s="383">
        <v>5.0999999999999997E-2</v>
      </c>
      <c r="O192" s="847"/>
      <c r="P192" s="2294">
        <v>0.28999999999999998</v>
      </c>
      <c r="Q192" s="383">
        <v>3.9E-2</v>
      </c>
      <c r="R192" s="383"/>
      <c r="S192" s="856"/>
      <c r="T192" s="856"/>
      <c r="U192" s="856"/>
      <c r="V192" s="856"/>
      <c r="W192" s="856"/>
      <c r="X192" s="856">
        <v>4.8500000000000001E-2</v>
      </c>
      <c r="Y192" s="856">
        <v>9.7000000000000003E-2</v>
      </c>
      <c r="Z192" s="856"/>
      <c r="AA192" s="856">
        <v>0.13599999999999998</v>
      </c>
      <c r="AB192" s="856"/>
      <c r="AC192" s="856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</row>
    <row r="193" spans="1:105" ht="15.75" thickBot="1">
      <c r="A193" s="123"/>
      <c r="B193" s="122"/>
      <c r="C193" s="76" t="s">
        <v>276</v>
      </c>
      <c r="D193" s="58"/>
      <c r="E193" s="58"/>
      <c r="F193" s="58"/>
      <c r="G193" s="1844"/>
      <c r="H193" s="1842">
        <v>0.14499999999999999</v>
      </c>
      <c r="I193" s="51">
        <v>8.1000000000000003E-2</v>
      </c>
      <c r="J193" s="51">
        <v>0.125</v>
      </c>
      <c r="K193" s="1840">
        <v>7.0999999999999994E-2</v>
      </c>
      <c r="L193" s="393">
        <v>6.5000000000000002E-2</v>
      </c>
      <c r="M193" s="1845">
        <v>2.4E-2</v>
      </c>
      <c r="N193" s="383">
        <v>4.1000000000000002E-2</v>
      </c>
      <c r="O193" s="847"/>
      <c r="P193" s="2412">
        <v>0.20899999999999999</v>
      </c>
      <c r="Q193" s="946">
        <v>3.1E-2</v>
      </c>
      <c r="R193" s="946"/>
      <c r="S193" s="947"/>
      <c r="T193" s="947"/>
      <c r="U193" s="947"/>
      <c r="V193" s="947"/>
      <c r="W193" s="947"/>
      <c r="X193" s="947">
        <v>2.1499999999999998E-2</v>
      </c>
      <c r="Y193" s="947">
        <v>0.08</v>
      </c>
      <c r="Z193" s="947"/>
      <c r="AA193" s="947">
        <v>0.12133333333333335</v>
      </c>
      <c r="AB193" s="947"/>
      <c r="AC193" s="947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</row>
    <row r="194" spans="1:105">
      <c r="A194" s="114"/>
      <c r="B194" s="114"/>
      <c r="C194" s="775" t="s">
        <v>285</v>
      </c>
      <c r="D194" s="1025">
        <f>COUNTIF(D185:D193,"&lt;=0.4")</f>
        <v>5</v>
      </c>
      <c r="E194" s="1025">
        <f t="shared" ref="E194:R194" si="52">COUNTIF(E185:E193,"&lt;=0.4")</f>
        <v>5</v>
      </c>
      <c r="F194" s="1025">
        <f t="shared" si="52"/>
        <v>5</v>
      </c>
      <c r="G194" s="1025">
        <f t="shared" si="52"/>
        <v>5</v>
      </c>
      <c r="H194" s="1025">
        <f t="shared" si="52"/>
        <v>9</v>
      </c>
      <c r="I194" s="1025">
        <f t="shared" si="52"/>
        <v>9</v>
      </c>
      <c r="J194" s="1025">
        <f t="shared" si="52"/>
        <v>9</v>
      </c>
      <c r="K194" s="1025">
        <f t="shared" si="52"/>
        <v>9</v>
      </c>
      <c r="L194" s="1025">
        <f t="shared" si="52"/>
        <v>9</v>
      </c>
      <c r="M194" s="1025">
        <f t="shared" si="52"/>
        <v>9</v>
      </c>
      <c r="N194" s="1025">
        <f t="shared" si="52"/>
        <v>9</v>
      </c>
      <c r="O194" s="1025">
        <f t="shared" si="52"/>
        <v>0</v>
      </c>
      <c r="P194" s="1025">
        <f t="shared" si="52"/>
        <v>9</v>
      </c>
      <c r="Q194" s="1025">
        <f t="shared" si="52"/>
        <v>9</v>
      </c>
      <c r="R194" s="1025">
        <f t="shared" si="52"/>
        <v>0</v>
      </c>
      <c r="S194" s="1025">
        <f>COUNTIF(S185:S193,"&lt;=0.4")</f>
        <v>0</v>
      </c>
      <c r="T194" s="1025">
        <f t="shared" ref="T194:AC194" si="53">COUNTIF(T185:T193,"&lt;=0.4")</f>
        <v>0</v>
      </c>
      <c r="U194" s="1025">
        <f t="shared" si="53"/>
        <v>0</v>
      </c>
      <c r="V194" s="1025">
        <f t="shared" si="53"/>
        <v>0</v>
      </c>
      <c r="W194" s="1025">
        <f t="shared" si="53"/>
        <v>0</v>
      </c>
      <c r="X194" s="1025">
        <f t="shared" si="53"/>
        <v>9</v>
      </c>
      <c r="Y194" s="1025">
        <f t="shared" si="53"/>
        <v>9</v>
      </c>
      <c r="Z194" s="1025">
        <f t="shared" si="53"/>
        <v>0</v>
      </c>
      <c r="AA194" s="1025">
        <f>COUNTIF(AA185:AA193,"&lt;=0.5")</f>
        <v>9</v>
      </c>
      <c r="AB194" s="1025">
        <f t="shared" si="53"/>
        <v>0</v>
      </c>
      <c r="AC194" s="1025">
        <f t="shared" si="53"/>
        <v>0</v>
      </c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</row>
    <row r="195" spans="1:105">
      <c r="A195" s="114"/>
      <c r="B195" s="114"/>
      <c r="C195" s="775" t="s">
        <v>287</v>
      </c>
      <c r="D195" s="1027">
        <f>COUNT(D185:D193)</f>
        <v>5</v>
      </c>
      <c r="E195" s="1027">
        <f t="shared" ref="E195:R195" si="54">COUNT(E185:E193)</f>
        <v>5</v>
      </c>
      <c r="F195" s="1027">
        <f t="shared" si="54"/>
        <v>5</v>
      </c>
      <c r="G195" s="1027">
        <f t="shared" si="54"/>
        <v>5</v>
      </c>
      <c r="H195" s="1027">
        <f t="shared" si="54"/>
        <v>9</v>
      </c>
      <c r="I195" s="1027">
        <f t="shared" si="54"/>
        <v>9</v>
      </c>
      <c r="J195" s="1027">
        <f t="shared" si="54"/>
        <v>9</v>
      </c>
      <c r="K195" s="1027">
        <f t="shared" si="54"/>
        <v>9</v>
      </c>
      <c r="L195" s="1027">
        <f t="shared" si="54"/>
        <v>9</v>
      </c>
      <c r="M195" s="1027">
        <f t="shared" si="54"/>
        <v>9</v>
      </c>
      <c r="N195" s="1027">
        <f t="shared" si="54"/>
        <v>9</v>
      </c>
      <c r="O195" s="1027">
        <f t="shared" si="54"/>
        <v>0</v>
      </c>
      <c r="P195" s="1027">
        <f t="shared" si="54"/>
        <v>9</v>
      </c>
      <c r="Q195" s="1027">
        <f t="shared" si="54"/>
        <v>9</v>
      </c>
      <c r="R195" s="1027">
        <f t="shared" si="54"/>
        <v>0</v>
      </c>
      <c r="S195" s="1027">
        <f>COUNT(S185:S193)</f>
        <v>0</v>
      </c>
      <c r="T195" s="1027">
        <f t="shared" ref="T195:AC195" si="55">COUNT(T185:T193)</f>
        <v>0</v>
      </c>
      <c r="U195" s="1027">
        <f t="shared" si="55"/>
        <v>0</v>
      </c>
      <c r="V195" s="1027">
        <f t="shared" si="55"/>
        <v>0</v>
      </c>
      <c r="W195" s="1027">
        <f t="shared" si="55"/>
        <v>0</v>
      </c>
      <c r="X195" s="1027">
        <f t="shared" si="55"/>
        <v>9</v>
      </c>
      <c r="Y195" s="1027">
        <f t="shared" si="55"/>
        <v>9</v>
      </c>
      <c r="Z195" s="1027">
        <f t="shared" si="55"/>
        <v>0</v>
      </c>
      <c r="AA195" s="1027">
        <f t="shared" si="55"/>
        <v>9</v>
      </c>
      <c r="AB195" s="1027">
        <f t="shared" si="55"/>
        <v>0</v>
      </c>
      <c r="AC195" s="1027">
        <f t="shared" si="55"/>
        <v>0</v>
      </c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61"/>
      <c r="CJ195" s="61"/>
      <c r="CK195" s="61"/>
      <c r="CL195" s="61"/>
      <c r="CM195" s="61"/>
      <c r="CN195" s="61"/>
      <c r="CO195" s="61"/>
    </row>
    <row r="196" spans="1:105">
      <c r="A196" s="114"/>
      <c r="B196" s="114"/>
      <c r="C196" s="775" t="s">
        <v>286</v>
      </c>
      <c r="D196" s="1026">
        <f t="shared" ref="D196:AC196" si="56">D194/D195</f>
        <v>1</v>
      </c>
      <c r="E196" s="1026">
        <f t="shared" si="56"/>
        <v>1</v>
      </c>
      <c r="F196" s="1026">
        <f t="shared" si="56"/>
        <v>1</v>
      </c>
      <c r="G196" s="1026">
        <f t="shared" si="56"/>
        <v>1</v>
      </c>
      <c r="H196" s="1026">
        <f t="shared" si="56"/>
        <v>1</v>
      </c>
      <c r="I196" s="1026">
        <f t="shared" si="56"/>
        <v>1</v>
      </c>
      <c r="J196" s="1026">
        <f t="shared" si="56"/>
        <v>1</v>
      </c>
      <c r="K196" s="1026">
        <f t="shared" si="56"/>
        <v>1</v>
      </c>
      <c r="L196" s="1026">
        <f t="shared" si="56"/>
        <v>1</v>
      </c>
      <c r="M196" s="1026">
        <f t="shared" si="56"/>
        <v>1</v>
      </c>
      <c r="N196" s="1026">
        <f t="shared" si="56"/>
        <v>1</v>
      </c>
      <c r="O196" s="1026" t="e">
        <f t="shared" si="56"/>
        <v>#DIV/0!</v>
      </c>
      <c r="P196" s="1026">
        <f t="shared" si="56"/>
        <v>1</v>
      </c>
      <c r="Q196" s="1026">
        <f t="shared" si="56"/>
        <v>1</v>
      </c>
      <c r="R196" s="1026" t="e">
        <f t="shared" si="56"/>
        <v>#DIV/0!</v>
      </c>
      <c r="S196" s="1026" t="e">
        <f t="shared" si="56"/>
        <v>#DIV/0!</v>
      </c>
      <c r="T196" s="1026" t="e">
        <f t="shared" si="56"/>
        <v>#DIV/0!</v>
      </c>
      <c r="U196" s="1026" t="e">
        <f t="shared" si="56"/>
        <v>#DIV/0!</v>
      </c>
      <c r="V196" s="1026" t="e">
        <f t="shared" si="56"/>
        <v>#DIV/0!</v>
      </c>
      <c r="W196" s="1026" t="e">
        <f t="shared" si="56"/>
        <v>#DIV/0!</v>
      </c>
      <c r="X196" s="1026">
        <f t="shared" si="56"/>
        <v>1</v>
      </c>
      <c r="Y196" s="1026">
        <f t="shared" si="56"/>
        <v>1</v>
      </c>
      <c r="Z196" s="1026" t="e">
        <f t="shared" si="56"/>
        <v>#DIV/0!</v>
      </c>
      <c r="AA196" s="1026">
        <f t="shared" si="56"/>
        <v>1</v>
      </c>
      <c r="AB196" s="1026" t="e">
        <f t="shared" si="56"/>
        <v>#DIV/0!</v>
      </c>
      <c r="AC196" s="1026" t="e">
        <f t="shared" si="56"/>
        <v>#DIV/0!</v>
      </c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/>
      <c r="CI196" s="61"/>
      <c r="CJ196" s="61"/>
      <c r="CK196" s="61"/>
      <c r="CL196" s="61"/>
      <c r="CM196" s="61"/>
      <c r="CN196" s="61"/>
      <c r="CO196" s="61"/>
    </row>
    <row r="197" spans="1:105">
      <c r="A197" s="123"/>
      <c r="B197" s="122"/>
      <c r="C197" s="109"/>
      <c r="D197" s="197"/>
      <c r="E197" s="197"/>
      <c r="F197" s="197"/>
      <c r="G197" s="197"/>
      <c r="H197" s="235"/>
      <c r="I197" s="235"/>
      <c r="J197" s="235"/>
      <c r="K197" s="235"/>
      <c r="L197" s="120"/>
      <c r="M197" s="217"/>
      <c r="N197" s="222"/>
      <c r="O197" s="222"/>
      <c r="P197" s="234"/>
      <c r="Q197" s="222"/>
      <c r="R197" s="222"/>
      <c r="S197" s="301"/>
      <c r="T197" s="301"/>
      <c r="U197" s="301"/>
      <c r="V197" s="301"/>
      <c r="W197" s="301"/>
      <c r="X197" s="767"/>
      <c r="Y197" s="61"/>
      <c r="Z197" s="95"/>
      <c r="AA197" s="175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</row>
    <row r="198" spans="1:105">
      <c r="A198" s="123"/>
      <c r="B198" s="122"/>
      <c r="C198" s="109"/>
      <c r="D198" s="197"/>
      <c r="E198" s="197"/>
      <c r="F198" s="3546" t="s">
        <v>227</v>
      </c>
      <c r="G198" s="3546"/>
      <c r="H198" s="3546"/>
      <c r="I198" s="3546"/>
      <c r="J198" s="107"/>
      <c r="K198" s="235"/>
      <c r="L198" s="120"/>
      <c r="M198" s="217"/>
      <c r="N198" s="3546" t="s">
        <v>227</v>
      </c>
      <c r="O198" s="3546"/>
      <c r="P198" s="3546"/>
      <c r="Q198" s="3546"/>
      <c r="R198" s="222"/>
      <c r="S198" s="301"/>
      <c r="T198" s="301"/>
      <c r="U198" s="301"/>
      <c r="V198" s="301"/>
      <c r="W198" s="301"/>
      <c r="X198" s="767"/>
      <c r="Y198" s="61"/>
      <c r="Z198" s="95"/>
      <c r="AA198" s="175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</row>
    <row r="199" spans="1:105" s="4" customFormat="1" ht="15.75" thickBot="1">
      <c r="A199" s="123"/>
      <c r="B199" s="122"/>
      <c r="C199" s="109"/>
      <c r="D199" s="197"/>
      <c r="E199" s="197"/>
      <c r="F199" s="3546"/>
      <c r="G199" s="3546"/>
      <c r="H199" s="3546"/>
      <c r="I199" s="3546"/>
      <c r="J199" s="107"/>
      <c r="K199" s="235"/>
      <c r="L199" s="120"/>
      <c r="M199" s="217"/>
      <c r="N199" s="3546"/>
      <c r="O199" s="3546"/>
      <c r="P199" s="3546"/>
      <c r="Q199" s="3546"/>
      <c r="R199" s="222"/>
      <c r="S199" s="301"/>
      <c r="T199" s="301"/>
      <c r="U199" s="301"/>
      <c r="V199" s="301"/>
      <c r="W199" s="301"/>
      <c r="X199" s="767"/>
      <c r="Y199" s="61"/>
      <c r="Z199" s="95"/>
      <c r="AA199" s="175"/>
      <c r="BB199" s="83"/>
      <c r="BC199" s="83"/>
      <c r="BD199" s="83"/>
      <c r="BE199" s="83"/>
      <c r="BF199" s="83"/>
      <c r="BG199" s="83"/>
      <c r="BH199" s="83"/>
      <c r="BI199" s="83"/>
      <c r="BJ199" s="83"/>
      <c r="BK199" s="83"/>
      <c r="BL199" s="83"/>
      <c r="BM199" s="83"/>
      <c r="BN199" s="83"/>
      <c r="BO199" s="83"/>
      <c r="BP199" s="83"/>
      <c r="BQ199" s="83"/>
      <c r="BR199" s="83"/>
      <c r="BS199" s="83"/>
      <c r="BT199" s="83"/>
      <c r="BU199" s="83"/>
      <c r="BV199" s="83"/>
      <c r="CE199" s="83"/>
      <c r="CF199" s="83"/>
      <c r="CG199" s="83"/>
      <c r="CH199" s="83"/>
      <c r="CI199" s="83"/>
      <c r="CJ199" s="83"/>
      <c r="CK199" s="83"/>
      <c r="CL199" s="83"/>
      <c r="CM199" s="83"/>
      <c r="CN199" s="83"/>
      <c r="CO199" s="83"/>
      <c r="CP199" s="83"/>
      <c r="CQ199" s="83"/>
      <c r="CR199" s="83"/>
      <c r="CS199" s="83"/>
      <c r="CT199" s="83"/>
      <c r="CU199" s="83"/>
      <c r="CV199" s="83"/>
      <c r="CW199" s="83"/>
      <c r="CX199" s="83"/>
      <c r="CY199" s="83"/>
      <c r="CZ199" s="83"/>
      <c r="DA199" s="83"/>
    </row>
    <row r="200" spans="1:105" s="4" customFormat="1" ht="15.75" thickBot="1">
      <c r="A200" s="328"/>
      <c r="B200" s="113"/>
      <c r="C200" s="266" t="s">
        <v>168</v>
      </c>
      <c r="D200" s="268">
        <v>0.4</v>
      </c>
      <c r="E200" s="268">
        <v>0.4</v>
      </c>
      <c r="F200" s="268">
        <v>0.4</v>
      </c>
      <c r="G200" s="345">
        <v>0.4</v>
      </c>
      <c r="H200" s="346">
        <v>0.4</v>
      </c>
      <c r="I200" s="268">
        <v>0.4</v>
      </c>
      <c r="J200" s="268">
        <v>0.4</v>
      </c>
      <c r="K200" s="269">
        <v>0.4</v>
      </c>
      <c r="L200" s="346">
        <v>0.4</v>
      </c>
      <c r="M200" s="268">
        <v>0.4</v>
      </c>
      <c r="N200" s="268">
        <v>0.4</v>
      </c>
      <c r="O200" s="274">
        <v>0.4</v>
      </c>
      <c r="P200" s="547">
        <v>0.4</v>
      </c>
      <c r="Q200" s="355">
        <v>0.4</v>
      </c>
      <c r="R200" s="355">
        <v>0.4</v>
      </c>
      <c r="S200" s="543">
        <v>0.4</v>
      </c>
      <c r="T200" s="543">
        <v>0.4</v>
      </c>
      <c r="U200" s="543">
        <v>0.4</v>
      </c>
      <c r="V200" s="543">
        <v>0.4</v>
      </c>
      <c r="W200" s="543">
        <v>0.4</v>
      </c>
      <c r="X200" s="767"/>
      <c r="Y200" s="61"/>
      <c r="Z200" s="70"/>
      <c r="AA200" s="175"/>
      <c r="BB200" s="83"/>
      <c r="BC200" s="83"/>
      <c r="BD200" s="83"/>
      <c r="BE200" s="83"/>
      <c r="BF200" s="83"/>
      <c r="BG200" s="83"/>
      <c r="BH200" s="83"/>
      <c r="BI200" s="83"/>
      <c r="BJ200" s="83"/>
      <c r="BK200" s="83"/>
      <c r="BL200" s="83"/>
      <c r="BM200" s="83"/>
      <c r="BN200" s="83"/>
      <c r="BO200" s="83"/>
      <c r="BP200" s="83"/>
      <c r="BQ200" s="83"/>
      <c r="BR200" s="83"/>
      <c r="BS200" s="83"/>
      <c r="BT200" s="83"/>
      <c r="BU200" s="83"/>
      <c r="BV200" s="83"/>
      <c r="CE200" s="83"/>
      <c r="CF200" s="83"/>
      <c r="CG200" s="83"/>
      <c r="CH200" s="83"/>
      <c r="CI200" s="83"/>
      <c r="CJ200" s="83"/>
      <c r="CK200" s="83"/>
      <c r="CL200" s="83"/>
      <c r="CM200" s="83"/>
      <c r="CN200" s="83"/>
      <c r="CO200" s="83"/>
      <c r="CP200" s="83"/>
      <c r="CQ200" s="83"/>
      <c r="CR200" s="83"/>
      <c r="CS200" s="83"/>
      <c r="CT200" s="83"/>
      <c r="CU200" s="83"/>
      <c r="CV200" s="83"/>
      <c r="CW200" s="83"/>
      <c r="CX200" s="83"/>
      <c r="CY200" s="83"/>
      <c r="CZ200" s="83"/>
      <c r="DA200" s="83"/>
    </row>
    <row r="201" spans="1:105" s="4" customFormat="1">
      <c r="A201" s="328"/>
      <c r="B201" s="113"/>
      <c r="C201" s="368" t="s">
        <v>116</v>
      </c>
      <c r="D201" s="480">
        <v>7.62</v>
      </c>
      <c r="E201" s="480">
        <v>6.0650000000000004</v>
      </c>
      <c r="F201" s="480">
        <v>5.0599999999999996</v>
      </c>
      <c r="G201" s="488">
        <v>4.7616666666666667</v>
      </c>
      <c r="H201" s="479">
        <v>5.3999999999999995</v>
      </c>
      <c r="I201" s="480">
        <v>7.6366666666666667</v>
      </c>
      <c r="J201" s="675">
        <v>11.266666666666667</v>
      </c>
      <c r="K201" s="740">
        <v>5.1433333333333335</v>
      </c>
      <c r="L201" s="741">
        <v>3.22</v>
      </c>
      <c r="M201" s="743">
        <v>6.31</v>
      </c>
      <c r="N201" s="744">
        <v>7.42</v>
      </c>
      <c r="O201" s="945"/>
      <c r="P201" s="2295"/>
      <c r="Q201" s="744"/>
      <c r="R201" s="1818">
        <v>0.47</v>
      </c>
      <c r="S201" s="2958">
        <v>7.0000000000000007E-2</v>
      </c>
      <c r="T201" s="855">
        <v>4.3099999999999996</v>
      </c>
      <c r="U201" s="855">
        <v>6.87</v>
      </c>
      <c r="V201" s="855">
        <v>8.49</v>
      </c>
      <c r="W201" s="3088">
        <v>9.6999999999999993</v>
      </c>
      <c r="X201" s="767"/>
      <c r="Y201" s="61"/>
      <c r="Z201" s="70"/>
      <c r="AA201" s="175"/>
      <c r="BB201" s="83"/>
      <c r="BC201" s="83"/>
      <c r="BD201" s="83"/>
      <c r="BE201" s="83"/>
      <c r="BF201" s="83"/>
      <c r="BG201" s="83"/>
      <c r="BH201" s="83"/>
      <c r="BI201" s="83"/>
      <c r="BJ201" s="83"/>
      <c r="BK201" s="83"/>
      <c r="BL201" s="83"/>
      <c r="BM201" s="83"/>
      <c r="BN201" s="83"/>
      <c r="BO201" s="83"/>
      <c r="BP201" s="83"/>
      <c r="BQ201" s="83"/>
      <c r="BR201" s="83"/>
      <c r="BS201" s="83"/>
      <c r="BT201" s="83"/>
      <c r="BU201" s="83"/>
      <c r="BV201" s="83"/>
      <c r="CE201" s="83"/>
      <c r="CF201" s="83"/>
      <c r="CG201" s="83"/>
      <c r="CH201" s="83"/>
      <c r="CI201" s="83"/>
      <c r="CJ201" s="83"/>
      <c r="CK201" s="83"/>
      <c r="CL201" s="83"/>
      <c r="CM201" s="83"/>
      <c r="CN201" s="83"/>
      <c r="CO201" s="83"/>
      <c r="CP201" s="83"/>
      <c r="CQ201" s="83"/>
      <c r="CR201" s="83"/>
      <c r="CS201" s="83"/>
      <c r="CT201" s="83"/>
      <c r="CU201" s="83"/>
      <c r="CV201" s="83"/>
      <c r="CW201" s="83"/>
      <c r="CX201" s="83"/>
      <c r="CY201" s="83"/>
      <c r="CZ201" s="83"/>
      <c r="DA201" s="83"/>
    </row>
    <row r="202" spans="1:105">
      <c r="A202" s="123"/>
      <c r="B202" s="122"/>
      <c r="C202" s="101" t="s">
        <v>124</v>
      </c>
      <c r="D202" s="484">
        <v>34.369999999999997</v>
      </c>
      <c r="E202" s="484">
        <v>18.984999999999999</v>
      </c>
      <c r="F202" s="484">
        <v>27.463333333333335</v>
      </c>
      <c r="G202" s="489">
        <v>33.85</v>
      </c>
      <c r="H202" s="483">
        <v>28.600000000000005</v>
      </c>
      <c r="I202" s="484">
        <v>42.633333333333333</v>
      </c>
      <c r="J202" s="675">
        <v>18.45</v>
      </c>
      <c r="K202" s="740">
        <v>13.416666666666666</v>
      </c>
      <c r="L202" s="734">
        <v>11.520000000000001</v>
      </c>
      <c r="M202" s="499">
        <v>13.24</v>
      </c>
      <c r="N202" s="521">
        <v>13.43</v>
      </c>
      <c r="O202" s="848"/>
      <c r="P202" s="2296"/>
      <c r="Q202" s="521"/>
      <c r="R202" s="1755">
        <v>1.37</v>
      </c>
      <c r="S202" s="2959">
        <v>7.0000000000000007E-2</v>
      </c>
      <c r="T202" s="839">
        <v>19.39</v>
      </c>
      <c r="U202" s="839">
        <v>21.4</v>
      </c>
      <c r="V202" s="839">
        <v>25.55</v>
      </c>
      <c r="W202" s="3094">
        <v>21.97</v>
      </c>
      <c r="X202" s="767"/>
      <c r="Y202" s="61"/>
      <c r="Z202" s="70"/>
      <c r="AA202" s="175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  <c r="CL202" s="61"/>
      <c r="CM202" s="61"/>
      <c r="CN202" s="61"/>
      <c r="CO202" s="61"/>
    </row>
    <row r="203" spans="1:105">
      <c r="A203" s="123"/>
      <c r="B203" s="122"/>
      <c r="C203" s="102" t="s">
        <v>118</v>
      </c>
      <c r="D203" s="484">
        <v>2.09</v>
      </c>
      <c r="E203" s="484">
        <v>4.97</v>
      </c>
      <c r="F203" s="484">
        <v>3.77</v>
      </c>
      <c r="G203" s="489">
        <v>5.86</v>
      </c>
      <c r="H203" s="483">
        <v>6.4666666666666659</v>
      </c>
      <c r="I203" s="484">
        <v>13.060000000000002</v>
      </c>
      <c r="J203" s="675">
        <v>6.0666666666666664</v>
      </c>
      <c r="K203" s="740">
        <v>4.5233333333333334</v>
      </c>
      <c r="L203" s="734">
        <v>1.53</v>
      </c>
      <c r="M203" s="410">
        <v>2.98</v>
      </c>
      <c r="N203" s="410">
        <v>3.83</v>
      </c>
      <c r="O203" s="318"/>
      <c r="P203" s="2297"/>
      <c r="Q203" s="304"/>
      <c r="R203" s="2872">
        <v>0.93</v>
      </c>
      <c r="S203" s="381">
        <v>0.04</v>
      </c>
      <c r="T203" s="304">
        <v>4.79</v>
      </c>
      <c r="U203" s="304">
        <v>3.28</v>
      </c>
      <c r="V203" s="304">
        <v>2.3199999999999998</v>
      </c>
      <c r="W203" s="3088">
        <v>1.24</v>
      </c>
      <c r="X203" s="767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  <c r="BW203" s="61"/>
      <c r="BX203" s="61"/>
      <c r="BY203" s="61"/>
      <c r="BZ203" s="61"/>
      <c r="CA203" s="61"/>
      <c r="CB203" s="61"/>
      <c r="CC203" s="61"/>
      <c r="CD203" s="61"/>
      <c r="CE203" s="61"/>
      <c r="CF203" s="61"/>
      <c r="CG203" s="61"/>
      <c r="CH203" s="61"/>
      <c r="CI203" s="61"/>
      <c r="CJ203" s="61"/>
      <c r="CK203" s="61"/>
      <c r="CL203" s="61"/>
      <c r="CM203" s="61"/>
      <c r="CN203" s="61"/>
      <c r="CO203" s="61"/>
    </row>
    <row r="204" spans="1:105" s="4" customFormat="1">
      <c r="A204" s="123"/>
      <c r="B204" s="122"/>
      <c r="C204" s="102" t="s">
        <v>113</v>
      </c>
      <c r="D204" s="484">
        <v>2.37</v>
      </c>
      <c r="E204" s="484">
        <v>4.54</v>
      </c>
      <c r="F204" s="484">
        <v>4.2833333333333341</v>
      </c>
      <c r="G204" s="489">
        <v>5.5066666666666668</v>
      </c>
      <c r="H204" s="483">
        <v>5.5666666666666664</v>
      </c>
      <c r="I204" s="484">
        <v>7.6266666666666678</v>
      </c>
      <c r="J204" s="675">
        <v>6.3133333333333326</v>
      </c>
      <c r="K204" s="740">
        <v>4.6833333333333327</v>
      </c>
      <c r="L204" s="734">
        <v>3.2733333333333334</v>
      </c>
      <c r="M204" s="410">
        <v>4.1500000000000004</v>
      </c>
      <c r="N204" s="410">
        <v>3.36</v>
      </c>
      <c r="O204" s="318"/>
      <c r="P204" s="2297"/>
      <c r="Q204" s="304"/>
      <c r="R204" s="2872">
        <v>0.5</v>
      </c>
      <c r="S204" s="381">
        <v>0.06</v>
      </c>
      <c r="T204" s="304">
        <v>2.62</v>
      </c>
      <c r="U204" s="304">
        <v>4.5999999999999996</v>
      </c>
      <c r="V204" s="304">
        <v>5.65</v>
      </c>
      <c r="W204" s="3095">
        <v>6.28</v>
      </c>
      <c r="X204" s="767"/>
      <c r="Y204" s="61"/>
      <c r="Z204" s="61"/>
      <c r="AA204" s="61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  <c r="AS204" s="83"/>
      <c r="AT204" s="83"/>
      <c r="AU204" s="83"/>
      <c r="AV204" s="83"/>
      <c r="AW204" s="83"/>
      <c r="AX204" s="83"/>
      <c r="AY204" s="83"/>
      <c r="AZ204" s="83"/>
      <c r="BE204" s="83"/>
      <c r="BF204" s="83"/>
      <c r="BG204" s="83"/>
      <c r="BH204" s="83"/>
      <c r="BI204" s="83"/>
      <c r="BJ204" s="83"/>
      <c r="BK204" s="83"/>
      <c r="BL204" s="83"/>
      <c r="BM204" s="83"/>
    </row>
    <row r="205" spans="1:105" s="4" customFormat="1">
      <c r="A205" s="123"/>
      <c r="B205" s="122"/>
      <c r="C205" s="101" t="s">
        <v>123</v>
      </c>
      <c r="D205" s="484">
        <v>58.17</v>
      </c>
      <c r="E205" s="484">
        <v>43.12</v>
      </c>
      <c r="F205" s="484">
        <v>17.72</v>
      </c>
      <c r="G205" s="489">
        <v>39.18</v>
      </c>
      <c r="H205" s="483">
        <v>37.999999999999993</v>
      </c>
      <c r="I205" s="484">
        <v>38.35</v>
      </c>
      <c r="J205" s="675">
        <v>13.696666666666665</v>
      </c>
      <c r="K205" s="740">
        <v>11.126666666666665</v>
      </c>
      <c r="L205" s="734">
        <v>12.820000000000002</v>
      </c>
      <c r="M205" s="410">
        <v>15.92</v>
      </c>
      <c r="N205" s="410">
        <v>13.47</v>
      </c>
      <c r="O205" s="318"/>
      <c r="P205" s="2297"/>
      <c r="Q205" s="304"/>
      <c r="R205" s="2872">
        <v>0.35</v>
      </c>
      <c r="S205" s="381">
        <v>0.02</v>
      </c>
      <c r="T205" s="304">
        <v>23.42</v>
      </c>
      <c r="U205" s="304">
        <v>23.08</v>
      </c>
      <c r="V205" s="304">
        <v>23.32</v>
      </c>
      <c r="W205" s="3088">
        <v>23.7</v>
      </c>
      <c r="X205" s="767"/>
      <c r="Y205" s="61"/>
      <c r="Z205" s="61"/>
      <c r="AA205" s="61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  <c r="AO205" s="83"/>
      <c r="AP205" s="83"/>
      <c r="AQ205" s="83"/>
      <c r="AR205" s="83"/>
      <c r="AS205" s="83"/>
      <c r="AT205" s="83"/>
      <c r="AU205" s="83"/>
      <c r="AV205" s="83"/>
      <c r="AW205" s="83"/>
      <c r="AX205" s="83"/>
      <c r="AY205" s="83"/>
      <c r="AZ205" s="83"/>
      <c r="BE205" s="83"/>
      <c r="BF205" s="83"/>
      <c r="BG205" s="83"/>
      <c r="BH205" s="83"/>
      <c r="BI205" s="83"/>
      <c r="BJ205" s="83"/>
      <c r="BK205" s="83"/>
      <c r="BL205" s="83"/>
      <c r="BM205" s="83"/>
    </row>
    <row r="206" spans="1:105" s="4" customFormat="1">
      <c r="A206" s="123"/>
      <c r="B206" s="122"/>
      <c r="C206" s="101" t="s">
        <v>120</v>
      </c>
      <c r="D206" s="484">
        <v>45.98</v>
      </c>
      <c r="E206" s="484">
        <v>22.274999999999999</v>
      </c>
      <c r="F206" s="484">
        <v>8.0833333333333339</v>
      </c>
      <c r="G206" s="489">
        <v>30.221666666666664</v>
      </c>
      <c r="H206" s="483">
        <v>22.566666666666663</v>
      </c>
      <c r="I206" s="484">
        <v>24.643333333333334</v>
      </c>
      <c r="J206" s="675">
        <v>12.703333333333333</v>
      </c>
      <c r="K206" s="740">
        <v>9.7166666666666668</v>
      </c>
      <c r="L206" s="734">
        <v>8.8966666666666665</v>
      </c>
      <c r="M206" s="410">
        <v>11.48</v>
      </c>
      <c r="N206" s="410">
        <v>13.25</v>
      </c>
      <c r="O206" s="318"/>
      <c r="P206" s="2297"/>
      <c r="Q206" s="304"/>
      <c r="R206" s="2872">
        <v>0.3</v>
      </c>
      <c r="S206" s="381">
        <v>0.05</v>
      </c>
      <c r="T206" s="304">
        <v>24.38</v>
      </c>
      <c r="U206" s="304">
        <v>25.41</v>
      </c>
      <c r="V206" s="304">
        <v>23.13</v>
      </c>
      <c r="W206" s="3088">
        <v>25.19</v>
      </c>
      <c r="X206" s="767"/>
      <c r="Y206" s="61"/>
      <c r="Z206" s="61"/>
      <c r="AA206" s="61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  <c r="AO206" s="83"/>
      <c r="AP206" s="83"/>
      <c r="AQ206" s="83"/>
      <c r="AR206" s="83"/>
      <c r="AS206" s="83"/>
      <c r="AT206" s="83"/>
      <c r="AU206" s="83"/>
      <c r="AV206" s="83"/>
      <c r="AW206" s="83"/>
      <c r="AX206" s="83"/>
      <c r="AY206" s="83"/>
      <c r="AZ206" s="83"/>
      <c r="BE206" s="83"/>
      <c r="BF206" s="83"/>
      <c r="BG206" s="83"/>
      <c r="BH206" s="83"/>
      <c r="BI206" s="83"/>
      <c r="BJ206" s="83"/>
      <c r="BK206" s="83"/>
      <c r="BL206" s="83"/>
      <c r="BM206" s="83"/>
    </row>
    <row r="207" spans="1:105" s="1096" customFormat="1">
      <c r="A207" s="123"/>
      <c r="B207" s="122"/>
      <c r="C207" s="101" t="s">
        <v>122</v>
      </c>
      <c r="D207" s="484">
        <v>61.4</v>
      </c>
      <c r="E207" s="484">
        <v>38.045000000000002</v>
      </c>
      <c r="F207" s="484">
        <v>52.543333333333329</v>
      </c>
      <c r="G207" s="489">
        <v>43.963333333333338</v>
      </c>
      <c r="H207" s="483">
        <v>25.066666666666666</v>
      </c>
      <c r="I207" s="484">
        <v>50.516666666666673</v>
      </c>
      <c r="J207" s="675">
        <v>19.690000000000001</v>
      </c>
      <c r="K207" s="740">
        <v>14.016666666666666</v>
      </c>
      <c r="L207" s="734">
        <v>13.396666666666667</v>
      </c>
      <c r="M207" s="410">
        <v>17.8</v>
      </c>
      <c r="N207" s="410">
        <v>18.71</v>
      </c>
      <c r="O207" s="318"/>
      <c r="P207" s="2297"/>
      <c r="Q207" s="304"/>
      <c r="R207" s="2872">
        <v>0.59</v>
      </c>
      <c r="S207" s="381">
        <v>0.02</v>
      </c>
      <c r="T207" s="304">
        <v>19.510000000000002</v>
      </c>
      <c r="U207" s="304">
        <v>20.21</v>
      </c>
      <c r="V207" s="304">
        <v>20.73</v>
      </c>
      <c r="W207" s="3088">
        <v>25.85</v>
      </c>
      <c r="X207" s="767"/>
      <c r="Y207" s="61"/>
      <c r="Z207" s="61"/>
      <c r="AA207" s="61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BE207" s="61"/>
      <c r="BF207" s="61"/>
      <c r="BG207" s="61"/>
      <c r="BH207" s="61"/>
      <c r="BI207" s="61"/>
      <c r="BJ207" s="61"/>
      <c r="BK207" s="61"/>
      <c r="BL207" s="61"/>
      <c r="BM207" s="61"/>
    </row>
    <row r="208" spans="1:105" s="1106" customFormat="1">
      <c r="A208" s="123"/>
      <c r="B208" s="122"/>
      <c r="C208" s="101" t="s">
        <v>114</v>
      </c>
      <c r="D208" s="484">
        <v>16.420000000000002</v>
      </c>
      <c r="E208" s="484">
        <v>5.09</v>
      </c>
      <c r="F208" s="484">
        <v>5.2866666666666662</v>
      </c>
      <c r="G208" s="489">
        <v>4.68</v>
      </c>
      <c r="H208" s="483">
        <v>3.5666666666666664</v>
      </c>
      <c r="I208" s="484">
        <v>5.88</v>
      </c>
      <c r="J208" s="675">
        <v>7.7</v>
      </c>
      <c r="K208" s="740">
        <v>3.9966666666666661</v>
      </c>
      <c r="L208" s="734">
        <v>2.186666666666667</v>
      </c>
      <c r="M208" s="410">
        <v>4.3099999999999996</v>
      </c>
      <c r="N208" s="410">
        <v>3.79</v>
      </c>
      <c r="O208" s="318"/>
      <c r="P208" s="2297"/>
      <c r="Q208" s="304"/>
      <c r="R208" s="2872">
        <v>0.3</v>
      </c>
      <c r="S208" s="381">
        <v>0.04</v>
      </c>
      <c r="T208" s="304">
        <v>3.29</v>
      </c>
      <c r="U208" s="304">
        <v>4.87</v>
      </c>
      <c r="V208" s="304">
        <v>3.46</v>
      </c>
      <c r="W208" s="3088">
        <v>2.8</v>
      </c>
      <c r="X208" s="767"/>
      <c r="Y208" s="61"/>
      <c r="Z208" s="61"/>
      <c r="AA208" s="61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BE208" s="61"/>
      <c r="BF208" s="61"/>
      <c r="BG208" s="61"/>
      <c r="BH208" s="61"/>
      <c r="BI208" s="61"/>
      <c r="BJ208" s="61"/>
      <c r="BK208" s="61"/>
      <c r="BL208" s="61"/>
      <c r="BM208" s="61"/>
    </row>
    <row r="209" spans="1:65" s="1096" customFormat="1">
      <c r="A209" s="123"/>
      <c r="B209" s="122"/>
      <c r="C209" s="103" t="s">
        <v>115</v>
      </c>
      <c r="D209" s="484">
        <v>2.0099999999999998</v>
      </c>
      <c r="E209" s="484">
        <v>5.5549999999999997</v>
      </c>
      <c r="F209" s="484">
        <v>6.6333333333333329</v>
      </c>
      <c r="G209" s="489">
        <v>6.8000000000000007</v>
      </c>
      <c r="H209" s="483">
        <v>7.6999999999999993</v>
      </c>
      <c r="I209" s="484">
        <v>8.663333333333334</v>
      </c>
      <c r="J209" s="675">
        <v>6.9066666666666663</v>
      </c>
      <c r="K209" s="740">
        <v>3.793333333333333</v>
      </c>
      <c r="L209" s="734">
        <v>2.4333333333333331</v>
      </c>
      <c r="M209" s="410">
        <v>4.01</v>
      </c>
      <c r="N209" s="410">
        <v>4.43</v>
      </c>
      <c r="O209" s="318"/>
      <c r="P209" s="2297"/>
      <c r="Q209" s="304"/>
      <c r="R209" s="2872">
        <v>0.45</v>
      </c>
      <c r="S209" s="381">
        <v>0.03</v>
      </c>
      <c r="T209" s="304">
        <v>2.81</v>
      </c>
      <c r="U209" s="304">
        <v>4.33</v>
      </c>
      <c r="V209" s="304">
        <v>4.9000000000000004</v>
      </c>
      <c r="W209" s="3088">
        <v>4.28</v>
      </c>
      <c r="X209" s="767"/>
      <c r="Y209" s="61"/>
      <c r="Z209" s="61"/>
      <c r="AA209" s="61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BE209" s="61"/>
      <c r="BF209" s="61"/>
      <c r="BG209" s="61"/>
      <c r="BH209" s="61"/>
      <c r="BI209" s="61"/>
      <c r="BJ209" s="61"/>
      <c r="BK209" s="61"/>
      <c r="BL209" s="61"/>
      <c r="BM209" s="61"/>
    </row>
    <row r="210" spans="1:65" s="1096" customFormat="1">
      <c r="A210" s="123"/>
      <c r="B210" s="122"/>
      <c r="C210" s="101" t="s">
        <v>112</v>
      </c>
      <c r="D210" s="484">
        <v>3.3</v>
      </c>
      <c r="E210" s="484">
        <v>2.2400000000000002</v>
      </c>
      <c r="F210" s="484">
        <v>4.456666666666667</v>
      </c>
      <c r="G210" s="489">
        <v>6.8133333333333335</v>
      </c>
      <c r="H210" s="483">
        <v>4.6000000000000005</v>
      </c>
      <c r="I210" s="484">
        <v>1.8733333333333333</v>
      </c>
      <c r="J210" s="675">
        <v>6.1166666666666671</v>
      </c>
      <c r="K210" s="740">
        <v>2.3033333333333332</v>
      </c>
      <c r="L210" s="734">
        <v>1.0366666666666668</v>
      </c>
      <c r="M210" s="410">
        <v>1.08</v>
      </c>
      <c r="N210" s="410">
        <v>0.94</v>
      </c>
      <c r="O210" s="318"/>
      <c r="P210" s="2297"/>
      <c r="Q210" s="304"/>
      <c r="R210" s="2872">
        <v>0.56999999999999995</v>
      </c>
      <c r="S210" s="381">
        <v>0.03</v>
      </c>
      <c r="T210" s="394">
        <v>0.8</v>
      </c>
      <c r="U210" s="394">
        <v>1.1000000000000001</v>
      </c>
      <c r="V210" s="394">
        <v>0.63</v>
      </c>
      <c r="W210" s="3088">
        <v>0.67</v>
      </c>
      <c r="X210" s="767"/>
      <c r="Y210" s="61"/>
      <c r="Z210" s="61"/>
      <c r="AA210" s="61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</row>
    <row r="211" spans="1:65" s="1106" customFormat="1">
      <c r="A211" s="123"/>
      <c r="B211" s="122"/>
      <c r="C211" s="102" t="s">
        <v>187</v>
      </c>
      <c r="D211" s="484">
        <v>14.61</v>
      </c>
      <c r="E211" s="484">
        <v>5.35</v>
      </c>
      <c r="F211" s="484">
        <v>5.7766666666666664</v>
      </c>
      <c r="G211" s="489">
        <v>5.2533333333333339</v>
      </c>
      <c r="H211" s="483">
        <v>4.8</v>
      </c>
      <c r="I211" s="484">
        <v>5.1333333333333329</v>
      </c>
      <c r="J211" s="675">
        <v>10.426666666666668</v>
      </c>
      <c r="K211" s="740">
        <v>4.4200000000000008</v>
      </c>
      <c r="L211" s="734">
        <v>2.4333333333333331</v>
      </c>
      <c r="M211" s="410">
        <v>4.2699999999999996</v>
      </c>
      <c r="N211" s="410">
        <v>4.58</v>
      </c>
      <c r="O211" s="318"/>
      <c r="P211" s="2297"/>
      <c r="Q211" s="304"/>
      <c r="R211" s="2872">
        <v>0.73</v>
      </c>
      <c r="S211" s="381">
        <v>0.05</v>
      </c>
      <c r="T211" s="304">
        <v>3.01</v>
      </c>
      <c r="U211" s="304">
        <v>3.65</v>
      </c>
      <c r="V211" s="304">
        <v>2.0499999999999998</v>
      </c>
      <c r="W211" s="3094">
        <v>2.44</v>
      </c>
      <c r="X211" s="767"/>
      <c r="Y211" s="61"/>
      <c r="Z211" s="61"/>
      <c r="AA211" s="61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</row>
    <row r="212" spans="1:65" s="1096" customFormat="1">
      <c r="A212" s="123"/>
      <c r="B212" s="122"/>
      <c r="C212" s="101" t="s">
        <v>117</v>
      </c>
      <c r="D212" s="484">
        <v>3.94</v>
      </c>
      <c r="E212" s="484">
        <v>5.0149999999999997</v>
      </c>
      <c r="F212" s="484">
        <v>8.6733333333333338</v>
      </c>
      <c r="G212" s="489">
        <v>9.7899999999999991</v>
      </c>
      <c r="H212" s="483">
        <v>7.0999999999999988</v>
      </c>
      <c r="I212" s="484">
        <v>10.933333333333332</v>
      </c>
      <c r="J212" s="675">
        <v>7.2600000000000007</v>
      </c>
      <c r="K212" s="740">
        <v>3.8933333333333331</v>
      </c>
      <c r="L212" s="734">
        <v>3.5066666666666664</v>
      </c>
      <c r="M212" s="410">
        <v>7.53</v>
      </c>
      <c r="N212" s="410">
        <v>5.41</v>
      </c>
      <c r="O212" s="318"/>
      <c r="P212" s="2297"/>
      <c r="Q212" s="304"/>
      <c r="R212" s="2872">
        <v>0.3</v>
      </c>
      <c r="S212" s="381">
        <v>0.09</v>
      </c>
      <c r="T212" s="304">
        <v>3.69</v>
      </c>
      <c r="U212" s="304">
        <v>5.31</v>
      </c>
      <c r="V212" s="304">
        <v>3.49</v>
      </c>
      <c r="W212" s="3088">
        <v>3.74</v>
      </c>
      <c r="X212" s="767"/>
      <c r="Y212" s="61"/>
      <c r="Z212" s="61"/>
      <c r="AA212" s="61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</row>
    <row r="213" spans="1:65" s="1096" customFormat="1">
      <c r="A213" s="123"/>
      <c r="B213" s="122"/>
      <c r="C213" s="101" t="s">
        <v>121</v>
      </c>
      <c r="D213" s="484">
        <v>26.17</v>
      </c>
      <c r="E213" s="484">
        <v>18.149999999999999</v>
      </c>
      <c r="F213" s="484">
        <v>28.236666666666668</v>
      </c>
      <c r="G213" s="489">
        <v>25.286666666666665</v>
      </c>
      <c r="H213" s="483">
        <v>11</v>
      </c>
      <c r="I213" s="484">
        <v>41.323333333333331</v>
      </c>
      <c r="J213" s="675">
        <v>12.013333333333335</v>
      </c>
      <c r="K213" s="740">
        <v>8.9433333333333334</v>
      </c>
      <c r="L213" s="734">
        <v>9.3566666666666674</v>
      </c>
      <c r="M213" s="410">
        <v>15.42</v>
      </c>
      <c r="N213" s="410">
        <v>11.99</v>
      </c>
      <c r="O213" s="318"/>
      <c r="P213" s="2297"/>
      <c r="Q213" s="304"/>
      <c r="R213" s="2872">
        <v>0.57999999999999996</v>
      </c>
      <c r="S213" s="381">
        <v>0.04</v>
      </c>
      <c r="T213" s="304">
        <v>10.71</v>
      </c>
      <c r="U213" s="304">
        <v>16.559999999999999</v>
      </c>
      <c r="V213" s="304">
        <v>20.9</v>
      </c>
      <c r="W213" s="3088">
        <v>28.51</v>
      </c>
      <c r="X213" s="767"/>
      <c r="Y213" s="61"/>
      <c r="Z213" s="61"/>
      <c r="AA213" s="61"/>
    </row>
    <row r="214" spans="1:65" s="1106" customFormat="1" ht="15.75" thickBot="1">
      <c r="A214" s="123"/>
      <c r="B214" s="122"/>
      <c r="C214" s="102" t="s">
        <v>119</v>
      </c>
      <c r="D214" s="484">
        <v>24.71</v>
      </c>
      <c r="E214" s="484">
        <v>9.3049999999999997</v>
      </c>
      <c r="F214" s="484">
        <v>4.6366666666666667</v>
      </c>
      <c r="G214" s="489">
        <v>8.6383333333333336</v>
      </c>
      <c r="H214" s="483">
        <v>12.399999999999999</v>
      </c>
      <c r="I214" s="484">
        <v>23.569999999999997</v>
      </c>
      <c r="J214" s="675">
        <v>13.746666666666664</v>
      </c>
      <c r="K214" s="740">
        <v>6.1233333333333322</v>
      </c>
      <c r="L214" s="737">
        <v>6.12</v>
      </c>
      <c r="M214" s="661">
        <v>12.41</v>
      </c>
      <c r="N214" s="661">
        <v>9.61</v>
      </c>
      <c r="O214" s="320"/>
      <c r="P214" s="2298"/>
      <c r="Q214" s="321"/>
      <c r="R214" s="2873">
        <v>0.3</v>
      </c>
      <c r="S214" s="382">
        <v>0.05</v>
      </c>
      <c r="T214" s="304">
        <v>10.93</v>
      </c>
      <c r="U214" s="394">
        <v>8</v>
      </c>
      <c r="V214" s="394">
        <v>5.65</v>
      </c>
      <c r="W214" s="3094">
        <v>5.52</v>
      </c>
      <c r="X214" s="767"/>
      <c r="Y214" s="61"/>
      <c r="Z214" s="61"/>
      <c r="AA214" s="61"/>
    </row>
    <row r="215" spans="1:65" s="1096" customFormat="1">
      <c r="A215" s="114"/>
      <c r="B215" s="114"/>
      <c r="C215" s="775" t="s">
        <v>285</v>
      </c>
      <c r="D215" s="1025">
        <f>COUNTIF(D201:D214,"&lt;=0.4")</f>
        <v>0</v>
      </c>
      <c r="E215" s="1025">
        <f t="shared" ref="E215:S215" si="57">COUNTIF(E201:E214,"&lt;=0.4")</f>
        <v>0</v>
      </c>
      <c r="F215" s="1025">
        <f t="shared" si="57"/>
        <v>0</v>
      </c>
      <c r="G215" s="1025">
        <f t="shared" si="57"/>
        <v>0</v>
      </c>
      <c r="H215" s="1025">
        <f t="shared" si="57"/>
        <v>0</v>
      </c>
      <c r="I215" s="1025">
        <f t="shared" si="57"/>
        <v>0</v>
      </c>
      <c r="J215" s="1025">
        <f t="shared" si="57"/>
        <v>0</v>
      </c>
      <c r="K215" s="1025">
        <f t="shared" si="57"/>
        <v>0</v>
      </c>
      <c r="L215" s="1025">
        <f t="shared" si="57"/>
        <v>0</v>
      </c>
      <c r="M215" s="1025">
        <f t="shared" si="57"/>
        <v>0</v>
      </c>
      <c r="N215" s="1025">
        <f t="shared" si="57"/>
        <v>0</v>
      </c>
      <c r="O215" s="1025">
        <f>COUNTIF(O201:O214,"&lt;=0.4")</f>
        <v>0</v>
      </c>
      <c r="P215" s="1025">
        <f t="shared" si="57"/>
        <v>0</v>
      </c>
      <c r="Q215" s="1025">
        <f t="shared" si="57"/>
        <v>0</v>
      </c>
      <c r="R215" s="1025">
        <f t="shared" si="57"/>
        <v>5</v>
      </c>
      <c r="S215" s="1025">
        <f t="shared" si="57"/>
        <v>14</v>
      </c>
      <c r="T215" s="1025">
        <f t="shared" ref="T215:U215" si="58">COUNTIF(T201:T214,"&lt;=0.4")</f>
        <v>0</v>
      </c>
      <c r="U215" s="1025">
        <f t="shared" si="58"/>
        <v>0</v>
      </c>
      <c r="V215" s="1025">
        <f t="shared" ref="V215" si="59">COUNTIF(V201:V214,"&lt;=0.4")</f>
        <v>0</v>
      </c>
      <c r="W215" s="1025"/>
      <c r="X215" s="770"/>
      <c r="Y215" s="4"/>
      <c r="Z215" s="4"/>
      <c r="AA215" s="4"/>
    </row>
    <row r="216" spans="1:65" s="1096" customFormat="1">
      <c r="A216" s="114"/>
      <c r="B216" s="114"/>
      <c r="C216" s="775" t="s">
        <v>287</v>
      </c>
      <c r="D216" s="1027">
        <f>COUNT(D201:D214)</f>
        <v>14</v>
      </c>
      <c r="E216" s="1027">
        <f t="shared" ref="E216:S216" si="60">COUNT(E201:E214)</f>
        <v>14</v>
      </c>
      <c r="F216" s="1027">
        <f t="shared" si="60"/>
        <v>14</v>
      </c>
      <c r="G216" s="1027">
        <f t="shared" si="60"/>
        <v>14</v>
      </c>
      <c r="H216" s="1027">
        <f t="shared" si="60"/>
        <v>14</v>
      </c>
      <c r="I216" s="1027">
        <f t="shared" si="60"/>
        <v>14</v>
      </c>
      <c r="J216" s="1027">
        <f t="shared" si="60"/>
        <v>14</v>
      </c>
      <c r="K216" s="1027">
        <f t="shared" si="60"/>
        <v>14</v>
      </c>
      <c r="L216" s="1027">
        <f t="shared" si="60"/>
        <v>14</v>
      </c>
      <c r="M216" s="1027">
        <f t="shared" si="60"/>
        <v>14</v>
      </c>
      <c r="N216" s="1027">
        <f t="shared" si="60"/>
        <v>14</v>
      </c>
      <c r="O216" s="1027">
        <f>COUNT(O201:O214)</f>
        <v>0</v>
      </c>
      <c r="P216" s="1027">
        <f t="shared" si="60"/>
        <v>0</v>
      </c>
      <c r="Q216" s="1027">
        <f t="shared" si="60"/>
        <v>0</v>
      </c>
      <c r="R216" s="1027">
        <f t="shared" si="60"/>
        <v>14</v>
      </c>
      <c r="S216" s="1027">
        <f t="shared" si="60"/>
        <v>14</v>
      </c>
      <c r="T216" s="1027">
        <f t="shared" ref="T216:U216" si="61">COUNT(T201:T214)</f>
        <v>14</v>
      </c>
      <c r="U216" s="1027">
        <f t="shared" si="61"/>
        <v>14</v>
      </c>
      <c r="V216" s="1027">
        <f t="shared" ref="V216" si="62">COUNT(V201:V214)</f>
        <v>14</v>
      </c>
      <c r="W216" s="1027"/>
      <c r="X216" s="770"/>
      <c r="Y216" s="4"/>
      <c r="Z216" s="4"/>
      <c r="AA216" s="4"/>
    </row>
    <row r="217" spans="1:65" s="1106" customFormat="1">
      <c r="A217" s="114"/>
      <c r="B217" s="114"/>
      <c r="C217" s="775" t="s">
        <v>286</v>
      </c>
      <c r="D217" s="1026">
        <f t="shared" ref="D217:S217" si="63">D215/D216</f>
        <v>0</v>
      </c>
      <c r="E217" s="1026">
        <f t="shared" si="63"/>
        <v>0</v>
      </c>
      <c r="F217" s="1026">
        <f t="shared" si="63"/>
        <v>0</v>
      </c>
      <c r="G217" s="1026">
        <f t="shared" si="63"/>
        <v>0</v>
      </c>
      <c r="H217" s="1026">
        <f t="shared" si="63"/>
        <v>0</v>
      </c>
      <c r="I217" s="1026">
        <f t="shared" si="63"/>
        <v>0</v>
      </c>
      <c r="J217" s="1026">
        <f t="shared" si="63"/>
        <v>0</v>
      </c>
      <c r="K217" s="1026">
        <f t="shared" si="63"/>
        <v>0</v>
      </c>
      <c r="L217" s="1026">
        <f t="shared" si="63"/>
        <v>0</v>
      </c>
      <c r="M217" s="1026">
        <f t="shared" si="63"/>
        <v>0</v>
      </c>
      <c r="N217" s="1026">
        <f t="shared" si="63"/>
        <v>0</v>
      </c>
      <c r="O217" s="1026" t="e">
        <f t="shared" si="63"/>
        <v>#DIV/0!</v>
      </c>
      <c r="P217" s="1026" t="e">
        <f t="shared" si="63"/>
        <v>#DIV/0!</v>
      </c>
      <c r="Q217" s="1026" t="e">
        <f t="shared" si="63"/>
        <v>#DIV/0!</v>
      </c>
      <c r="R217" s="1026">
        <f t="shared" si="63"/>
        <v>0.35714285714285715</v>
      </c>
      <c r="S217" s="1026">
        <f t="shared" si="63"/>
        <v>1</v>
      </c>
      <c r="T217" s="1026">
        <f t="shared" ref="T217:U217" si="64">T215/T216</f>
        <v>0</v>
      </c>
      <c r="U217" s="1026">
        <f t="shared" si="64"/>
        <v>0</v>
      </c>
      <c r="V217" s="1026">
        <f t="shared" ref="V217" si="65">V215/V216</f>
        <v>0</v>
      </c>
      <c r="W217" s="1026"/>
      <c r="X217" s="770"/>
      <c r="Y217" s="4"/>
      <c r="Z217" s="4"/>
      <c r="AA217" s="4"/>
    </row>
    <row r="218" spans="1:65" s="1096" customFormat="1">
      <c r="A218" s="771"/>
      <c r="B218" s="1022"/>
      <c r="C218" s="771"/>
      <c r="D218" s="771"/>
      <c r="E218" s="771"/>
      <c r="F218" s="771"/>
      <c r="G218" s="771"/>
      <c r="H218" s="771"/>
      <c r="I218" s="771"/>
      <c r="J218" s="771"/>
      <c r="K218" s="771"/>
      <c r="L218" s="771"/>
      <c r="M218" s="771"/>
      <c r="N218" s="771"/>
      <c r="O218" s="771"/>
      <c r="P218" s="2299"/>
      <c r="Q218" s="771"/>
      <c r="R218" s="771"/>
      <c r="S218" s="771"/>
      <c r="T218" s="771"/>
      <c r="U218" s="771"/>
      <c r="V218" s="771"/>
      <c r="W218" s="771"/>
      <c r="X218" s="334"/>
      <c r="Y218" s="61"/>
      <c r="Z218" s="61"/>
      <c r="AA218" s="61"/>
    </row>
    <row r="219" spans="1:65" s="1096" customFormat="1">
      <c r="A219"/>
      <c r="B219" s="11"/>
      <c r="C219"/>
      <c r="D219"/>
      <c r="E219"/>
      <c r="F219"/>
      <c r="G219"/>
      <c r="H219"/>
      <c r="I219"/>
      <c r="J219"/>
      <c r="K219"/>
      <c r="L219" s="61"/>
      <c r="M219" s="61"/>
      <c r="N219" s="61"/>
      <c r="O219" s="61"/>
      <c r="P219" s="92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</row>
    <row r="220" spans="1:65" s="1106" customFormat="1">
      <c r="A220" s="3535" t="s">
        <v>291</v>
      </c>
      <c r="B220" s="3535" t="s">
        <v>301</v>
      </c>
      <c r="C220" s="3535" t="s">
        <v>284</v>
      </c>
      <c r="D220" s="3532" t="s">
        <v>285</v>
      </c>
      <c r="E220" s="3533"/>
      <c r="F220" s="3533"/>
      <c r="G220" s="3533"/>
      <c r="H220" s="3533"/>
      <c r="I220" s="3533"/>
      <c r="J220" s="3533"/>
      <c r="K220" s="3533"/>
      <c r="L220" s="3533"/>
      <c r="M220" s="3533"/>
      <c r="N220" s="3533"/>
      <c r="O220" s="3533"/>
      <c r="P220" s="3533"/>
      <c r="Q220" s="3533"/>
      <c r="R220" s="3533"/>
      <c r="S220" s="3533"/>
      <c r="T220" s="3533"/>
      <c r="U220" s="3533"/>
      <c r="V220" s="3533"/>
      <c r="W220" s="3533"/>
      <c r="X220" s="3534"/>
      <c r="Y220" s="4"/>
      <c r="Z220" s="4"/>
      <c r="AA220" s="4"/>
    </row>
    <row r="221" spans="1:65" s="1096" customFormat="1">
      <c r="A221" s="3536"/>
      <c r="B221" s="3536"/>
      <c r="C221" s="3536"/>
      <c r="D221" s="3532">
        <v>2011</v>
      </c>
      <c r="E221" s="3533"/>
      <c r="F221" s="3533"/>
      <c r="G221" s="3534"/>
      <c r="H221" s="3532">
        <v>2012</v>
      </c>
      <c r="I221" s="3533"/>
      <c r="J221" s="3533"/>
      <c r="K221" s="3534"/>
      <c r="L221" s="3532">
        <v>2013</v>
      </c>
      <c r="M221" s="3533"/>
      <c r="N221" s="3533"/>
      <c r="O221" s="3534"/>
      <c r="P221" s="3532">
        <v>2014</v>
      </c>
      <c r="Q221" s="3533"/>
      <c r="R221" s="3533"/>
      <c r="S221" s="3534"/>
      <c r="T221" s="3532">
        <v>2015</v>
      </c>
      <c r="U221" s="3533"/>
      <c r="V221" s="3533"/>
      <c r="W221" s="3534"/>
      <c r="X221" s="1103"/>
      <c r="Y221" s="4"/>
      <c r="Z221" s="4"/>
      <c r="AA221" s="4"/>
    </row>
    <row r="222" spans="1:65" s="1096" customFormat="1">
      <c r="A222" s="3537"/>
      <c r="B222" s="3537"/>
      <c r="C222" s="3537"/>
      <c r="D222" s="1100" t="s">
        <v>2</v>
      </c>
      <c r="E222" s="1100" t="s">
        <v>3</v>
      </c>
      <c r="F222" s="1100" t="s">
        <v>4</v>
      </c>
      <c r="G222" s="1100" t="s">
        <v>5</v>
      </c>
      <c r="H222" s="1100" t="s">
        <v>2</v>
      </c>
      <c r="I222" s="1100" t="s">
        <v>3</v>
      </c>
      <c r="J222" s="1100" t="s">
        <v>4</v>
      </c>
      <c r="K222" s="1100" t="s">
        <v>5</v>
      </c>
      <c r="L222" s="1100" t="s">
        <v>2</v>
      </c>
      <c r="M222" s="1100" t="s">
        <v>3</v>
      </c>
      <c r="N222" s="1100" t="s">
        <v>4</v>
      </c>
      <c r="O222" s="1100" t="s">
        <v>5</v>
      </c>
      <c r="P222" s="2244" t="s">
        <v>2</v>
      </c>
      <c r="Q222" s="1100" t="s">
        <v>3</v>
      </c>
      <c r="R222" s="1100" t="s">
        <v>4</v>
      </c>
      <c r="S222" s="1100" t="s">
        <v>5</v>
      </c>
      <c r="T222" s="2244" t="s">
        <v>2</v>
      </c>
      <c r="U222" s="1100" t="s">
        <v>3</v>
      </c>
      <c r="V222" s="1100" t="s">
        <v>4</v>
      </c>
      <c r="W222" s="1100" t="s">
        <v>5</v>
      </c>
      <c r="X222" s="1103"/>
      <c r="Y222" s="4"/>
      <c r="Z222" s="4"/>
      <c r="AA222" s="4"/>
    </row>
    <row r="223" spans="1:65" s="1106" customFormat="1">
      <c r="A223" s="3569" t="s">
        <v>125</v>
      </c>
      <c r="B223" s="3581" t="s">
        <v>16</v>
      </c>
      <c r="C223" s="3535">
        <f>COUNTA(A14:A17)</f>
        <v>4</v>
      </c>
      <c r="D223" s="1556">
        <f>COUNTIF(D14:D17,"&lt;=0.4")</f>
        <v>0</v>
      </c>
      <c r="E223" s="1556">
        <f t="shared" ref="E223:X223" si="66">COUNTIF(E14:E17,"&lt;=0.4")</f>
        <v>0</v>
      </c>
      <c r="F223" s="1556">
        <f t="shared" si="66"/>
        <v>0</v>
      </c>
      <c r="G223" s="1556">
        <f t="shared" si="66"/>
        <v>0</v>
      </c>
      <c r="H223" s="1556">
        <f t="shared" si="66"/>
        <v>0</v>
      </c>
      <c r="I223" s="1556">
        <f t="shared" si="66"/>
        <v>4</v>
      </c>
      <c r="J223" s="1556">
        <f t="shared" si="66"/>
        <v>4</v>
      </c>
      <c r="K223" s="1556">
        <f t="shared" si="66"/>
        <v>4</v>
      </c>
      <c r="L223" s="1556">
        <f t="shared" si="66"/>
        <v>4</v>
      </c>
      <c r="M223" s="1556">
        <f t="shared" si="66"/>
        <v>0</v>
      </c>
      <c r="N223" s="1556">
        <f t="shared" si="66"/>
        <v>4</v>
      </c>
      <c r="O223" s="1556">
        <f t="shared" si="66"/>
        <v>0</v>
      </c>
      <c r="P223" s="2245">
        <f t="shared" si="66"/>
        <v>4</v>
      </c>
      <c r="Q223" s="1556">
        <f t="shared" si="66"/>
        <v>1</v>
      </c>
      <c r="R223" s="1556">
        <f t="shared" si="66"/>
        <v>4</v>
      </c>
      <c r="S223" s="1556">
        <f t="shared" si="66"/>
        <v>0</v>
      </c>
      <c r="T223" s="3001">
        <f t="shared" ref="T223:W223" si="67">COUNTIF(T14:T17,"&lt;=0.4")</f>
        <v>0</v>
      </c>
      <c r="U223" s="3001">
        <f t="shared" si="67"/>
        <v>0</v>
      </c>
      <c r="V223" s="3001">
        <f t="shared" si="67"/>
        <v>0</v>
      </c>
      <c r="W223" s="3001">
        <f t="shared" si="67"/>
        <v>4</v>
      </c>
      <c r="X223" s="1556">
        <f t="shared" si="66"/>
        <v>3</v>
      </c>
      <c r="Y223" s="3282">
        <f t="shared" ref="Y223:AA223" si="68">COUNTIF(Y14:Y17,"&lt;=0.4")</f>
        <v>3</v>
      </c>
      <c r="Z223" s="3282">
        <f t="shared" si="68"/>
        <v>2</v>
      </c>
      <c r="AA223" s="3282">
        <f t="shared" si="68"/>
        <v>3</v>
      </c>
    </row>
    <row r="224" spans="1:65" s="1096" customFormat="1">
      <c r="A224" s="3570"/>
      <c r="B224" s="3582"/>
      <c r="C224" s="3536"/>
      <c r="D224" s="1558">
        <f>COUNT(D14:D17)</f>
        <v>0</v>
      </c>
      <c r="E224" s="1558">
        <f t="shared" ref="E224:X224" si="69">COUNT(E14:E17)</f>
        <v>0</v>
      </c>
      <c r="F224" s="1558">
        <f t="shared" si="69"/>
        <v>0</v>
      </c>
      <c r="G224" s="1558">
        <f t="shared" si="69"/>
        <v>0</v>
      </c>
      <c r="H224" s="1558">
        <f t="shared" si="69"/>
        <v>0</v>
      </c>
      <c r="I224" s="1558">
        <f t="shared" si="69"/>
        <v>4</v>
      </c>
      <c r="J224" s="1558">
        <f t="shared" si="69"/>
        <v>4</v>
      </c>
      <c r="K224" s="1558">
        <f t="shared" si="69"/>
        <v>4</v>
      </c>
      <c r="L224" s="1558">
        <f t="shared" si="69"/>
        <v>4</v>
      </c>
      <c r="M224" s="1558">
        <f t="shared" si="69"/>
        <v>0</v>
      </c>
      <c r="N224" s="1558">
        <f t="shared" si="69"/>
        <v>4</v>
      </c>
      <c r="O224" s="1558">
        <f t="shared" si="69"/>
        <v>0</v>
      </c>
      <c r="P224" s="2246">
        <f t="shared" si="69"/>
        <v>4</v>
      </c>
      <c r="Q224" s="1558">
        <f t="shared" si="69"/>
        <v>4</v>
      </c>
      <c r="R224" s="1558">
        <f t="shared" si="69"/>
        <v>4</v>
      </c>
      <c r="S224" s="1558">
        <f t="shared" si="69"/>
        <v>4</v>
      </c>
      <c r="T224" s="3002">
        <f t="shared" ref="T224:W224" si="70">COUNT(T14:T17)</f>
        <v>0</v>
      </c>
      <c r="U224" s="3002">
        <f t="shared" si="70"/>
        <v>0</v>
      </c>
      <c r="V224" s="3002">
        <f t="shared" si="70"/>
        <v>0</v>
      </c>
      <c r="W224" s="3002">
        <f t="shared" si="70"/>
        <v>4</v>
      </c>
      <c r="X224" s="1558">
        <f t="shared" si="69"/>
        <v>3</v>
      </c>
      <c r="Y224" s="3283">
        <f t="shared" ref="Y224:AA224" si="71">COUNT(Y14:Y17)</f>
        <v>3</v>
      </c>
      <c r="Z224" s="3283">
        <f t="shared" si="71"/>
        <v>3</v>
      </c>
      <c r="AA224" s="3283">
        <f t="shared" si="71"/>
        <v>3</v>
      </c>
    </row>
    <row r="225" spans="1:27" s="1096" customFormat="1">
      <c r="A225" s="3570"/>
      <c r="B225" s="3583"/>
      <c r="C225" s="3537"/>
      <c r="D225" s="1557" t="e">
        <f>D223/D224</f>
        <v>#DIV/0!</v>
      </c>
      <c r="E225" s="1557" t="e">
        <f t="shared" ref="E225:X225" si="72">E223/E224</f>
        <v>#DIV/0!</v>
      </c>
      <c r="F225" s="1557" t="e">
        <f t="shared" si="72"/>
        <v>#DIV/0!</v>
      </c>
      <c r="G225" s="1557" t="e">
        <f t="shared" si="72"/>
        <v>#DIV/0!</v>
      </c>
      <c r="H225" s="1557" t="e">
        <f t="shared" si="72"/>
        <v>#DIV/0!</v>
      </c>
      <c r="I225" s="1557">
        <f t="shared" si="72"/>
        <v>1</v>
      </c>
      <c r="J225" s="1557">
        <f t="shared" si="72"/>
        <v>1</v>
      </c>
      <c r="K225" s="1557">
        <f t="shared" si="72"/>
        <v>1</v>
      </c>
      <c r="L225" s="1557">
        <f t="shared" si="72"/>
        <v>1</v>
      </c>
      <c r="M225" s="1557" t="e">
        <f t="shared" si="72"/>
        <v>#DIV/0!</v>
      </c>
      <c r="N225" s="1557">
        <f t="shared" si="72"/>
        <v>1</v>
      </c>
      <c r="O225" s="1557" t="e">
        <f t="shared" si="72"/>
        <v>#DIV/0!</v>
      </c>
      <c r="P225" s="2247">
        <f t="shared" si="72"/>
        <v>1</v>
      </c>
      <c r="Q225" s="1557">
        <f t="shared" si="72"/>
        <v>0.25</v>
      </c>
      <c r="R225" s="1557">
        <f t="shared" si="72"/>
        <v>1</v>
      </c>
      <c r="S225" s="1557">
        <f t="shared" si="72"/>
        <v>0</v>
      </c>
      <c r="T225" s="1557" t="e">
        <f t="shared" ref="T225:W225" si="73">T223/T224</f>
        <v>#DIV/0!</v>
      </c>
      <c r="U225" s="1557" t="e">
        <f t="shared" si="73"/>
        <v>#DIV/0!</v>
      </c>
      <c r="V225" s="1557" t="e">
        <f t="shared" si="73"/>
        <v>#DIV/0!</v>
      </c>
      <c r="W225" s="1557">
        <f t="shared" si="73"/>
        <v>1</v>
      </c>
      <c r="X225" s="1557">
        <f t="shared" si="72"/>
        <v>1</v>
      </c>
      <c r="Y225" s="1557">
        <f t="shared" ref="Y225:AA225" si="74">Y223/Y224</f>
        <v>1</v>
      </c>
      <c r="Z225" s="1557">
        <f t="shared" si="74"/>
        <v>0.66666666666666663</v>
      </c>
      <c r="AA225" s="1557">
        <f t="shared" si="74"/>
        <v>1</v>
      </c>
    </row>
    <row r="226" spans="1:27" s="1106" customFormat="1">
      <c r="A226" s="3570"/>
      <c r="B226" s="3581" t="s">
        <v>131</v>
      </c>
      <c r="C226" s="3535">
        <f>COUNTA(A18:A20)</f>
        <v>3</v>
      </c>
      <c r="D226" s="1556">
        <f>COUNTIF(D18:D20,"&lt;=0.4")</f>
        <v>0</v>
      </c>
      <c r="E226" s="1556">
        <f t="shared" ref="E226:X226" si="75">COUNTIF(E18:E20,"&lt;=0.4")</f>
        <v>0</v>
      </c>
      <c r="F226" s="1556">
        <f t="shared" si="75"/>
        <v>0</v>
      </c>
      <c r="G226" s="1556">
        <f t="shared" si="75"/>
        <v>0</v>
      </c>
      <c r="H226" s="1556">
        <f t="shared" si="75"/>
        <v>0</v>
      </c>
      <c r="I226" s="1556">
        <f t="shared" si="75"/>
        <v>0</v>
      </c>
      <c r="J226" s="1556">
        <f t="shared" si="75"/>
        <v>0</v>
      </c>
      <c r="K226" s="1556">
        <f t="shared" si="75"/>
        <v>0</v>
      </c>
      <c r="L226" s="1556">
        <f t="shared" si="75"/>
        <v>0</v>
      </c>
      <c r="M226" s="1556">
        <f t="shared" si="75"/>
        <v>0</v>
      </c>
      <c r="N226" s="1556">
        <f t="shared" si="75"/>
        <v>0</v>
      </c>
      <c r="O226" s="1556">
        <f t="shared" si="75"/>
        <v>0</v>
      </c>
      <c r="P226" s="2245">
        <f t="shared" si="75"/>
        <v>0</v>
      </c>
      <c r="Q226" s="1556">
        <f t="shared" si="75"/>
        <v>0</v>
      </c>
      <c r="R226" s="1556">
        <f t="shared" si="75"/>
        <v>0</v>
      </c>
      <c r="S226" s="1556">
        <f t="shared" si="75"/>
        <v>0</v>
      </c>
      <c r="T226" s="3001">
        <f t="shared" ref="T226:W226" si="76">COUNTIF(T18:T20,"&lt;=0.4")</f>
        <v>0</v>
      </c>
      <c r="U226" s="3001">
        <f t="shared" si="76"/>
        <v>0</v>
      </c>
      <c r="V226" s="3001">
        <f t="shared" si="76"/>
        <v>0</v>
      </c>
      <c r="W226" s="3001">
        <f t="shared" si="76"/>
        <v>0</v>
      </c>
      <c r="X226" s="1556">
        <f t="shared" si="75"/>
        <v>0</v>
      </c>
      <c r="Y226" s="3282">
        <f t="shared" ref="Y226:Z226" si="77">COUNTIF(Y18:Y20,"&lt;=0.4")</f>
        <v>0</v>
      </c>
      <c r="Z226" s="3282">
        <f t="shared" si="77"/>
        <v>0</v>
      </c>
      <c r="AA226" s="3282" t="e">
        <f>COUNTIF(#REF!,"&lt;=0.4")</f>
        <v>#REF!</v>
      </c>
    </row>
    <row r="227" spans="1:27" s="1096" customFormat="1">
      <c r="A227" s="3570"/>
      <c r="B227" s="3582"/>
      <c r="C227" s="3536"/>
      <c r="D227" s="1558">
        <f>COUNT(D18:D20)</f>
        <v>0</v>
      </c>
      <c r="E227" s="1558">
        <f t="shared" ref="E227:X227" si="78">COUNT(E18:E20)</f>
        <v>0</v>
      </c>
      <c r="F227" s="1558">
        <f t="shared" si="78"/>
        <v>0</v>
      </c>
      <c r="G227" s="1558">
        <f t="shared" si="78"/>
        <v>0</v>
      </c>
      <c r="H227" s="1558">
        <f t="shared" si="78"/>
        <v>0</v>
      </c>
      <c r="I227" s="1558">
        <f t="shared" si="78"/>
        <v>3</v>
      </c>
      <c r="J227" s="1558">
        <f t="shared" si="78"/>
        <v>3</v>
      </c>
      <c r="K227" s="1558">
        <f t="shared" si="78"/>
        <v>3</v>
      </c>
      <c r="L227" s="1558">
        <f t="shared" si="78"/>
        <v>3</v>
      </c>
      <c r="M227" s="1558">
        <f t="shared" si="78"/>
        <v>0</v>
      </c>
      <c r="N227" s="1558">
        <f t="shared" si="78"/>
        <v>3</v>
      </c>
      <c r="O227" s="1558">
        <f t="shared" si="78"/>
        <v>0</v>
      </c>
      <c r="P227" s="2246">
        <f t="shared" si="78"/>
        <v>3</v>
      </c>
      <c r="Q227" s="1558">
        <f t="shared" si="78"/>
        <v>3</v>
      </c>
      <c r="R227" s="1558">
        <f t="shared" si="78"/>
        <v>3</v>
      </c>
      <c r="S227" s="1558">
        <f t="shared" si="78"/>
        <v>3</v>
      </c>
      <c r="T227" s="3002">
        <f t="shared" ref="T227:W227" si="79">COUNT(T18:T20)</f>
        <v>3</v>
      </c>
      <c r="U227" s="3002">
        <f t="shared" si="79"/>
        <v>3</v>
      </c>
      <c r="V227" s="3002">
        <f t="shared" si="79"/>
        <v>3</v>
      </c>
      <c r="W227" s="3002">
        <f t="shared" si="79"/>
        <v>3</v>
      </c>
      <c r="X227" s="1558">
        <f t="shared" si="78"/>
        <v>3</v>
      </c>
      <c r="Y227" s="3283">
        <f t="shared" ref="Y227:Z227" si="80">COUNT(Y18:Y20)</f>
        <v>3</v>
      </c>
      <c r="Z227" s="3283">
        <f t="shared" si="80"/>
        <v>3</v>
      </c>
      <c r="AA227" s="3283">
        <f>COUNT(#REF!)</f>
        <v>0</v>
      </c>
    </row>
    <row r="228" spans="1:27" s="1096" customFormat="1">
      <c r="A228" s="3570"/>
      <c r="B228" s="3583"/>
      <c r="C228" s="3537"/>
      <c r="D228" s="1557" t="e">
        <f t="shared" ref="D228:S228" si="81">D226/D227</f>
        <v>#DIV/0!</v>
      </c>
      <c r="E228" s="1557" t="e">
        <f t="shared" si="81"/>
        <v>#DIV/0!</v>
      </c>
      <c r="F228" s="1557" t="e">
        <f t="shared" si="81"/>
        <v>#DIV/0!</v>
      </c>
      <c r="G228" s="1557" t="e">
        <f t="shared" si="81"/>
        <v>#DIV/0!</v>
      </c>
      <c r="H228" s="1557" t="e">
        <f t="shared" si="81"/>
        <v>#DIV/0!</v>
      </c>
      <c r="I228" s="1557">
        <f t="shared" si="81"/>
        <v>0</v>
      </c>
      <c r="J228" s="1557">
        <f t="shared" si="81"/>
        <v>0</v>
      </c>
      <c r="K228" s="1557">
        <f t="shared" si="81"/>
        <v>0</v>
      </c>
      <c r="L228" s="1557">
        <f t="shared" si="81"/>
        <v>0</v>
      </c>
      <c r="M228" s="1557" t="e">
        <f t="shared" si="81"/>
        <v>#DIV/0!</v>
      </c>
      <c r="N228" s="1557">
        <f t="shared" si="81"/>
        <v>0</v>
      </c>
      <c r="O228" s="1557" t="e">
        <f t="shared" si="81"/>
        <v>#DIV/0!</v>
      </c>
      <c r="P228" s="2247">
        <f t="shared" si="81"/>
        <v>0</v>
      </c>
      <c r="Q228" s="1557">
        <f t="shared" si="81"/>
        <v>0</v>
      </c>
      <c r="R228" s="1557">
        <f t="shared" si="81"/>
        <v>0</v>
      </c>
      <c r="S228" s="1557">
        <f t="shared" si="81"/>
        <v>0</v>
      </c>
      <c r="T228" s="1557">
        <f t="shared" ref="T228:W228" si="82">T226/T227</f>
        <v>0</v>
      </c>
      <c r="U228" s="1557">
        <f t="shared" si="82"/>
        <v>0</v>
      </c>
      <c r="V228" s="1557">
        <f t="shared" si="82"/>
        <v>0</v>
      </c>
      <c r="W228" s="1557">
        <f t="shared" si="82"/>
        <v>0</v>
      </c>
      <c r="X228" s="1557">
        <f>X226/X227</f>
        <v>0</v>
      </c>
      <c r="Y228" s="1557">
        <f t="shared" ref="Y228:AA228" si="83">Y226/Y227</f>
        <v>0</v>
      </c>
      <c r="Z228" s="1557">
        <f t="shared" si="83"/>
        <v>0</v>
      </c>
      <c r="AA228" s="1557" t="e">
        <f t="shared" si="83"/>
        <v>#REF!</v>
      </c>
    </row>
    <row r="229" spans="1:27" s="1106" customFormat="1">
      <c r="A229" s="3570"/>
      <c r="B229" s="3581" t="s">
        <v>185</v>
      </c>
      <c r="C229" s="3535">
        <f>COUNTA(A21:A23)</f>
        <v>3</v>
      </c>
      <c r="D229" s="1556">
        <f>COUNTIF(D21:D23,"&lt;=0.4")</f>
        <v>0</v>
      </c>
      <c r="E229" s="1556">
        <f t="shared" ref="E229:X229" si="84">COUNTIF(E21:E23,"&lt;=0.4")</f>
        <v>0</v>
      </c>
      <c r="F229" s="1556">
        <f t="shared" si="84"/>
        <v>0</v>
      </c>
      <c r="G229" s="1556">
        <f t="shared" si="84"/>
        <v>0</v>
      </c>
      <c r="H229" s="1556">
        <f t="shared" si="84"/>
        <v>0</v>
      </c>
      <c r="I229" s="1556">
        <f t="shared" si="84"/>
        <v>0</v>
      </c>
      <c r="J229" s="1556">
        <f t="shared" si="84"/>
        <v>0</v>
      </c>
      <c r="K229" s="1556">
        <f t="shared" si="84"/>
        <v>0</v>
      </c>
      <c r="L229" s="1556">
        <f t="shared" si="84"/>
        <v>0</v>
      </c>
      <c r="M229" s="1556">
        <f t="shared" si="84"/>
        <v>0</v>
      </c>
      <c r="N229" s="1556">
        <f t="shared" si="84"/>
        <v>0</v>
      </c>
      <c r="O229" s="1556">
        <f t="shared" si="84"/>
        <v>0</v>
      </c>
      <c r="P229" s="2245">
        <f t="shared" si="84"/>
        <v>0</v>
      </c>
      <c r="Q229" s="1556">
        <f t="shared" si="84"/>
        <v>0</v>
      </c>
      <c r="R229" s="1556">
        <f t="shared" si="84"/>
        <v>0</v>
      </c>
      <c r="S229" s="1556">
        <f t="shared" si="84"/>
        <v>0</v>
      </c>
      <c r="T229" s="3001">
        <f t="shared" ref="T229:W229" si="85">COUNTIF(T21:T23,"&lt;=0.4")</f>
        <v>0</v>
      </c>
      <c r="U229" s="3001">
        <f t="shared" si="85"/>
        <v>0</v>
      </c>
      <c r="V229" s="3001">
        <f t="shared" si="85"/>
        <v>0</v>
      </c>
      <c r="W229" s="3001">
        <f t="shared" si="85"/>
        <v>0</v>
      </c>
      <c r="X229" s="1556">
        <f t="shared" si="84"/>
        <v>0</v>
      </c>
      <c r="Y229" s="3282">
        <f t="shared" ref="Y229:Z229" si="86">COUNTIF(Y21:Y23,"&lt;=0.4")</f>
        <v>0</v>
      </c>
      <c r="Z229" s="3282">
        <f t="shared" si="86"/>
        <v>0</v>
      </c>
      <c r="AA229" s="3282" t="e">
        <f>COUNTIF(#REF!,"&lt;=0.4")</f>
        <v>#REF!</v>
      </c>
    </row>
    <row r="230" spans="1:27" s="1096" customFormat="1">
      <c r="A230" s="3570"/>
      <c r="B230" s="3582"/>
      <c r="C230" s="3536"/>
      <c r="D230" s="1558">
        <f>COUNT(D21:D23)</f>
        <v>0</v>
      </c>
      <c r="E230" s="1558">
        <f t="shared" ref="E230:X230" si="87">COUNT(E21:E23)</f>
        <v>0</v>
      </c>
      <c r="F230" s="1558">
        <f t="shared" si="87"/>
        <v>0</v>
      </c>
      <c r="G230" s="1558">
        <f t="shared" si="87"/>
        <v>0</v>
      </c>
      <c r="H230" s="1558">
        <f t="shared" si="87"/>
        <v>0</v>
      </c>
      <c r="I230" s="1558">
        <f t="shared" si="87"/>
        <v>3</v>
      </c>
      <c r="J230" s="1558">
        <f t="shared" si="87"/>
        <v>3</v>
      </c>
      <c r="K230" s="1558">
        <f t="shared" si="87"/>
        <v>3</v>
      </c>
      <c r="L230" s="1558">
        <f t="shared" si="87"/>
        <v>0</v>
      </c>
      <c r="M230" s="1558">
        <f t="shared" si="87"/>
        <v>0</v>
      </c>
      <c r="N230" s="1558">
        <f t="shared" si="87"/>
        <v>0</v>
      </c>
      <c r="O230" s="1558">
        <f t="shared" si="87"/>
        <v>0</v>
      </c>
      <c r="P230" s="2246">
        <f t="shared" si="87"/>
        <v>3</v>
      </c>
      <c r="Q230" s="1558">
        <f t="shared" si="87"/>
        <v>3</v>
      </c>
      <c r="R230" s="1558">
        <f t="shared" si="87"/>
        <v>3</v>
      </c>
      <c r="S230" s="1558">
        <f t="shared" si="87"/>
        <v>3</v>
      </c>
      <c r="T230" s="3002">
        <f t="shared" ref="T230:W230" si="88">COUNT(T21:T23)</f>
        <v>0</v>
      </c>
      <c r="U230" s="3002">
        <f t="shared" si="88"/>
        <v>0</v>
      </c>
      <c r="V230" s="3002">
        <f t="shared" si="88"/>
        <v>0</v>
      </c>
      <c r="W230" s="3002">
        <f t="shared" si="88"/>
        <v>3</v>
      </c>
      <c r="X230" s="1558">
        <f t="shared" si="87"/>
        <v>3</v>
      </c>
      <c r="Y230" s="3283">
        <f t="shared" ref="Y230:Z230" si="89">COUNT(Y21:Y23)</f>
        <v>3</v>
      </c>
      <c r="Z230" s="3283">
        <f t="shared" si="89"/>
        <v>3</v>
      </c>
      <c r="AA230" s="3283">
        <f>COUNT(#REF!)</f>
        <v>0</v>
      </c>
    </row>
    <row r="231" spans="1:27" s="1096" customFormat="1">
      <c r="A231" s="3570"/>
      <c r="B231" s="3583"/>
      <c r="C231" s="3537"/>
      <c r="D231" s="1557" t="e">
        <f t="shared" ref="D231:S231" si="90">D229/D230</f>
        <v>#DIV/0!</v>
      </c>
      <c r="E231" s="1557" t="e">
        <f t="shared" si="90"/>
        <v>#DIV/0!</v>
      </c>
      <c r="F231" s="1557" t="e">
        <f t="shared" si="90"/>
        <v>#DIV/0!</v>
      </c>
      <c r="G231" s="1557" t="e">
        <f t="shared" si="90"/>
        <v>#DIV/0!</v>
      </c>
      <c r="H231" s="1557" t="e">
        <f t="shared" si="90"/>
        <v>#DIV/0!</v>
      </c>
      <c r="I231" s="1557">
        <f t="shared" si="90"/>
        <v>0</v>
      </c>
      <c r="J231" s="1557">
        <f t="shared" si="90"/>
        <v>0</v>
      </c>
      <c r="K231" s="1557">
        <f t="shared" si="90"/>
        <v>0</v>
      </c>
      <c r="L231" s="1557" t="e">
        <f t="shared" si="90"/>
        <v>#DIV/0!</v>
      </c>
      <c r="M231" s="1557" t="e">
        <f t="shared" si="90"/>
        <v>#DIV/0!</v>
      </c>
      <c r="N231" s="1557" t="e">
        <f t="shared" si="90"/>
        <v>#DIV/0!</v>
      </c>
      <c r="O231" s="1557" t="e">
        <f t="shared" si="90"/>
        <v>#DIV/0!</v>
      </c>
      <c r="P231" s="2247">
        <f t="shared" si="90"/>
        <v>0</v>
      </c>
      <c r="Q231" s="1557">
        <f t="shared" si="90"/>
        <v>0</v>
      </c>
      <c r="R231" s="1557">
        <f t="shared" si="90"/>
        <v>0</v>
      </c>
      <c r="S231" s="1557">
        <f t="shared" si="90"/>
        <v>0</v>
      </c>
      <c r="T231" s="1557" t="e">
        <f t="shared" ref="T231:W231" si="91">T229/T230</f>
        <v>#DIV/0!</v>
      </c>
      <c r="U231" s="1557" t="e">
        <f t="shared" si="91"/>
        <v>#DIV/0!</v>
      </c>
      <c r="V231" s="1557" t="e">
        <f t="shared" si="91"/>
        <v>#DIV/0!</v>
      </c>
      <c r="W231" s="1557">
        <f t="shared" si="91"/>
        <v>0</v>
      </c>
      <c r="X231" s="1557">
        <f>X229/X230</f>
        <v>0</v>
      </c>
      <c r="Y231" s="1557">
        <f t="shared" ref="Y231:AA231" si="92">Y229/Y230</f>
        <v>0</v>
      </c>
      <c r="Z231" s="1557">
        <f t="shared" si="92"/>
        <v>0</v>
      </c>
      <c r="AA231" s="1557" t="e">
        <f t="shared" si="92"/>
        <v>#REF!</v>
      </c>
    </row>
    <row r="232" spans="1:27" s="1106" customFormat="1">
      <c r="A232" s="3570"/>
      <c r="B232" s="3581" t="s">
        <v>132</v>
      </c>
      <c r="C232" s="3535">
        <f>COUNTA(A24:A28)</f>
        <v>5</v>
      </c>
      <c r="D232" s="1556">
        <f>COUNTIF(D24:D28,"&lt;=0.4")</f>
        <v>0</v>
      </c>
      <c r="E232" s="1556">
        <f t="shared" ref="E232:X232" si="93">COUNTIF(E24:E28,"&lt;=0.4")</f>
        <v>0</v>
      </c>
      <c r="F232" s="1556">
        <f t="shared" si="93"/>
        <v>0</v>
      </c>
      <c r="G232" s="1556">
        <f t="shared" si="93"/>
        <v>0</v>
      </c>
      <c r="H232" s="1556">
        <f t="shared" si="93"/>
        <v>0</v>
      </c>
      <c r="I232" s="1556">
        <f t="shared" si="93"/>
        <v>0</v>
      </c>
      <c r="J232" s="1556">
        <f t="shared" si="93"/>
        <v>0</v>
      </c>
      <c r="K232" s="1556">
        <f t="shared" si="93"/>
        <v>0</v>
      </c>
      <c r="L232" s="1556">
        <f t="shared" si="93"/>
        <v>0</v>
      </c>
      <c r="M232" s="1556">
        <f t="shared" si="93"/>
        <v>0</v>
      </c>
      <c r="N232" s="1556">
        <f t="shared" si="93"/>
        <v>0</v>
      </c>
      <c r="O232" s="1556">
        <f t="shared" si="93"/>
        <v>0</v>
      </c>
      <c r="P232" s="2245">
        <f t="shared" si="93"/>
        <v>0</v>
      </c>
      <c r="Q232" s="1556">
        <f t="shared" si="93"/>
        <v>0</v>
      </c>
      <c r="R232" s="1556">
        <f t="shared" si="93"/>
        <v>0</v>
      </c>
      <c r="S232" s="1556">
        <f t="shared" si="93"/>
        <v>0</v>
      </c>
      <c r="T232" s="3001">
        <f t="shared" ref="T232:W232" si="94">COUNTIF(T24:T28,"&lt;=0.4")</f>
        <v>0</v>
      </c>
      <c r="U232" s="3001">
        <f t="shared" si="94"/>
        <v>0</v>
      </c>
      <c r="V232" s="3001">
        <f t="shared" si="94"/>
        <v>0</v>
      </c>
      <c r="W232" s="3001">
        <f t="shared" si="94"/>
        <v>0</v>
      </c>
      <c r="X232" s="1556">
        <f t="shared" si="93"/>
        <v>0</v>
      </c>
      <c r="Y232" s="3282">
        <f t="shared" ref="Y232:Z232" si="95">COUNTIF(Y24:Y28,"&lt;=0.4")</f>
        <v>0</v>
      </c>
      <c r="Z232" s="3282">
        <f t="shared" si="95"/>
        <v>0</v>
      </c>
      <c r="AA232" s="3282" t="e">
        <f>COUNTIF(#REF!,"&lt;=0.4")</f>
        <v>#REF!</v>
      </c>
    </row>
    <row r="233" spans="1:27" s="1096" customFormat="1">
      <c r="A233" s="3570"/>
      <c r="B233" s="3582"/>
      <c r="C233" s="3536"/>
      <c r="D233" s="1558">
        <f>COUNT(D24:D28)</f>
        <v>0</v>
      </c>
      <c r="E233" s="1558">
        <f t="shared" ref="E233:X233" si="96">COUNT(E24:E28)</f>
        <v>0</v>
      </c>
      <c r="F233" s="1558">
        <f t="shared" si="96"/>
        <v>0</v>
      </c>
      <c r="G233" s="1558">
        <f t="shared" si="96"/>
        <v>0</v>
      </c>
      <c r="H233" s="1558">
        <f t="shared" si="96"/>
        <v>0</v>
      </c>
      <c r="I233" s="1558">
        <f t="shared" si="96"/>
        <v>5</v>
      </c>
      <c r="J233" s="1558">
        <f t="shared" si="96"/>
        <v>5</v>
      </c>
      <c r="K233" s="1558">
        <f t="shared" si="96"/>
        <v>5</v>
      </c>
      <c r="L233" s="1558">
        <f t="shared" si="96"/>
        <v>5</v>
      </c>
      <c r="M233" s="1558">
        <f t="shared" si="96"/>
        <v>0</v>
      </c>
      <c r="N233" s="1558">
        <f t="shared" si="96"/>
        <v>5</v>
      </c>
      <c r="O233" s="1558">
        <f t="shared" si="96"/>
        <v>0</v>
      </c>
      <c r="P233" s="2246">
        <f t="shared" si="96"/>
        <v>5</v>
      </c>
      <c r="Q233" s="1558">
        <f t="shared" si="96"/>
        <v>5</v>
      </c>
      <c r="R233" s="1558">
        <f t="shared" si="96"/>
        <v>5</v>
      </c>
      <c r="S233" s="1558">
        <f t="shared" si="96"/>
        <v>5</v>
      </c>
      <c r="T233" s="3002">
        <f t="shared" ref="T233:W233" si="97">COUNT(T24:T28)</f>
        <v>5</v>
      </c>
      <c r="U233" s="3002">
        <f t="shared" si="97"/>
        <v>5</v>
      </c>
      <c r="V233" s="3002">
        <f t="shared" si="97"/>
        <v>5</v>
      </c>
      <c r="W233" s="3002">
        <f t="shared" si="97"/>
        <v>5</v>
      </c>
      <c r="X233" s="1558">
        <f t="shared" si="96"/>
        <v>5</v>
      </c>
      <c r="Y233" s="3283">
        <f t="shared" ref="Y233:Z233" si="98">COUNT(Y24:Y28)</f>
        <v>5</v>
      </c>
      <c r="Z233" s="3283">
        <f t="shared" si="98"/>
        <v>5</v>
      </c>
      <c r="AA233" s="3283">
        <f>COUNT(#REF!)</f>
        <v>0</v>
      </c>
    </row>
    <row r="234" spans="1:27" s="1096" customFormat="1">
      <c r="A234" s="3570"/>
      <c r="B234" s="3583"/>
      <c r="C234" s="3537"/>
      <c r="D234" s="1557" t="e">
        <f t="shared" ref="D234:S234" si="99">D232/D233</f>
        <v>#DIV/0!</v>
      </c>
      <c r="E234" s="1557" t="e">
        <f t="shared" si="99"/>
        <v>#DIV/0!</v>
      </c>
      <c r="F234" s="1557" t="e">
        <f t="shared" si="99"/>
        <v>#DIV/0!</v>
      </c>
      <c r="G234" s="1557" t="e">
        <f t="shared" si="99"/>
        <v>#DIV/0!</v>
      </c>
      <c r="H234" s="1557" t="e">
        <f t="shared" si="99"/>
        <v>#DIV/0!</v>
      </c>
      <c r="I234" s="1557">
        <f t="shared" si="99"/>
        <v>0</v>
      </c>
      <c r="J234" s="1557">
        <f t="shared" si="99"/>
        <v>0</v>
      </c>
      <c r="K234" s="1557">
        <f t="shared" si="99"/>
        <v>0</v>
      </c>
      <c r="L234" s="1557">
        <f t="shared" si="99"/>
        <v>0</v>
      </c>
      <c r="M234" s="1557" t="e">
        <f t="shared" si="99"/>
        <v>#DIV/0!</v>
      </c>
      <c r="N234" s="1557">
        <f t="shared" si="99"/>
        <v>0</v>
      </c>
      <c r="O234" s="1557" t="e">
        <f t="shared" si="99"/>
        <v>#DIV/0!</v>
      </c>
      <c r="P234" s="2247">
        <f t="shared" si="99"/>
        <v>0</v>
      </c>
      <c r="Q234" s="1557">
        <f t="shared" si="99"/>
        <v>0</v>
      </c>
      <c r="R234" s="1557">
        <f t="shared" si="99"/>
        <v>0</v>
      </c>
      <c r="S234" s="1557">
        <f t="shared" si="99"/>
        <v>0</v>
      </c>
      <c r="T234" s="1557">
        <f t="shared" ref="T234:W234" si="100">T232/T233</f>
        <v>0</v>
      </c>
      <c r="U234" s="1557">
        <f t="shared" si="100"/>
        <v>0</v>
      </c>
      <c r="V234" s="1557">
        <f t="shared" si="100"/>
        <v>0</v>
      </c>
      <c r="W234" s="1557">
        <f t="shared" si="100"/>
        <v>0</v>
      </c>
      <c r="X234" s="1557">
        <f>X232/X233</f>
        <v>0</v>
      </c>
      <c r="Y234" s="1557">
        <f t="shared" ref="Y234:AA234" si="101">Y232/Y233</f>
        <v>0</v>
      </c>
      <c r="Z234" s="1557">
        <f t="shared" si="101"/>
        <v>0</v>
      </c>
      <c r="AA234" s="1557" t="e">
        <f t="shared" si="101"/>
        <v>#REF!</v>
      </c>
    </row>
    <row r="235" spans="1:27" s="1106" customFormat="1">
      <c r="A235" s="3570"/>
      <c r="B235" s="3581" t="s">
        <v>63</v>
      </c>
      <c r="C235" s="3535">
        <f>COUNTA(A29:A33)</f>
        <v>5</v>
      </c>
      <c r="D235" s="1556">
        <f>COUNTIF(D29:D33,"&lt;=0.4")</f>
        <v>0</v>
      </c>
      <c r="E235" s="1556">
        <f t="shared" ref="E235:X235" si="102">COUNTIF(E29:E33,"&lt;=0.4")</f>
        <v>0</v>
      </c>
      <c r="F235" s="1556">
        <f t="shared" si="102"/>
        <v>0</v>
      </c>
      <c r="G235" s="1556">
        <f t="shared" si="102"/>
        <v>0</v>
      </c>
      <c r="H235" s="1556">
        <f t="shared" si="102"/>
        <v>0</v>
      </c>
      <c r="I235" s="1556">
        <f t="shared" si="102"/>
        <v>0</v>
      </c>
      <c r="J235" s="1556">
        <f t="shared" si="102"/>
        <v>0</v>
      </c>
      <c r="K235" s="1556">
        <f t="shared" si="102"/>
        <v>0</v>
      </c>
      <c r="L235" s="1556">
        <f t="shared" si="102"/>
        <v>0</v>
      </c>
      <c r="M235" s="1556">
        <f t="shared" si="102"/>
        <v>0</v>
      </c>
      <c r="N235" s="1556">
        <f t="shared" si="102"/>
        <v>0</v>
      </c>
      <c r="O235" s="1556">
        <f t="shared" si="102"/>
        <v>0</v>
      </c>
      <c r="P235" s="2245">
        <f t="shared" si="102"/>
        <v>0</v>
      </c>
      <c r="Q235" s="1556">
        <f t="shared" si="102"/>
        <v>0</v>
      </c>
      <c r="R235" s="1556">
        <f t="shared" si="102"/>
        <v>0</v>
      </c>
      <c r="S235" s="1556">
        <f t="shared" si="102"/>
        <v>0</v>
      </c>
      <c r="T235" s="3001">
        <f t="shared" ref="T235:W235" si="103">COUNTIF(T29:T33,"&lt;=0.4")</f>
        <v>0</v>
      </c>
      <c r="U235" s="3001">
        <f t="shared" si="103"/>
        <v>0</v>
      </c>
      <c r="V235" s="3001">
        <f t="shared" si="103"/>
        <v>0</v>
      </c>
      <c r="W235" s="3001">
        <f t="shared" si="103"/>
        <v>0</v>
      </c>
      <c r="X235" s="1556">
        <f t="shared" si="102"/>
        <v>0</v>
      </c>
      <c r="Y235" s="3282">
        <f t="shared" ref="Y235:Z235" si="104">COUNTIF(Y29:Y33,"&lt;=0.4")</f>
        <v>0</v>
      </c>
      <c r="Z235" s="3282">
        <f t="shared" si="104"/>
        <v>0</v>
      </c>
      <c r="AA235" s="3282" t="e">
        <f>COUNTIF(#REF!,"&lt;=0.4")</f>
        <v>#REF!</v>
      </c>
    </row>
    <row r="236" spans="1:27" s="1096" customFormat="1">
      <c r="A236" s="3570"/>
      <c r="B236" s="3582"/>
      <c r="C236" s="3536"/>
      <c r="D236" s="1558">
        <f>COUNT(D29:D33)</f>
        <v>0</v>
      </c>
      <c r="E236" s="1558">
        <f t="shared" ref="E236:X236" si="105">COUNT(E29:E33)</f>
        <v>0</v>
      </c>
      <c r="F236" s="1558">
        <f t="shared" si="105"/>
        <v>0</v>
      </c>
      <c r="G236" s="1558">
        <f t="shared" si="105"/>
        <v>0</v>
      </c>
      <c r="H236" s="1558">
        <f t="shared" si="105"/>
        <v>0</v>
      </c>
      <c r="I236" s="1558">
        <f t="shared" si="105"/>
        <v>5</v>
      </c>
      <c r="J236" s="1558">
        <f t="shared" si="105"/>
        <v>5</v>
      </c>
      <c r="K236" s="1558">
        <f t="shared" si="105"/>
        <v>5</v>
      </c>
      <c r="L236" s="1558">
        <f t="shared" si="105"/>
        <v>5</v>
      </c>
      <c r="M236" s="1558">
        <f t="shared" si="105"/>
        <v>0</v>
      </c>
      <c r="N236" s="1558">
        <f t="shared" si="105"/>
        <v>5</v>
      </c>
      <c r="O236" s="1558">
        <f t="shared" si="105"/>
        <v>0</v>
      </c>
      <c r="P236" s="2246">
        <f t="shared" si="105"/>
        <v>5</v>
      </c>
      <c r="Q236" s="1558">
        <f t="shared" si="105"/>
        <v>5</v>
      </c>
      <c r="R236" s="1558">
        <f t="shared" si="105"/>
        <v>5</v>
      </c>
      <c r="S236" s="1558">
        <f t="shared" si="105"/>
        <v>5</v>
      </c>
      <c r="T236" s="3002">
        <f t="shared" ref="T236:W236" si="106">COUNT(T29:T33)</f>
        <v>5</v>
      </c>
      <c r="U236" s="3002">
        <f t="shared" si="106"/>
        <v>5</v>
      </c>
      <c r="V236" s="3002">
        <f t="shared" si="106"/>
        <v>5</v>
      </c>
      <c r="W236" s="3002">
        <f t="shared" si="106"/>
        <v>5</v>
      </c>
      <c r="X236" s="1558">
        <f t="shared" si="105"/>
        <v>5</v>
      </c>
      <c r="Y236" s="3283">
        <f t="shared" ref="Y236:Z236" si="107">COUNT(Y29:Y33)</f>
        <v>5</v>
      </c>
      <c r="Z236" s="3283">
        <f t="shared" si="107"/>
        <v>5</v>
      </c>
      <c r="AA236" s="3283">
        <f>COUNT(#REF!)</f>
        <v>0</v>
      </c>
    </row>
    <row r="237" spans="1:27" s="1096" customFormat="1">
      <c r="A237" s="3570"/>
      <c r="B237" s="3583"/>
      <c r="C237" s="3537"/>
      <c r="D237" s="1557" t="e">
        <f t="shared" ref="D237:S237" si="108">D235/D236</f>
        <v>#DIV/0!</v>
      </c>
      <c r="E237" s="1557" t="e">
        <f t="shared" si="108"/>
        <v>#DIV/0!</v>
      </c>
      <c r="F237" s="1557" t="e">
        <f t="shared" si="108"/>
        <v>#DIV/0!</v>
      </c>
      <c r="G237" s="1557" t="e">
        <f t="shared" si="108"/>
        <v>#DIV/0!</v>
      </c>
      <c r="H237" s="1557" t="e">
        <f t="shared" si="108"/>
        <v>#DIV/0!</v>
      </c>
      <c r="I237" s="1557">
        <f t="shared" si="108"/>
        <v>0</v>
      </c>
      <c r="J237" s="1557">
        <f t="shared" si="108"/>
        <v>0</v>
      </c>
      <c r="K237" s="1557">
        <f t="shared" si="108"/>
        <v>0</v>
      </c>
      <c r="L237" s="1557">
        <f t="shared" si="108"/>
        <v>0</v>
      </c>
      <c r="M237" s="1557" t="e">
        <f t="shared" si="108"/>
        <v>#DIV/0!</v>
      </c>
      <c r="N237" s="1557">
        <f t="shared" si="108"/>
        <v>0</v>
      </c>
      <c r="O237" s="1557" t="e">
        <f t="shared" si="108"/>
        <v>#DIV/0!</v>
      </c>
      <c r="P237" s="2247">
        <f t="shared" si="108"/>
        <v>0</v>
      </c>
      <c r="Q237" s="1557">
        <f t="shared" si="108"/>
        <v>0</v>
      </c>
      <c r="R237" s="1557">
        <f t="shared" si="108"/>
        <v>0</v>
      </c>
      <c r="S237" s="1557">
        <f t="shared" si="108"/>
        <v>0</v>
      </c>
      <c r="T237" s="1557">
        <f t="shared" ref="T237:W237" si="109">T235/T236</f>
        <v>0</v>
      </c>
      <c r="U237" s="1557">
        <f t="shared" si="109"/>
        <v>0</v>
      </c>
      <c r="V237" s="1557">
        <f t="shared" si="109"/>
        <v>0</v>
      </c>
      <c r="W237" s="1557">
        <f t="shared" si="109"/>
        <v>0</v>
      </c>
      <c r="X237" s="1557">
        <f>X235/X236</f>
        <v>0</v>
      </c>
      <c r="Y237" s="1557">
        <f t="shared" ref="Y237:AA237" si="110">Y235/Y236</f>
        <v>0</v>
      </c>
      <c r="Z237" s="1557">
        <f t="shared" si="110"/>
        <v>0</v>
      </c>
      <c r="AA237" s="1557" t="e">
        <f t="shared" si="110"/>
        <v>#REF!</v>
      </c>
    </row>
    <row r="238" spans="1:27" s="1106" customFormat="1">
      <c r="A238" s="3570"/>
      <c r="B238" s="3581" t="s">
        <v>23</v>
      </c>
      <c r="C238" s="3535">
        <f>COUNTA(A34:A36)</f>
        <v>3</v>
      </c>
      <c r="D238" s="1556">
        <f>COUNTIF(D34:D36,"&lt;=0.4")</f>
        <v>0</v>
      </c>
      <c r="E238" s="1556">
        <f t="shared" ref="E238:X238" si="111">COUNTIF(E34:E36,"&lt;=0.4")</f>
        <v>0</v>
      </c>
      <c r="F238" s="1556">
        <f t="shared" si="111"/>
        <v>0</v>
      </c>
      <c r="G238" s="1556">
        <f t="shared" si="111"/>
        <v>0</v>
      </c>
      <c r="H238" s="1556">
        <f t="shared" si="111"/>
        <v>0</v>
      </c>
      <c r="I238" s="1556">
        <f t="shared" si="111"/>
        <v>0</v>
      </c>
      <c r="J238" s="1556">
        <f t="shared" si="111"/>
        <v>0</v>
      </c>
      <c r="K238" s="1556">
        <f t="shared" si="111"/>
        <v>0</v>
      </c>
      <c r="L238" s="1556">
        <f t="shared" si="111"/>
        <v>0</v>
      </c>
      <c r="M238" s="1556">
        <f t="shared" si="111"/>
        <v>0</v>
      </c>
      <c r="N238" s="1556">
        <f t="shared" si="111"/>
        <v>2</v>
      </c>
      <c r="O238" s="1556">
        <f t="shared" si="111"/>
        <v>0</v>
      </c>
      <c r="P238" s="2245">
        <f t="shared" si="111"/>
        <v>1</v>
      </c>
      <c r="Q238" s="1556">
        <f t="shared" si="111"/>
        <v>0</v>
      </c>
      <c r="R238" s="1556">
        <f t="shared" si="111"/>
        <v>0</v>
      </c>
      <c r="S238" s="1556">
        <f t="shared" si="111"/>
        <v>0</v>
      </c>
      <c r="T238" s="3001">
        <f t="shared" ref="T238:W238" si="112">COUNTIF(T34:T36,"&lt;=0.4")</f>
        <v>0</v>
      </c>
      <c r="U238" s="3001">
        <f t="shared" si="112"/>
        <v>0</v>
      </c>
      <c r="V238" s="3001">
        <f t="shared" si="112"/>
        <v>0</v>
      </c>
      <c r="W238" s="3001">
        <f t="shared" si="112"/>
        <v>0</v>
      </c>
      <c r="X238" s="1556">
        <f t="shared" si="111"/>
        <v>0</v>
      </c>
      <c r="Y238" s="3282">
        <f t="shared" ref="Y238:Z238" si="113">COUNTIF(Y34:Y36,"&lt;=0.4")</f>
        <v>2</v>
      </c>
      <c r="Z238" s="3282">
        <f t="shared" si="113"/>
        <v>0</v>
      </c>
      <c r="AA238" s="3282" t="e">
        <f>COUNTIF(#REF!,"&lt;=0.4")</f>
        <v>#REF!</v>
      </c>
    </row>
    <row r="239" spans="1:27" s="1096" customFormat="1">
      <c r="A239" s="3570"/>
      <c r="B239" s="3582"/>
      <c r="C239" s="3536"/>
      <c r="D239" s="1558">
        <f>COUNT(D34:D36)</f>
        <v>0</v>
      </c>
      <c r="E239" s="1558">
        <f t="shared" ref="E239:X239" si="114">COUNT(E34:E36)</f>
        <v>0</v>
      </c>
      <c r="F239" s="1558">
        <f t="shared" si="114"/>
        <v>0</v>
      </c>
      <c r="G239" s="1558">
        <f t="shared" si="114"/>
        <v>0</v>
      </c>
      <c r="H239" s="1558">
        <f t="shared" si="114"/>
        <v>0</v>
      </c>
      <c r="I239" s="1558">
        <f t="shared" si="114"/>
        <v>3</v>
      </c>
      <c r="J239" s="1558">
        <f t="shared" si="114"/>
        <v>3</v>
      </c>
      <c r="K239" s="1558">
        <f t="shared" si="114"/>
        <v>3</v>
      </c>
      <c r="L239" s="1558">
        <f t="shared" si="114"/>
        <v>3</v>
      </c>
      <c r="M239" s="1558">
        <f t="shared" si="114"/>
        <v>0</v>
      </c>
      <c r="N239" s="1558">
        <f t="shared" si="114"/>
        <v>3</v>
      </c>
      <c r="O239" s="1558">
        <f t="shared" si="114"/>
        <v>0</v>
      </c>
      <c r="P239" s="2246">
        <f t="shared" si="114"/>
        <v>3</v>
      </c>
      <c r="Q239" s="1558">
        <f t="shared" si="114"/>
        <v>3</v>
      </c>
      <c r="R239" s="1558">
        <f t="shared" si="114"/>
        <v>3</v>
      </c>
      <c r="S239" s="1558">
        <f t="shared" si="114"/>
        <v>3</v>
      </c>
      <c r="T239" s="3002">
        <f t="shared" ref="T239:W239" si="115">COUNT(T34:T36)</f>
        <v>0</v>
      </c>
      <c r="U239" s="3002">
        <f t="shared" si="115"/>
        <v>0</v>
      </c>
      <c r="V239" s="3002">
        <f t="shared" si="115"/>
        <v>0</v>
      </c>
      <c r="W239" s="3002">
        <f t="shared" si="115"/>
        <v>3</v>
      </c>
      <c r="X239" s="1558">
        <f t="shared" si="114"/>
        <v>3</v>
      </c>
      <c r="Y239" s="3283">
        <f t="shared" ref="Y239:Z239" si="116">COUNT(Y34:Y36)</f>
        <v>3</v>
      </c>
      <c r="Z239" s="3283">
        <f t="shared" si="116"/>
        <v>3</v>
      </c>
      <c r="AA239" s="3283">
        <f>COUNT(#REF!)</f>
        <v>0</v>
      </c>
    </row>
    <row r="240" spans="1:27" s="1096" customFormat="1">
      <c r="A240" s="3570"/>
      <c r="B240" s="3583"/>
      <c r="C240" s="3537"/>
      <c r="D240" s="1557" t="e">
        <f t="shared" ref="D240:S240" si="117">D238/D239</f>
        <v>#DIV/0!</v>
      </c>
      <c r="E240" s="1557" t="e">
        <f t="shared" si="117"/>
        <v>#DIV/0!</v>
      </c>
      <c r="F240" s="1557" t="e">
        <f t="shared" si="117"/>
        <v>#DIV/0!</v>
      </c>
      <c r="G240" s="1557" t="e">
        <f t="shared" si="117"/>
        <v>#DIV/0!</v>
      </c>
      <c r="H240" s="1557" t="e">
        <f t="shared" si="117"/>
        <v>#DIV/0!</v>
      </c>
      <c r="I240" s="1557">
        <f t="shared" si="117"/>
        <v>0</v>
      </c>
      <c r="J240" s="1557">
        <f t="shared" si="117"/>
        <v>0</v>
      </c>
      <c r="K240" s="1557">
        <f t="shared" si="117"/>
        <v>0</v>
      </c>
      <c r="L240" s="1557">
        <f t="shared" si="117"/>
        <v>0</v>
      </c>
      <c r="M240" s="1557" t="e">
        <f t="shared" si="117"/>
        <v>#DIV/0!</v>
      </c>
      <c r="N240" s="1557">
        <f t="shared" si="117"/>
        <v>0.66666666666666663</v>
      </c>
      <c r="O240" s="1557" t="e">
        <f t="shared" si="117"/>
        <v>#DIV/0!</v>
      </c>
      <c r="P240" s="2247">
        <f t="shared" si="117"/>
        <v>0.33333333333333331</v>
      </c>
      <c r="Q240" s="1557">
        <f t="shared" si="117"/>
        <v>0</v>
      </c>
      <c r="R240" s="1557">
        <f t="shared" si="117"/>
        <v>0</v>
      </c>
      <c r="S240" s="1557">
        <f t="shared" si="117"/>
        <v>0</v>
      </c>
      <c r="T240" s="1557" t="e">
        <f t="shared" ref="T240:W240" si="118">T238/T239</f>
        <v>#DIV/0!</v>
      </c>
      <c r="U240" s="1557" t="e">
        <f t="shared" si="118"/>
        <v>#DIV/0!</v>
      </c>
      <c r="V240" s="1557" t="e">
        <f t="shared" si="118"/>
        <v>#DIV/0!</v>
      </c>
      <c r="W240" s="1557">
        <f t="shared" si="118"/>
        <v>0</v>
      </c>
      <c r="X240" s="1557">
        <f>X238/X239</f>
        <v>0</v>
      </c>
      <c r="Y240" s="1557">
        <f t="shared" ref="Y240:AA240" si="119">Y238/Y239</f>
        <v>0.66666666666666663</v>
      </c>
      <c r="Z240" s="1557">
        <f t="shared" si="119"/>
        <v>0</v>
      </c>
      <c r="AA240" s="1557" t="e">
        <f t="shared" si="119"/>
        <v>#REF!</v>
      </c>
    </row>
    <row r="241" spans="1:27" s="1106" customFormat="1">
      <c r="A241" s="3570"/>
      <c r="B241" s="3581" t="s">
        <v>6</v>
      </c>
      <c r="C241" s="3535">
        <f>COUNTA(A37:A41)</f>
        <v>5</v>
      </c>
      <c r="D241" s="1556">
        <f>COUNTIF(D37:D41,"&lt;=0.4")</f>
        <v>0</v>
      </c>
      <c r="E241" s="1556">
        <f t="shared" ref="E241:X241" si="120">COUNTIF(E37:E41,"&lt;=0.4")</f>
        <v>0</v>
      </c>
      <c r="F241" s="1556">
        <f t="shared" si="120"/>
        <v>0</v>
      </c>
      <c r="G241" s="1556">
        <f t="shared" si="120"/>
        <v>0</v>
      </c>
      <c r="H241" s="1556">
        <f t="shared" si="120"/>
        <v>0</v>
      </c>
      <c r="I241" s="1556">
        <f t="shared" si="120"/>
        <v>5</v>
      </c>
      <c r="J241" s="1556">
        <f t="shared" si="120"/>
        <v>5</v>
      </c>
      <c r="K241" s="1556">
        <f t="shared" si="120"/>
        <v>5</v>
      </c>
      <c r="L241" s="1556">
        <f t="shared" si="120"/>
        <v>5</v>
      </c>
      <c r="M241" s="1556">
        <f t="shared" si="120"/>
        <v>0</v>
      </c>
      <c r="N241" s="1556">
        <f t="shared" si="120"/>
        <v>4</v>
      </c>
      <c r="O241" s="1556">
        <f t="shared" si="120"/>
        <v>0</v>
      </c>
      <c r="P241" s="2245">
        <f t="shared" si="120"/>
        <v>0</v>
      </c>
      <c r="Q241" s="1556">
        <f t="shared" si="120"/>
        <v>0</v>
      </c>
      <c r="R241" s="1556">
        <f t="shared" si="120"/>
        <v>0</v>
      </c>
      <c r="S241" s="1556">
        <f t="shared" si="120"/>
        <v>5</v>
      </c>
      <c r="T241" s="3001">
        <f t="shared" ref="T241:W241" si="121">COUNTIF(T37:T41,"&lt;=0.4")</f>
        <v>0</v>
      </c>
      <c r="U241" s="3001">
        <f t="shared" si="121"/>
        <v>0</v>
      </c>
      <c r="V241" s="3001">
        <f t="shared" si="121"/>
        <v>0</v>
      </c>
      <c r="W241" s="3001">
        <f t="shared" si="121"/>
        <v>5</v>
      </c>
      <c r="X241" s="1556">
        <f t="shared" si="120"/>
        <v>5</v>
      </c>
      <c r="Y241" s="3282">
        <f t="shared" ref="Y241:Z241" si="122">COUNTIF(Y37:Y41,"&lt;=0.4")</f>
        <v>1</v>
      </c>
      <c r="Z241" s="3282">
        <f t="shared" si="122"/>
        <v>5</v>
      </c>
      <c r="AA241" s="3282" t="e">
        <f>COUNTIF(#REF!,"&lt;=0.4")</f>
        <v>#REF!</v>
      </c>
    </row>
    <row r="242" spans="1:27" s="1096" customFormat="1">
      <c r="A242" s="3570"/>
      <c r="B242" s="3582"/>
      <c r="C242" s="3536"/>
      <c r="D242" s="1558">
        <f>COUNT(D37:D41)</f>
        <v>0</v>
      </c>
      <c r="E242" s="1558">
        <f t="shared" ref="E242:X242" si="123">COUNT(E37:E41)</f>
        <v>0</v>
      </c>
      <c r="F242" s="1558">
        <f t="shared" si="123"/>
        <v>0</v>
      </c>
      <c r="G242" s="1558">
        <f t="shared" si="123"/>
        <v>0</v>
      </c>
      <c r="H242" s="1558">
        <f t="shared" si="123"/>
        <v>0</v>
      </c>
      <c r="I242" s="1558">
        <f t="shared" si="123"/>
        <v>5</v>
      </c>
      <c r="J242" s="1558">
        <f t="shared" si="123"/>
        <v>5</v>
      </c>
      <c r="K242" s="1558">
        <f t="shared" si="123"/>
        <v>5</v>
      </c>
      <c r="L242" s="1558">
        <f t="shared" si="123"/>
        <v>5</v>
      </c>
      <c r="M242" s="1558">
        <f t="shared" si="123"/>
        <v>0</v>
      </c>
      <c r="N242" s="1558">
        <f t="shared" si="123"/>
        <v>5</v>
      </c>
      <c r="O242" s="1558">
        <f t="shared" si="123"/>
        <v>0</v>
      </c>
      <c r="P242" s="2246">
        <f t="shared" si="123"/>
        <v>0</v>
      </c>
      <c r="Q242" s="1558">
        <f t="shared" si="123"/>
        <v>0</v>
      </c>
      <c r="R242" s="1558">
        <f t="shared" si="123"/>
        <v>0</v>
      </c>
      <c r="S242" s="1558">
        <f t="shared" si="123"/>
        <v>5</v>
      </c>
      <c r="T242" s="3002">
        <f t="shared" ref="T242:W242" si="124">COUNT(T37:T41)</f>
        <v>0</v>
      </c>
      <c r="U242" s="3002">
        <f t="shared" si="124"/>
        <v>0</v>
      </c>
      <c r="V242" s="3002">
        <f t="shared" si="124"/>
        <v>0</v>
      </c>
      <c r="W242" s="3002">
        <f t="shared" si="124"/>
        <v>5</v>
      </c>
      <c r="X242" s="1558">
        <f t="shared" si="123"/>
        <v>5</v>
      </c>
      <c r="Y242" s="3283">
        <f t="shared" ref="Y242:Z242" si="125">COUNT(Y37:Y41)</f>
        <v>5</v>
      </c>
      <c r="Z242" s="3283">
        <f t="shared" si="125"/>
        <v>5</v>
      </c>
      <c r="AA242" s="3283">
        <f>COUNT(#REF!)</f>
        <v>0</v>
      </c>
    </row>
    <row r="243" spans="1:27" s="1096" customFormat="1">
      <c r="A243" s="3570"/>
      <c r="B243" s="3583"/>
      <c r="C243" s="3537"/>
      <c r="D243" s="1557" t="e">
        <f t="shared" ref="D243:S243" si="126">D241/D242</f>
        <v>#DIV/0!</v>
      </c>
      <c r="E243" s="1557" t="e">
        <f t="shared" si="126"/>
        <v>#DIV/0!</v>
      </c>
      <c r="F243" s="1557" t="e">
        <f t="shared" si="126"/>
        <v>#DIV/0!</v>
      </c>
      <c r="G243" s="1557" t="e">
        <f t="shared" si="126"/>
        <v>#DIV/0!</v>
      </c>
      <c r="H243" s="1557" t="e">
        <f t="shared" si="126"/>
        <v>#DIV/0!</v>
      </c>
      <c r="I243" s="1557">
        <f t="shared" si="126"/>
        <v>1</v>
      </c>
      <c r="J243" s="1557">
        <f t="shared" si="126"/>
        <v>1</v>
      </c>
      <c r="K243" s="1557">
        <f t="shared" si="126"/>
        <v>1</v>
      </c>
      <c r="L243" s="1557">
        <f t="shared" si="126"/>
        <v>1</v>
      </c>
      <c r="M243" s="1557" t="e">
        <f t="shared" si="126"/>
        <v>#DIV/0!</v>
      </c>
      <c r="N243" s="1557">
        <f t="shared" si="126"/>
        <v>0.8</v>
      </c>
      <c r="O243" s="1557" t="e">
        <f t="shared" si="126"/>
        <v>#DIV/0!</v>
      </c>
      <c r="P243" s="2247" t="e">
        <f t="shared" si="126"/>
        <v>#DIV/0!</v>
      </c>
      <c r="Q243" s="1557" t="e">
        <f t="shared" si="126"/>
        <v>#DIV/0!</v>
      </c>
      <c r="R243" s="1557" t="e">
        <f t="shared" si="126"/>
        <v>#DIV/0!</v>
      </c>
      <c r="S243" s="1557">
        <f t="shared" si="126"/>
        <v>1</v>
      </c>
      <c r="T243" s="1557" t="e">
        <f t="shared" ref="T243:W243" si="127">T241/T242</f>
        <v>#DIV/0!</v>
      </c>
      <c r="U243" s="1557" t="e">
        <f t="shared" si="127"/>
        <v>#DIV/0!</v>
      </c>
      <c r="V243" s="1557" t="e">
        <f t="shared" si="127"/>
        <v>#DIV/0!</v>
      </c>
      <c r="W243" s="1557">
        <f t="shared" si="127"/>
        <v>1</v>
      </c>
      <c r="X243" s="1557">
        <f>X241/X242</f>
        <v>1</v>
      </c>
      <c r="Y243" s="1557">
        <f t="shared" ref="Y243:AA243" si="128">Y241/Y242</f>
        <v>0.2</v>
      </c>
      <c r="Z243" s="1557">
        <f t="shared" si="128"/>
        <v>1</v>
      </c>
      <c r="AA243" s="1557" t="e">
        <f t="shared" si="128"/>
        <v>#REF!</v>
      </c>
    </row>
    <row r="244" spans="1:27" s="1106" customFormat="1">
      <c r="A244" s="3570"/>
      <c r="B244" s="3581" t="s">
        <v>28</v>
      </c>
      <c r="C244" s="3535">
        <f>COUNTA(A42:A44)</f>
        <v>3</v>
      </c>
      <c r="D244" s="1556">
        <f>COUNTIF(D42:D44,"&lt;=0.4")</f>
        <v>0</v>
      </c>
      <c r="E244" s="1556">
        <f t="shared" ref="E244:X244" si="129">COUNTIF(E42:E44,"&lt;=0.4")</f>
        <v>0</v>
      </c>
      <c r="F244" s="1556">
        <f t="shared" si="129"/>
        <v>0</v>
      </c>
      <c r="G244" s="1556">
        <f t="shared" si="129"/>
        <v>0</v>
      </c>
      <c r="H244" s="1556">
        <f t="shared" si="129"/>
        <v>0</v>
      </c>
      <c r="I244" s="1556">
        <f t="shared" si="129"/>
        <v>0</v>
      </c>
      <c r="J244" s="1556">
        <f t="shared" si="129"/>
        <v>0</v>
      </c>
      <c r="K244" s="1556">
        <f t="shared" si="129"/>
        <v>0</v>
      </c>
      <c r="L244" s="1556">
        <f t="shared" si="129"/>
        <v>0</v>
      </c>
      <c r="M244" s="1556">
        <f t="shared" si="129"/>
        <v>0</v>
      </c>
      <c r="N244" s="1556">
        <f t="shared" si="129"/>
        <v>0</v>
      </c>
      <c r="O244" s="1556">
        <f t="shared" si="129"/>
        <v>0</v>
      </c>
      <c r="P244" s="2245">
        <f t="shared" si="129"/>
        <v>0</v>
      </c>
      <c r="Q244" s="1556">
        <f t="shared" si="129"/>
        <v>0</v>
      </c>
      <c r="R244" s="1556">
        <f t="shared" si="129"/>
        <v>0</v>
      </c>
      <c r="S244" s="1556">
        <f t="shared" si="129"/>
        <v>0</v>
      </c>
      <c r="T244" s="3001">
        <f t="shared" ref="T244:W244" si="130">COUNTIF(T42:T44,"&lt;=0.4")</f>
        <v>0</v>
      </c>
      <c r="U244" s="3001">
        <f t="shared" si="130"/>
        <v>0</v>
      </c>
      <c r="V244" s="3001">
        <f t="shared" si="130"/>
        <v>0</v>
      </c>
      <c r="W244" s="3001">
        <f t="shared" si="130"/>
        <v>0</v>
      </c>
      <c r="X244" s="1556">
        <f t="shared" si="129"/>
        <v>0</v>
      </c>
      <c r="Y244" s="3282">
        <f t="shared" ref="Y244:AA244" si="131">COUNTIF(Y42:Y44,"&lt;=0.4")</f>
        <v>0</v>
      </c>
      <c r="Z244" s="3282">
        <f t="shared" si="131"/>
        <v>0</v>
      </c>
      <c r="AA244" s="3282">
        <f t="shared" si="131"/>
        <v>0</v>
      </c>
    </row>
    <row r="245" spans="1:27" s="1096" customFormat="1">
      <c r="A245" s="3570"/>
      <c r="B245" s="3582"/>
      <c r="C245" s="3536"/>
      <c r="D245" s="1558">
        <f>COUNT(D42:D44)</f>
        <v>0</v>
      </c>
      <c r="E245" s="1558">
        <f t="shared" ref="E245:X245" si="132">COUNT(E42:E44)</f>
        <v>0</v>
      </c>
      <c r="F245" s="1558">
        <f t="shared" si="132"/>
        <v>0</v>
      </c>
      <c r="G245" s="1558">
        <f t="shared" si="132"/>
        <v>0</v>
      </c>
      <c r="H245" s="1558">
        <f t="shared" si="132"/>
        <v>0</v>
      </c>
      <c r="I245" s="1558">
        <f t="shared" si="132"/>
        <v>3</v>
      </c>
      <c r="J245" s="1558">
        <f t="shared" si="132"/>
        <v>3</v>
      </c>
      <c r="K245" s="1558">
        <f t="shared" si="132"/>
        <v>3</v>
      </c>
      <c r="L245" s="1558">
        <f t="shared" si="132"/>
        <v>3</v>
      </c>
      <c r="M245" s="1558">
        <f t="shared" si="132"/>
        <v>0</v>
      </c>
      <c r="N245" s="1558">
        <f t="shared" si="132"/>
        <v>3</v>
      </c>
      <c r="O245" s="1558">
        <f t="shared" si="132"/>
        <v>0</v>
      </c>
      <c r="P245" s="2246">
        <f t="shared" si="132"/>
        <v>3</v>
      </c>
      <c r="Q245" s="1558">
        <f t="shared" si="132"/>
        <v>3</v>
      </c>
      <c r="R245" s="1558">
        <f t="shared" si="132"/>
        <v>3</v>
      </c>
      <c r="S245" s="1558">
        <f t="shared" si="132"/>
        <v>3</v>
      </c>
      <c r="T245" s="3002">
        <f t="shared" ref="T245:W245" si="133">COUNT(T42:T44)</f>
        <v>0</v>
      </c>
      <c r="U245" s="3002">
        <f t="shared" si="133"/>
        <v>0</v>
      </c>
      <c r="V245" s="3002">
        <f t="shared" si="133"/>
        <v>0</v>
      </c>
      <c r="W245" s="3002">
        <f t="shared" si="133"/>
        <v>3</v>
      </c>
      <c r="X245" s="1558">
        <f t="shared" si="132"/>
        <v>3</v>
      </c>
      <c r="Y245" s="3283">
        <f t="shared" ref="Y245:AA245" si="134">COUNT(Y42:Y44)</f>
        <v>3</v>
      </c>
      <c r="Z245" s="3283">
        <f t="shared" si="134"/>
        <v>3</v>
      </c>
      <c r="AA245" s="3283">
        <f t="shared" si="134"/>
        <v>3</v>
      </c>
    </row>
    <row r="246" spans="1:27" s="1096" customFormat="1">
      <c r="A246" s="3570"/>
      <c r="B246" s="3583"/>
      <c r="C246" s="3537"/>
      <c r="D246" s="1557" t="e">
        <f t="shared" ref="D246:S246" si="135">D244/D245</f>
        <v>#DIV/0!</v>
      </c>
      <c r="E246" s="1557" t="e">
        <f t="shared" si="135"/>
        <v>#DIV/0!</v>
      </c>
      <c r="F246" s="1557" t="e">
        <f t="shared" si="135"/>
        <v>#DIV/0!</v>
      </c>
      <c r="G246" s="1557" t="e">
        <f t="shared" si="135"/>
        <v>#DIV/0!</v>
      </c>
      <c r="H246" s="1557" t="e">
        <f t="shared" si="135"/>
        <v>#DIV/0!</v>
      </c>
      <c r="I246" s="1557">
        <f t="shared" si="135"/>
        <v>0</v>
      </c>
      <c r="J246" s="1557">
        <f t="shared" si="135"/>
        <v>0</v>
      </c>
      <c r="K246" s="1557">
        <f t="shared" si="135"/>
        <v>0</v>
      </c>
      <c r="L246" s="1557">
        <f t="shared" si="135"/>
        <v>0</v>
      </c>
      <c r="M246" s="1557" t="e">
        <f t="shared" si="135"/>
        <v>#DIV/0!</v>
      </c>
      <c r="N246" s="1557">
        <f t="shared" si="135"/>
        <v>0</v>
      </c>
      <c r="O246" s="1557" t="e">
        <f t="shared" si="135"/>
        <v>#DIV/0!</v>
      </c>
      <c r="P246" s="2247">
        <f t="shared" si="135"/>
        <v>0</v>
      </c>
      <c r="Q246" s="1557">
        <f t="shared" si="135"/>
        <v>0</v>
      </c>
      <c r="R246" s="1557">
        <f t="shared" si="135"/>
        <v>0</v>
      </c>
      <c r="S246" s="1557">
        <f t="shared" si="135"/>
        <v>0</v>
      </c>
      <c r="T246" s="1557" t="e">
        <f t="shared" ref="T246:W246" si="136">T244/T245</f>
        <v>#DIV/0!</v>
      </c>
      <c r="U246" s="1557" t="e">
        <f t="shared" si="136"/>
        <v>#DIV/0!</v>
      </c>
      <c r="V246" s="1557" t="e">
        <f t="shared" si="136"/>
        <v>#DIV/0!</v>
      </c>
      <c r="W246" s="1557">
        <f t="shared" si="136"/>
        <v>0</v>
      </c>
      <c r="X246" s="1557">
        <f>X244/X245</f>
        <v>0</v>
      </c>
      <c r="Y246" s="1557">
        <f t="shared" ref="Y246:AA246" si="137">Y244/Y245</f>
        <v>0</v>
      </c>
      <c r="Z246" s="1557">
        <f t="shared" si="137"/>
        <v>0</v>
      </c>
      <c r="AA246" s="1557">
        <f t="shared" si="137"/>
        <v>0</v>
      </c>
    </row>
    <row r="247" spans="1:27" s="1106" customFormat="1">
      <c r="A247" s="3570"/>
      <c r="B247" s="3581" t="s">
        <v>8</v>
      </c>
      <c r="C247" s="3535">
        <f>COUNTA(A45:A47)</f>
        <v>3</v>
      </c>
      <c r="D247" s="1556">
        <f>COUNTIF(D45:D47,"&lt;=0.4")</f>
        <v>0</v>
      </c>
      <c r="E247" s="1556">
        <f t="shared" ref="E247:X247" si="138">COUNTIF(E45:E47,"&lt;=0.4")</f>
        <v>0</v>
      </c>
      <c r="F247" s="1556">
        <f t="shared" si="138"/>
        <v>0</v>
      </c>
      <c r="G247" s="1556">
        <f t="shared" si="138"/>
        <v>0</v>
      </c>
      <c r="H247" s="1556">
        <f t="shared" si="138"/>
        <v>0</v>
      </c>
      <c r="I247" s="1556">
        <f t="shared" si="138"/>
        <v>3</v>
      </c>
      <c r="J247" s="1556">
        <f t="shared" si="138"/>
        <v>3</v>
      </c>
      <c r="K247" s="1556">
        <f t="shared" si="138"/>
        <v>3</v>
      </c>
      <c r="L247" s="1556">
        <f t="shared" si="138"/>
        <v>3</v>
      </c>
      <c r="M247" s="1556">
        <f t="shared" si="138"/>
        <v>0</v>
      </c>
      <c r="N247" s="1556">
        <f t="shared" si="138"/>
        <v>3</v>
      </c>
      <c r="O247" s="1556">
        <f t="shared" si="138"/>
        <v>0</v>
      </c>
      <c r="P247" s="2245">
        <f t="shared" si="138"/>
        <v>3</v>
      </c>
      <c r="Q247" s="1556">
        <f t="shared" si="138"/>
        <v>3</v>
      </c>
      <c r="R247" s="1556">
        <f t="shared" si="138"/>
        <v>3</v>
      </c>
      <c r="S247" s="1556">
        <f t="shared" si="138"/>
        <v>3</v>
      </c>
      <c r="T247" s="3001">
        <f t="shared" ref="T247:W247" si="139">COUNTIF(T45:T47,"&lt;=0.4")</f>
        <v>0</v>
      </c>
      <c r="U247" s="3001">
        <f t="shared" si="139"/>
        <v>0</v>
      </c>
      <c r="V247" s="3001">
        <f t="shared" si="139"/>
        <v>0</v>
      </c>
      <c r="W247" s="3001">
        <f t="shared" si="139"/>
        <v>3</v>
      </c>
      <c r="X247" s="1556">
        <f t="shared" si="138"/>
        <v>3</v>
      </c>
      <c r="Y247" s="3282">
        <f t="shared" ref="Y247:AA247" si="140">COUNTIF(Y45:Y47,"&lt;=0.4")</f>
        <v>3</v>
      </c>
      <c r="Z247" s="3282">
        <f t="shared" si="140"/>
        <v>3</v>
      </c>
      <c r="AA247" s="3282">
        <f t="shared" si="140"/>
        <v>3</v>
      </c>
    </row>
    <row r="248" spans="1:27" s="1096" customFormat="1">
      <c r="A248" s="3570"/>
      <c r="B248" s="3582"/>
      <c r="C248" s="3536"/>
      <c r="D248" s="1558">
        <f>COUNT(D45:D47)</f>
        <v>0</v>
      </c>
      <c r="E248" s="1558">
        <f t="shared" ref="E248:X248" si="141">COUNT(E45:E47)</f>
        <v>0</v>
      </c>
      <c r="F248" s="1558">
        <f t="shared" si="141"/>
        <v>0</v>
      </c>
      <c r="G248" s="1558">
        <f t="shared" si="141"/>
        <v>0</v>
      </c>
      <c r="H248" s="1558">
        <f t="shared" si="141"/>
        <v>0</v>
      </c>
      <c r="I248" s="1558">
        <f t="shared" si="141"/>
        <v>3</v>
      </c>
      <c r="J248" s="1558">
        <f t="shared" si="141"/>
        <v>3</v>
      </c>
      <c r="K248" s="1558">
        <f t="shared" si="141"/>
        <v>3</v>
      </c>
      <c r="L248" s="1558">
        <f t="shared" si="141"/>
        <v>3</v>
      </c>
      <c r="M248" s="1558">
        <f t="shared" si="141"/>
        <v>0</v>
      </c>
      <c r="N248" s="1558">
        <f t="shared" si="141"/>
        <v>3</v>
      </c>
      <c r="O248" s="1558">
        <f t="shared" si="141"/>
        <v>0</v>
      </c>
      <c r="P248" s="2246">
        <f t="shared" si="141"/>
        <v>3</v>
      </c>
      <c r="Q248" s="1558">
        <f t="shared" si="141"/>
        <v>3</v>
      </c>
      <c r="R248" s="1558">
        <f t="shared" si="141"/>
        <v>3</v>
      </c>
      <c r="S248" s="1558">
        <f t="shared" si="141"/>
        <v>3</v>
      </c>
      <c r="T248" s="3002">
        <f t="shared" ref="T248:W248" si="142">COUNT(T45:T47)</f>
        <v>0</v>
      </c>
      <c r="U248" s="3002">
        <f t="shared" si="142"/>
        <v>0</v>
      </c>
      <c r="V248" s="3002">
        <f t="shared" si="142"/>
        <v>0</v>
      </c>
      <c r="W248" s="3002">
        <f t="shared" si="142"/>
        <v>3</v>
      </c>
      <c r="X248" s="1558">
        <f t="shared" si="141"/>
        <v>3</v>
      </c>
      <c r="Y248" s="3283">
        <f t="shared" ref="Y248:AA248" si="143">COUNT(Y45:Y47)</f>
        <v>3</v>
      </c>
      <c r="Z248" s="3283">
        <f t="shared" si="143"/>
        <v>3</v>
      </c>
      <c r="AA248" s="3283">
        <f t="shared" si="143"/>
        <v>3</v>
      </c>
    </row>
    <row r="249" spans="1:27" s="1096" customFormat="1">
      <c r="A249" s="3571"/>
      <c r="B249" s="3583"/>
      <c r="C249" s="3537"/>
      <c r="D249" s="1557" t="e">
        <f t="shared" ref="D249:S249" si="144">D247/D248</f>
        <v>#DIV/0!</v>
      </c>
      <c r="E249" s="1557" t="e">
        <f t="shared" si="144"/>
        <v>#DIV/0!</v>
      </c>
      <c r="F249" s="1557" t="e">
        <f t="shared" si="144"/>
        <v>#DIV/0!</v>
      </c>
      <c r="G249" s="1557" t="e">
        <f t="shared" si="144"/>
        <v>#DIV/0!</v>
      </c>
      <c r="H249" s="1557" t="e">
        <f t="shared" si="144"/>
        <v>#DIV/0!</v>
      </c>
      <c r="I249" s="1557">
        <f t="shared" si="144"/>
        <v>1</v>
      </c>
      <c r="J249" s="1557">
        <f t="shared" si="144"/>
        <v>1</v>
      </c>
      <c r="K249" s="1557">
        <f t="shared" si="144"/>
        <v>1</v>
      </c>
      <c r="L249" s="1557">
        <f t="shared" si="144"/>
        <v>1</v>
      </c>
      <c r="M249" s="1557" t="e">
        <f t="shared" si="144"/>
        <v>#DIV/0!</v>
      </c>
      <c r="N249" s="1557">
        <f t="shared" si="144"/>
        <v>1</v>
      </c>
      <c r="O249" s="1557" t="e">
        <f t="shared" si="144"/>
        <v>#DIV/0!</v>
      </c>
      <c r="P249" s="2247">
        <f t="shared" si="144"/>
        <v>1</v>
      </c>
      <c r="Q249" s="1557">
        <f t="shared" si="144"/>
        <v>1</v>
      </c>
      <c r="R249" s="1557">
        <f t="shared" si="144"/>
        <v>1</v>
      </c>
      <c r="S249" s="1557">
        <f t="shared" si="144"/>
        <v>1</v>
      </c>
      <c r="T249" s="1557" t="e">
        <f t="shared" ref="T249:W249" si="145">T247/T248</f>
        <v>#DIV/0!</v>
      </c>
      <c r="U249" s="1557" t="e">
        <f t="shared" si="145"/>
        <v>#DIV/0!</v>
      </c>
      <c r="V249" s="1557" t="e">
        <f t="shared" si="145"/>
        <v>#DIV/0!</v>
      </c>
      <c r="W249" s="1557">
        <f t="shared" si="145"/>
        <v>1</v>
      </c>
      <c r="X249" s="1557">
        <f>X247/X248</f>
        <v>1</v>
      </c>
      <c r="Y249" s="1557">
        <f t="shared" ref="Y249:AA249" si="146">Y247/Y248</f>
        <v>1</v>
      </c>
      <c r="Z249" s="1557">
        <f t="shared" si="146"/>
        <v>1</v>
      </c>
      <c r="AA249" s="1557">
        <f t="shared" si="146"/>
        <v>1</v>
      </c>
    </row>
    <row r="250" spans="1:27" s="1106" customFormat="1">
      <c r="A250" s="3569" t="s">
        <v>126</v>
      </c>
      <c r="B250" s="3565" t="s">
        <v>42</v>
      </c>
      <c r="C250" s="3535">
        <f>COUNTA(A71:A77)</f>
        <v>7</v>
      </c>
      <c r="D250" s="1556">
        <f>COUNTIF(D71:D77,"&lt;=0.4")</f>
        <v>0</v>
      </c>
      <c r="E250" s="1556">
        <f t="shared" ref="E250:X250" si="147">COUNTIF(E71:E77,"&lt;=0.4")</f>
        <v>0</v>
      </c>
      <c r="F250" s="1556">
        <f t="shared" si="147"/>
        <v>0</v>
      </c>
      <c r="G250" s="1556">
        <f t="shared" si="147"/>
        <v>0</v>
      </c>
      <c r="H250" s="1556">
        <f t="shared" si="147"/>
        <v>0</v>
      </c>
      <c r="I250" s="1556">
        <f t="shared" si="147"/>
        <v>0</v>
      </c>
      <c r="J250" s="1556">
        <f t="shared" si="147"/>
        <v>0</v>
      </c>
      <c r="K250" s="1556">
        <f t="shared" si="147"/>
        <v>0</v>
      </c>
      <c r="L250" s="1556">
        <f t="shared" si="147"/>
        <v>0</v>
      </c>
      <c r="M250" s="1556">
        <f t="shared" si="147"/>
        <v>0</v>
      </c>
      <c r="N250" s="1556">
        <f t="shared" si="147"/>
        <v>0</v>
      </c>
      <c r="O250" s="1556">
        <f t="shared" si="147"/>
        <v>0</v>
      </c>
      <c r="P250" s="2245">
        <f t="shared" si="147"/>
        <v>0</v>
      </c>
      <c r="Q250" s="1556">
        <f t="shared" si="147"/>
        <v>0</v>
      </c>
      <c r="R250" s="1556">
        <f t="shared" si="147"/>
        <v>0</v>
      </c>
      <c r="S250" s="1556">
        <f t="shared" si="147"/>
        <v>0</v>
      </c>
      <c r="T250" s="3001">
        <f t="shared" ref="T250:W250" si="148">COUNTIF(T71:T77,"&lt;=0.4")</f>
        <v>0</v>
      </c>
      <c r="U250" s="3001">
        <f t="shared" si="148"/>
        <v>0</v>
      </c>
      <c r="V250" s="3001">
        <f t="shared" si="148"/>
        <v>0</v>
      </c>
      <c r="W250" s="3001">
        <f t="shared" si="148"/>
        <v>0</v>
      </c>
      <c r="X250" s="1556">
        <f t="shared" si="147"/>
        <v>0</v>
      </c>
      <c r="Y250" s="3282">
        <f t="shared" ref="Y250:AA250" si="149">COUNTIF(Y71:Y77,"&lt;=0.4")</f>
        <v>0</v>
      </c>
      <c r="Z250" s="3282">
        <f t="shared" si="149"/>
        <v>0</v>
      </c>
      <c r="AA250" s="3282">
        <f t="shared" si="149"/>
        <v>0</v>
      </c>
    </row>
    <row r="251" spans="1:27" s="1096" customFormat="1">
      <c r="A251" s="3570"/>
      <c r="B251" s="3566"/>
      <c r="C251" s="3536"/>
      <c r="D251" s="1558">
        <f>COUNT(D71:D77)</f>
        <v>7</v>
      </c>
      <c r="E251" s="1558">
        <f t="shared" ref="E251:X251" si="150">COUNT(E71:E77)</f>
        <v>7</v>
      </c>
      <c r="F251" s="1558">
        <f t="shared" si="150"/>
        <v>7</v>
      </c>
      <c r="G251" s="1558">
        <f t="shared" si="150"/>
        <v>7</v>
      </c>
      <c r="H251" s="1558">
        <f t="shared" si="150"/>
        <v>7</v>
      </c>
      <c r="I251" s="1558">
        <f t="shared" si="150"/>
        <v>7</v>
      </c>
      <c r="J251" s="1558">
        <f t="shared" si="150"/>
        <v>7</v>
      </c>
      <c r="K251" s="1558">
        <f t="shared" si="150"/>
        <v>7</v>
      </c>
      <c r="L251" s="1558">
        <f t="shared" si="150"/>
        <v>6</v>
      </c>
      <c r="M251" s="1558">
        <f t="shared" si="150"/>
        <v>7</v>
      </c>
      <c r="N251" s="1558">
        <f t="shared" si="150"/>
        <v>7</v>
      </c>
      <c r="O251" s="1558">
        <f t="shared" si="150"/>
        <v>0</v>
      </c>
      <c r="P251" s="2246">
        <f t="shared" si="150"/>
        <v>7</v>
      </c>
      <c r="Q251" s="1558">
        <f t="shared" si="150"/>
        <v>6</v>
      </c>
      <c r="R251" s="1558">
        <f t="shared" si="150"/>
        <v>7</v>
      </c>
      <c r="S251" s="1558">
        <f t="shared" si="150"/>
        <v>7</v>
      </c>
      <c r="T251" s="3002">
        <f t="shared" ref="T251:W251" si="151">COUNT(T71:T77)</f>
        <v>7</v>
      </c>
      <c r="U251" s="3002">
        <f t="shared" si="151"/>
        <v>6</v>
      </c>
      <c r="V251" s="3002">
        <f t="shared" si="151"/>
        <v>7</v>
      </c>
      <c r="W251" s="3002">
        <f t="shared" si="151"/>
        <v>7</v>
      </c>
      <c r="X251" s="1558">
        <f t="shared" si="150"/>
        <v>7</v>
      </c>
      <c r="Y251" s="3283">
        <f t="shared" ref="Y251:AA251" si="152">COUNT(Y71:Y77)</f>
        <v>7</v>
      </c>
      <c r="Z251" s="3283">
        <f t="shared" si="152"/>
        <v>7</v>
      </c>
      <c r="AA251" s="3283">
        <f t="shared" si="152"/>
        <v>7</v>
      </c>
    </row>
    <row r="252" spans="1:27" s="1096" customFormat="1">
      <c r="A252" s="3570"/>
      <c r="B252" s="3567"/>
      <c r="C252" s="3537"/>
      <c r="D252" s="1557">
        <f t="shared" ref="D252:S252" si="153">D250/D251</f>
        <v>0</v>
      </c>
      <c r="E252" s="1557">
        <f t="shared" si="153"/>
        <v>0</v>
      </c>
      <c r="F252" s="1557">
        <f t="shared" si="153"/>
        <v>0</v>
      </c>
      <c r="G252" s="1557">
        <f t="shared" si="153"/>
        <v>0</v>
      </c>
      <c r="H252" s="1557">
        <f t="shared" si="153"/>
        <v>0</v>
      </c>
      <c r="I252" s="1557">
        <f t="shared" si="153"/>
        <v>0</v>
      </c>
      <c r="J252" s="1557">
        <f t="shared" si="153"/>
        <v>0</v>
      </c>
      <c r="K252" s="1557">
        <f t="shared" si="153"/>
        <v>0</v>
      </c>
      <c r="L252" s="1557">
        <f t="shared" si="153"/>
        <v>0</v>
      </c>
      <c r="M252" s="1557">
        <f t="shared" si="153"/>
        <v>0</v>
      </c>
      <c r="N252" s="1557">
        <f t="shared" si="153"/>
        <v>0</v>
      </c>
      <c r="O252" s="1557" t="e">
        <f t="shared" si="153"/>
        <v>#DIV/0!</v>
      </c>
      <c r="P252" s="2247">
        <f t="shared" si="153"/>
        <v>0</v>
      </c>
      <c r="Q252" s="1557">
        <f t="shared" si="153"/>
        <v>0</v>
      </c>
      <c r="R252" s="1557">
        <f t="shared" si="153"/>
        <v>0</v>
      </c>
      <c r="S252" s="1557">
        <f t="shared" si="153"/>
        <v>0</v>
      </c>
      <c r="T252" s="1557">
        <f t="shared" ref="T252:W252" si="154">T250/T251</f>
        <v>0</v>
      </c>
      <c r="U252" s="1557">
        <f t="shared" si="154"/>
        <v>0</v>
      </c>
      <c r="V252" s="1557">
        <f t="shared" si="154"/>
        <v>0</v>
      </c>
      <c r="W252" s="1557">
        <f t="shared" si="154"/>
        <v>0</v>
      </c>
      <c r="X252" s="1557">
        <f>X250/X251</f>
        <v>0</v>
      </c>
      <c r="Y252" s="1557">
        <f t="shared" ref="Y252:AA252" si="155">Y250/Y251</f>
        <v>0</v>
      </c>
      <c r="Z252" s="1557">
        <f t="shared" si="155"/>
        <v>0</v>
      </c>
      <c r="AA252" s="1557">
        <f t="shared" si="155"/>
        <v>0</v>
      </c>
    </row>
    <row r="253" spans="1:27" s="1106" customFormat="1">
      <c r="A253" s="3570"/>
      <c r="B253" s="3581" t="s">
        <v>49</v>
      </c>
      <c r="C253" s="3535">
        <f>COUNTA(A78:A86)</f>
        <v>9</v>
      </c>
      <c r="D253" s="1556">
        <f>COUNTIF(D78:D86,"&lt;=0.4")</f>
        <v>0</v>
      </c>
      <c r="E253" s="1556">
        <f t="shared" ref="E253:X253" si="156">COUNTIF(E78:E86,"&lt;=0.4")</f>
        <v>0</v>
      </c>
      <c r="F253" s="1556">
        <f t="shared" si="156"/>
        <v>0</v>
      </c>
      <c r="G253" s="1556">
        <f t="shared" si="156"/>
        <v>0</v>
      </c>
      <c r="H253" s="1556">
        <f t="shared" si="156"/>
        <v>0</v>
      </c>
      <c r="I253" s="1556">
        <f t="shared" si="156"/>
        <v>0</v>
      </c>
      <c r="J253" s="1556">
        <f t="shared" si="156"/>
        <v>0</v>
      </c>
      <c r="K253" s="1556">
        <f t="shared" si="156"/>
        <v>0</v>
      </c>
      <c r="L253" s="1556">
        <f t="shared" si="156"/>
        <v>0</v>
      </c>
      <c r="M253" s="1556">
        <f t="shared" si="156"/>
        <v>0</v>
      </c>
      <c r="N253" s="1556">
        <f t="shared" si="156"/>
        <v>0</v>
      </c>
      <c r="O253" s="1556">
        <f t="shared" si="156"/>
        <v>0</v>
      </c>
      <c r="P253" s="2245">
        <f t="shared" si="156"/>
        <v>0</v>
      </c>
      <c r="Q253" s="1556">
        <f t="shared" si="156"/>
        <v>0</v>
      </c>
      <c r="R253" s="1556">
        <f t="shared" si="156"/>
        <v>0</v>
      </c>
      <c r="S253" s="1556">
        <f t="shared" si="156"/>
        <v>0</v>
      </c>
      <c r="T253" s="3001">
        <f t="shared" ref="T253:W253" si="157">COUNTIF(T78:T86,"&lt;=0.4")</f>
        <v>0</v>
      </c>
      <c r="U253" s="3001">
        <f t="shared" si="157"/>
        <v>0</v>
      </c>
      <c r="V253" s="3001">
        <f t="shared" si="157"/>
        <v>0</v>
      </c>
      <c r="W253" s="3001">
        <f t="shared" si="157"/>
        <v>0</v>
      </c>
      <c r="X253" s="1556">
        <f t="shared" si="156"/>
        <v>0</v>
      </c>
      <c r="Y253" s="3282">
        <f t="shared" ref="Y253:AA253" si="158">COUNTIF(Y78:Y86,"&lt;=0.4")</f>
        <v>0</v>
      </c>
      <c r="Z253" s="3282">
        <f t="shared" si="158"/>
        <v>0</v>
      </c>
      <c r="AA253" s="3282">
        <f t="shared" si="158"/>
        <v>0</v>
      </c>
    </row>
    <row r="254" spans="1:27" s="1096" customFormat="1">
      <c r="A254" s="3570"/>
      <c r="B254" s="3582"/>
      <c r="C254" s="3536"/>
      <c r="D254" s="1558">
        <f>COUNT(D78:D86)</f>
        <v>9</v>
      </c>
      <c r="E254" s="1558">
        <f t="shared" ref="E254:X254" si="159">COUNT(E78:E86)</f>
        <v>9</v>
      </c>
      <c r="F254" s="1558">
        <f t="shared" si="159"/>
        <v>9</v>
      </c>
      <c r="G254" s="1558">
        <f t="shared" si="159"/>
        <v>9</v>
      </c>
      <c r="H254" s="1558">
        <f t="shared" si="159"/>
        <v>9</v>
      </c>
      <c r="I254" s="1558">
        <f t="shared" si="159"/>
        <v>9</v>
      </c>
      <c r="J254" s="1558">
        <f t="shared" si="159"/>
        <v>9</v>
      </c>
      <c r="K254" s="1558">
        <f t="shared" si="159"/>
        <v>9</v>
      </c>
      <c r="L254" s="1558">
        <f t="shared" si="159"/>
        <v>9</v>
      </c>
      <c r="M254" s="1558">
        <f t="shared" si="159"/>
        <v>9</v>
      </c>
      <c r="N254" s="1558">
        <f t="shared" si="159"/>
        <v>9</v>
      </c>
      <c r="O254" s="1558">
        <f t="shared" si="159"/>
        <v>0</v>
      </c>
      <c r="P254" s="2246">
        <f t="shared" si="159"/>
        <v>9</v>
      </c>
      <c r="Q254" s="1558">
        <f t="shared" si="159"/>
        <v>9</v>
      </c>
      <c r="R254" s="1558">
        <f t="shared" si="159"/>
        <v>9</v>
      </c>
      <c r="S254" s="1558">
        <f t="shared" si="159"/>
        <v>9</v>
      </c>
      <c r="T254" s="3002">
        <f t="shared" ref="T254:W254" si="160">COUNT(T78:T86)</f>
        <v>9</v>
      </c>
      <c r="U254" s="3002">
        <f t="shared" si="160"/>
        <v>9</v>
      </c>
      <c r="V254" s="3002">
        <f t="shared" si="160"/>
        <v>9</v>
      </c>
      <c r="W254" s="3002">
        <f t="shared" si="160"/>
        <v>9</v>
      </c>
      <c r="X254" s="1558">
        <f t="shared" si="159"/>
        <v>9</v>
      </c>
      <c r="Y254" s="3283">
        <f t="shared" ref="Y254:AA254" si="161">COUNT(Y78:Y86)</f>
        <v>9</v>
      </c>
      <c r="Z254" s="3283">
        <f t="shared" si="161"/>
        <v>9</v>
      </c>
      <c r="AA254" s="3283">
        <f t="shared" si="161"/>
        <v>9</v>
      </c>
    </row>
    <row r="255" spans="1:27" s="1096" customFormat="1">
      <c r="A255" s="3570"/>
      <c r="B255" s="3583"/>
      <c r="C255" s="3537"/>
      <c r="D255" s="1557">
        <f t="shared" ref="D255:S255" si="162">D253/D254</f>
        <v>0</v>
      </c>
      <c r="E255" s="1557">
        <f t="shared" si="162"/>
        <v>0</v>
      </c>
      <c r="F255" s="1557">
        <f t="shared" si="162"/>
        <v>0</v>
      </c>
      <c r="G255" s="1557">
        <f t="shared" si="162"/>
        <v>0</v>
      </c>
      <c r="H255" s="1557">
        <f t="shared" si="162"/>
        <v>0</v>
      </c>
      <c r="I255" s="1557">
        <f t="shared" si="162"/>
        <v>0</v>
      </c>
      <c r="J255" s="1557">
        <f t="shared" si="162"/>
        <v>0</v>
      </c>
      <c r="K255" s="1557">
        <f t="shared" si="162"/>
        <v>0</v>
      </c>
      <c r="L255" s="1557">
        <f t="shared" si="162"/>
        <v>0</v>
      </c>
      <c r="M255" s="1557">
        <f t="shared" si="162"/>
        <v>0</v>
      </c>
      <c r="N255" s="1557">
        <f t="shared" si="162"/>
        <v>0</v>
      </c>
      <c r="O255" s="1557" t="e">
        <f t="shared" si="162"/>
        <v>#DIV/0!</v>
      </c>
      <c r="P255" s="2247">
        <f t="shared" si="162"/>
        <v>0</v>
      </c>
      <c r="Q255" s="1557">
        <f t="shared" si="162"/>
        <v>0</v>
      </c>
      <c r="R255" s="1557">
        <f t="shared" si="162"/>
        <v>0</v>
      </c>
      <c r="S255" s="1557">
        <f t="shared" si="162"/>
        <v>0</v>
      </c>
      <c r="T255" s="1557">
        <f t="shared" ref="T255:W255" si="163">T253/T254</f>
        <v>0</v>
      </c>
      <c r="U255" s="1557">
        <f t="shared" si="163"/>
        <v>0</v>
      </c>
      <c r="V255" s="1557">
        <f t="shared" si="163"/>
        <v>0</v>
      </c>
      <c r="W255" s="1557">
        <f t="shared" si="163"/>
        <v>0</v>
      </c>
      <c r="X255" s="1557">
        <f>X253/X254</f>
        <v>0</v>
      </c>
      <c r="Y255" s="1557">
        <f t="shared" ref="Y255:AA255" si="164">Y253/Y254</f>
        <v>0</v>
      </c>
      <c r="Z255" s="1557">
        <f t="shared" si="164"/>
        <v>0</v>
      </c>
      <c r="AA255" s="1557">
        <f t="shared" si="164"/>
        <v>0</v>
      </c>
    </row>
    <row r="256" spans="1:27" s="1106" customFormat="1">
      <c r="A256" s="3570"/>
      <c r="B256" s="3565" t="s">
        <v>40</v>
      </c>
      <c r="C256" s="3535">
        <f>COUNTA(A87:A96)</f>
        <v>10</v>
      </c>
      <c r="D256" s="1556">
        <f>COUNTIF(D87:D96,"&lt;=0.4")</f>
        <v>0</v>
      </c>
      <c r="E256" s="1556">
        <f t="shared" ref="E256:X256" si="165">COUNTIF(E87:E96,"&lt;=0.4")</f>
        <v>0</v>
      </c>
      <c r="F256" s="1556">
        <f t="shared" si="165"/>
        <v>0</v>
      </c>
      <c r="G256" s="1556">
        <f t="shared" si="165"/>
        <v>0</v>
      </c>
      <c r="H256" s="1556">
        <f t="shared" si="165"/>
        <v>0</v>
      </c>
      <c r="I256" s="1556">
        <f t="shared" si="165"/>
        <v>0</v>
      </c>
      <c r="J256" s="1556">
        <f t="shared" si="165"/>
        <v>0</v>
      </c>
      <c r="K256" s="1556">
        <f t="shared" si="165"/>
        <v>0</v>
      </c>
      <c r="L256" s="1556">
        <f t="shared" si="165"/>
        <v>0</v>
      </c>
      <c r="M256" s="1556">
        <f t="shared" si="165"/>
        <v>0</v>
      </c>
      <c r="N256" s="1556">
        <f t="shared" si="165"/>
        <v>0</v>
      </c>
      <c r="O256" s="1556">
        <f t="shared" si="165"/>
        <v>0</v>
      </c>
      <c r="P256" s="2245">
        <f t="shared" si="165"/>
        <v>0</v>
      </c>
      <c r="Q256" s="1556">
        <f t="shared" si="165"/>
        <v>0</v>
      </c>
      <c r="R256" s="1556">
        <f t="shared" si="165"/>
        <v>0</v>
      </c>
      <c r="S256" s="1556">
        <f t="shared" si="165"/>
        <v>0</v>
      </c>
      <c r="T256" s="3001">
        <f t="shared" ref="T256:W256" si="166">COUNTIF(T87:T96,"&lt;=0.4")</f>
        <v>0</v>
      </c>
      <c r="U256" s="3001">
        <f t="shared" si="166"/>
        <v>0</v>
      </c>
      <c r="V256" s="3001">
        <f t="shared" si="166"/>
        <v>0</v>
      </c>
      <c r="W256" s="3001">
        <f t="shared" si="166"/>
        <v>0</v>
      </c>
      <c r="X256" s="1556">
        <f t="shared" si="165"/>
        <v>0</v>
      </c>
      <c r="Y256" s="3282">
        <f t="shared" ref="Y256:AA256" si="167">COUNTIF(Y87:Y96,"&lt;=0.4")</f>
        <v>0</v>
      </c>
      <c r="Z256" s="3282">
        <f t="shared" si="167"/>
        <v>0</v>
      </c>
      <c r="AA256" s="3282">
        <f t="shared" si="167"/>
        <v>0</v>
      </c>
    </row>
    <row r="257" spans="1:27" s="4" customFormat="1">
      <c r="A257" s="3570"/>
      <c r="B257" s="3566"/>
      <c r="C257" s="3536"/>
      <c r="D257" s="1558">
        <f>COUNT(D87:D96)</f>
        <v>10</v>
      </c>
      <c r="E257" s="1558">
        <f t="shared" ref="E257:X257" si="168">COUNT(E87:E96)</f>
        <v>10</v>
      </c>
      <c r="F257" s="1558">
        <f t="shared" si="168"/>
        <v>10</v>
      </c>
      <c r="G257" s="1558">
        <f t="shared" si="168"/>
        <v>10</v>
      </c>
      <c r="H257" s="1558">
        <f t="shared" si="168"/>
        <v>10</v>
      </c>
      <c r="I257" s="1558">
        <f t="shared" si="168"/>
        <v>10</v>
      </c>
      <c r="J257" s="1558">
        <f t="shared" si="168"/>
        <v>10</v>
      </c>
      <c r="K257" s="1558">
        <f t="shared" si="168"/>
        <v>10</v>
      </c>
      <c r="L257" s="1558">
        <f t="shared" si="168"/>
        <v>10</v>
      </c>
      <c r="M257" s="1558">
        <f t="shared" si="168"/>
        <v>10</v>
      </c>
      <c r="N257" s="1558">
        <f t="shared" si="168"/>
        <v>10</v>
      </c>
      <c r="O257" s="1558">
        <f t="shared" si="168"/>
        <v>0</v>
      </c>
      <c r="P257" s="2246">
        <f t="shared" si="168"/>
        <v>10</v>
      </c>
      <c r="Q257" s="1558">
        <f t="shared" si="168"/>
        <v>10</v>
      </c>
      <c r="R257" s="1558">
        <f t="shared" si="168"/>
        <v>10</v>
      </c>
      <c r="S257" s="1558">
        <f t="shared" si="168"/>
        <v>10</v>
      </c>
      <c r="T257" s="3002">
        <f t="shared" ref="T257:W257" si="169">COUNT(T87:T96)</f>
        <v>10</v>
      </c>
      <c r="U257" s="3002">
        <f t="shared" si="169"/>
        <v>10</v>
      </c>
      <c r="V257" s="3002">
        <f t="shared" si="169"/>
        <v>10</v>
      </c>
      <c r="W257" s="3002">
        <f t="shared" si="169"/>
        <v>10</v>
      </c>
      <c r="X257" s="1558">
        <f t="shared" si="168"/>
        <v>10</v>
      </c>
      <c r="Y257" s="3283">
        <f t="shared" ref="Y257:AA257" si="170">COUNT(Y87:Y96)</f>
        <v>10</v>
      </c>
      <c r="Z257" s="3283">
        <f t="shared" si="170"/>
        <v>10</v>
      </c>
      <c r="AA257" s="3283">
        <f t="shared" si="170"/>
        <v>10</v>
      </c>
    </row>
    <row r="258" spans="1:27">
      <c r="A258" s="3571"/>
      <c r="B258" s="3567"/>
      <c r="C258" s="3537"/>
      <c r="D258" s="1557">
        <f t="shared" ref="D258:S258" si="171">D256/D257</f>
        <v>0</v>
      </c>
      <c r="E258" s="1557">
        <f t="shared" si="171"/>
        <v>0</v>
      </c>
      <c r="F258" s="1557">
        <f t="shared" si="171"/>
        <v>0</v>
      </c>
      <c r="G258" s="1557">
        <f t="shared" si="171"/>
        <v>0</v>
      </c>
      <c r="H258" s="1557">
        <f t="shared" si="171"/>
        <v>0</v>
      </c>
      <c r="I258" s="1557">
        <f t="shared" si="171"/>
        <v>0</v>
      </c>
      <c r="J258" s="1557">
        <f t="shared" si="171"/>
        <v>0</v>
      </c>
      <c r="K258" s="1557">
        <f t="shared" si="171"/>
        <v>0</v>
      </c>
      <c r="L258" s="1557">
        <f t="shared" si="171"/>
        <v>0</v>
      </c>
      <c r="M258" s="1557">
        <f t="shared" si="171"/>
        <v>0</v>
      </c>
      <c r="N258" s="1557">
        <f t="shared" si="171"/>
        <v>0</v>
      </c>
      <c r="O258" s="1557" t="e">
        <f t="shared" si="171"/>
        <v>#DIV/0!</v>
      </c>
      <c r="P258" s="2247">
        <f t="shared" si="171"/>
        <v>0</v>
      </c>
      <c r="Q258" s="1557">
        <f t="shared" si="171"/>
        <v>0</v>
      </c>
      <c r="R258" s="1557">
        <f t="shared" si="171"/>
        <v>0</v>
      </c>
      <c r="S258" s="1557">
        <f t="shared" si="171"/>
        <v>0</v>
      </c>
      <c r="T258" s="1557">
        <f t="shared" ref="T258:W258" si="172">T256/T257</f>
        <v>0</v>
      </c>
      <c r="U258" s="1557">
        <f t="shared" si="172"/>
        <v>0</v>
      </c>
      <c r="V258" s="1557">
        <f t="shared" si="172"/>
        <v>0</v>
      </c>
      <c r="W258" s="1557">
        <f t="shared" si="172"/>
        <v>0</v>
      </c>
      <c r="X258" s="1557">
        <f>X256/X257</f>
        <v>0</v>
      </c>
      <c r="Y258" s="1557">
        <f t="shared" ref="Y258:AA258" si="173">Y256/Y257</f>
        <v>0</v>
      </c>
      <c r="Z258" s="1557">
        <f t="shared" si="173"/>
        <v>0</v>
      </c>
      <c r="AA258" s="1557">
        <f t="shared" si="173"/>
        <v>0</v>
      </c>
    </row>
    <row r="259" spans="1:27">
      <c r="A259" s="3569" t="s">
        <v>300</v>
      </c>
      <c r="B259" s="3565" t="s">
        <v>67</v>
      </c>
      <c r="C259" s="3535">
        <f>COUNTA(A104:A109)</f>
        <v>6</v>
      </c>
      <c r="D259" s="1556">
        <f>COUNTIF(D104:D109,"&lt;=0.4")</f>
        <v>0</v>
      </c>
      <c r="E259" s="1556">
        <f t="shared" ref="E259:X259" si="174">COUNTIF(E104:E109,"&lt;=0.4")</f>
        <v>1</v>
      </c>
      <c r="F259" s="1556">
        <f t="shared" si="174"/>
        <v>1</v>
      </c>
      <c r="G259" s="1556">
        <f t="shared" si="174"/>
        <v>0</v>
      </c>
      <c r="H259" s="1556">
        <f t="shared" si="174"/>
        <v>1</v>
      </c>
      <c r="I259" s="1556">
        <f t="shared" si="174"/>
        <v>2</v>
      </c>
      <c r="J259" s="1556">
        <f t="shared" si="174"/>
        <v>2</v>
      </c>
      <c r="K259" s="1556">
        <f t="shared" si="174"/>
        <v>0</v>
      </c>
      <c r="L259" s="1556">
        <f t="shared" si="174"/>
        <v>0</v>
      </c>
      <c r="M259" s="1556">
        <f t="shared" si="174"/>
        <v>2</v>
      </c>
      <c r="N259" s="1556">
        <f t="shared" si="174"/>
        <v>1</v>
      </c>
      <c r="O259" s="1556">
        <f t="shared" si="174"/>
        <v>0</v>
      </c>
      <c r="P259" s="2245">
        <f t="shared" si="174"/>
        <v>1</v>
      </c>
      <c r="Q259" s="1556">
        <f t="shared" si="174"/>
        <v>2</v>
      </c>
      <c r="R259" s="1556">
        <f t="shared" si="174"/>
        <v>2</v>
      </c>
      <c r="S259" s="1556">
        <f t="shared" si="174"/>
        <v>0</v>
      </c>
      <c r="T259" s="3001">
        <f t="shared" ref="T259:W259" si="175">COUNTIF(T104:T109,"&lt;=0.4")</f>
        <v>0</v>
      </c>
      <c r="U259" s="3001">
        <f t="shared" si="175"/>
        <v>2</v>
      </c>
      <c r="V259" s="3001">
        <f>COUNTIF(V104:V109,"&lt;=0.4")</f>
        <v>0</v>
      </c>
      <c r="W259" s="3001">
        <f t="shared" si="175"/>
        <v>0</v>
      </c>
      <c r="X259" s="1556">
        <f t="shared" si="174"/>
        <v>0</v>
      </c>
      <c r="Y259" s="3282">
        <f t="shared" ref="Y259:AA259" si="176">COUNTIF(Y104:Y109,"&lt;=0.4")</f>
        <v>0</v>
      </c>
      <c r="Z259" s="3282">
        <f t="shared" si="176"/>
        <v>0</v>
      </c>
      <c r="AA259" s="3282">
        <f t="shared" si="176"/>
        <v>0</v>
      </c>
    </row>
    <row r="260" spans="1:27">
      <c r="A260" s="3570"/>
      <c r="B260" s="3566"/>
      <c r="C260" s="3536"/>
      <c r="D260" s="1558">
        <f>COUNT(D104:D109)</f>
        <v>3</v>
      </c>
      <c r="E260" s="1558">
        <f t="shared" ref="E260:X260" si="177">COUNT(E104:E109)</f>
        <v>3</v>
      </c>
      <c r="F260" s="1558">
        <f t="shared" si="177"/>
        <v>3</v>
      </c>
      <c r="G260" s="1558">
        <f t="shared" si="177"/>
        <v>3</v>
      </c>
      <c r="H260" s="1558">
        <f t="shared" si="177"/>
        <v>3</v>
      </c>
      <c r="I260" s="1558">
        <f t="shared" si="177"/>
        <v>3</v>
      </c>
      <c r="J260" s="1558">
        <f t="shared" si="177"/>
        <v>3</v>
      </c>
      <c r="K260" s="1558">
        <f t="shared" si="177"/>
        <v>3</v>
      </c>
      <c r="L260" s="1558">
        <f t="shared" si="177"/>
        <v>6</v>
      </c>
      <c r="M260" s="1558">
        <f t="shared" si="177"/>
        <v>6</v>
      </c>
      <c r="N260" s="1558">
        <f t="shared" si="177"/>
        <v>6</v>
      </c>
      <c r="O260" s="1558">
        <f t="shared" si="177"/>
        <v>0</v>
      </c>
      <c r="P260" s="2246">
        <f t="shared" si="177"/>
        <v>6</v>
      </c>
      <c r="Q260" s="1558">
        <f t="shared" si="177"/>
        <v>6</v>
      </c>
      <c r="R260" s="1558">
        <f t="shared" si="177"/>
        <v>6</v>
      </c>
      <c r="S260" s="1558">
        <f t="shared" si="177"/>
        <v>6</v>
      </c>
      <c r="T260" s="3002">
        <f t="shared" ref="T260:W260" si="178">COUNT(T104:T109)</f>
        <v>0</v>
      </c>
      <c r="U260" s="3002">
        <f t="shared" si="178"/>
        <v>6</v>
      </c>
      <c r="V260" s="3002">
        <f>COUNT(#REF!)</f>
        <v>0</v>
      </c>
      <c r="W260" s="3002">
        <f t="shared" si="178"/>
        <v>6</v>
      </c>
      <c r="X260" s="1558">
        <f t="shared" si="177"/>
        <v>0</v>
      </c>
      <c r="Y260" s="3283">
        <f t="shared" ref="Y260:AA260" si="179">COUNT(Y104:Y109)</f>
        <v>6</v>
      </c>
      <c r="Z260" s="3283">
        <f t="shared" si="179"/>
        <v>6</v>
      </c>
      <c r="AA260" s="3283">
        <f t="shared" si="179"/>
        <v>6</v>
      </c>
    </row>
    <row r="261" spans="1:27">
      <c r="A261" s="3570"/>
      <c r="B261" s="3567"/>
      <c r="C261" s="3537"/>
      <c r="D261" s="1557">
        <f t="shared" ref="D261:S261" si="180">D259/D260</f>
        <v>0</v>
      </c>
      <c r="E261" s="1557">
        <f t="shared" si="180"/>
        <v>0.33333333333333331</v>
      </c>
      <c r="F261" s="1557">
        <f t="shared" si="180"/>
        <v>0.33333333333333331</v>
      </c>
      <c r="G261" s="1557">
        <f t="shared" si="180"/>
        <v>0</v>
      </c>
      <c r="H261" s="1557">
        <f t="shared" si="180"/>
        <v>0.33333333333333331</v>
      </c>
      <c r="I261" s="1557">
        <f t="shared" si="180"/>
        <v>0.66666666666666663</v>
      </c>
      <c r="J261" s="1557">
        <f t="shared" si="180"/>
        <v>0.66666666666666663</v>
      </c>
      <c r="K261" s="1557">
        <f t="shared" si="180"/>
        <v>0</v>
      </c>
      <c r="L261" s="1557">
        <f t="shared" si="180"/>
        <v>0</v>
      </c>
      <c r="M261" s="1557">
        <f t="shared" si="180"/>
        <v>0.33333333333333331</v>
      </c>
      <c r="N261" s="1557">
        <f t="shared" si="180"/>
        <v>0.16666666666666666</v>
      </c>
      <c r="O261" s="1557" t="e">
        <f t="shared" si="180"/>
        <v>#DIV/0!</v>
      </c>
      <c r="P261" s="2247">
        <f t="shared" si="180"/>
        <v>0.16666666666666666</v>
      </c>
      <c r="Q261" s="1557">
        <f t="shared" si="180"/>
        <v>0.33333333333333331</v>
      </c>
      <c r="R261" s="1557">
        <f t="shared" si="180"/>
        <v>0.33333333333333331</v>
      </c>
      <c r="S261" s="1557">
        <f t="shared" si="180"/>
        <v>0</v>
      </c>
      <c r="T261" s="1557" t="e">
        <f t="shared" ref="T261:W261" si="181">T259/T260</f>
        <v>#DIV/0!</v>
      </c>
      <c r="U261" s="1557">
        <f t="shared" si="181"/>
        <v>0.33333333333333331</v>
      </c>
      <c r="V261" s="1557" t="e">
        <f t="shared" si="181"/>
        <v>#DIV/0!</v>
      </c>
      <c r="W261" s="1557">
        <f t="shared" si="181"/>
        <v>0</v>
      </c>
      <c r="X261" s="1557" t="e">
        <f>X259/X260</f>
        <v>#DIV/0!</v>
      </c>
      <c r="Y261" s="1557">
        <f t="shared" ref="Y261:AA261" si="182">Y259/Y260</f>
        <v>0</v>
      </c>
      <c r="Z261" s="1557">
        <f t="shared" si="182"/>
        <v>0</v>
      </c>
      <c r="AA261" s="1557">
        <f t="shared" si="182"/>
        <v>0</v>
      </c>
    </row>
    <row r="262" spans="1:27">
      <c r="A262" s="3570"/>
      <c r="B262" s="3565" t="s">
        <v>186</v>
      </c>
      <c r="C262" s="3535">
        <f>COUNTA(A110:A117)</f>
        <v>8</v>
      </c>
      <c r="D262" s="1556">
        <f>COUNTIF(D110:D117,"&lt;=0.4")</f>
        <v>0</v>
      </c>
      <c r="E262" s="1556">
        <f t="shared" ref="E262:X262" si="183">COUNTIF(E110:E117,"&lt;=0.4")</f>
        <v>0</v>
      </c>
      <c r="F262" s="1556">
        <f t="shared" si="183"/>
        <v>0</v>
      </c>
      <c r="G262" s="1556">
        <f t="shared" si="183"/>
        <v>0</v>
      </c>
      <c r="H262" s="1556">
        <f t="shared" si="183"/>
        <v>0</v>
      </c>
      <c r="I262" s="1556">
        <f t="shared" si="183"/>
        <v>0</v>
      </c>
      <c r="J262" s="1556">
        <f t="shared" si="183"/>
        <v>0</v>
      </c>
      <c r="K262" s="1556">
        <f t="shared" si="183"/>
        <v>0</v>
      </c>
      <c r="L262" s="1556">
        <f t="shared" si="183"/>
        <v>0</v>
      </c>
      <c r="M262" s="1556">
        <f t="shared" si="183"/>
        <v>0</v>
      </c>
      <c r="N262" s="1556">
        <f t="shared" si="183"/>
        <v>2</v>
      </c>
      <c r="O262" s="1556">
        <f t="shared" si="183"/>
        <v>0</v>
      </c>
      <c r="P262" s="2245">
        <f t="shared" si="183"/>
        <v>0</v>
      </c>
      <c r="Q262" s="1556">
        <f t="shared" si="183"/>
        <v>0</v>
      </c>
      <c r="R262" s="1556">
        <f t="shared" si="183"/>
        <v>0</v>
      </c>
      <c r="S262" s="1556">
        <f t="shared" si="183"/>
        <v>0</v>
      </c>
      <c r="T262" s="3001">
        <f t="shared" ref="T262:W262" si="184">COUNTIF(T110:T117,"&lt;=0.4")</f>
        <v>0</v>
      </c>
      <c r="U262" s="3001">
        <f t="shared" si="184"/>
        <v>0</v>
      </c>
      <c r="V262" s="3001">
        <f t="shared" si="184"/>
        <v>0</v>
      </c>
      <c r="W262" s="3001">
        <f t="shared" si="184"/>
        <v>0</v>
      </c>
      <c r="X262" s="1556">
        <f t="shared" si="183"/>
        <v>0</v>
      </c>
      <c r="Y262" s="3282">
        <f t="shared" ref="Y262:AA262" si="185">COUNTIF(Y110:Y117,"&lt;=0.4")</f>
        <v>0</v>
      </c>
      <c r="Z262" s="3282">
        <f t="shared" si="185"/>
        <v>0</v>
      </c>
      <c r="AA262" s="3282">
        <f t="shared" si="185"/>
        <v>4</v>
      </c>
    </row>
    <row r="263" spans="1:27">
      <c r="A263" s="3570"/>
      <c r="B263" s="3566"/>
      <c r="C263" s="3536"/>
      <c r="D263" s="1558">
        <f>COUNT(D110:D117)</f>
        <v>6</v>
      </c>
      <c r="E263" s="1558">
        <f t="shared" ref="E263:X263" si="186">COUNT(E110:E117)</f>
        <v>6</v>
      </c>
      <c r="F263" s="1558">
        <f t="shared" si="186"/>
        <v>6</v>
      </c>
      <c r="G263" s="1558">
        <f t="shared" si="186"/>
        <v>6</v>
      </c>
      <c r="H263" s="1558">
        <f t="shared" si="186"/>
        <v>6</v>
      </c>
      <c r="I263" s="1558">
        <f t="shared" si="186"/>
        <v>6</v>
      </c>
      <c r="J263" s="1558">
        <f t="shared" si="186"/>
        <v>6</v>
      </c>
      <c r="K263" s="1558">
        <f t="shared" si="186"/>
        <v>6</v>
      </c>
      <c r="L263" s="1558">
        <f t="shared" si="186"/>
        <v>8</v>
      </c>
      <c r="M263" s="1558">
        <f t="shared" si="186"/>
        <v>8</v>
      </c>
      <c r="N263" s="1558">
        <f t="shared" si="186"/>
        <v>8</v>
      </c>
      <c r="O263" s="1558">
        <f t="shared" si="186"/>
        <v>0</v>
      </c>
      <c r="P263" s="2246">
        <f t="shared" si="186"/>
        <v>8</v>
      </c>
      <c r="Q263" s="1558">
        <f t="shared" si="186"/>
        <v>8</v>
      </c>
      <c r="R263" s="1558">
        <f t="shared" si="186"/>
        <v>8</v>
      </c>
      <c r="S263" s="1558">
        <f t="shared" si="186"/>
        <v>8</v>
      </c>
      <c r="T263" s="3002">
        <f t="shared" ref="T263:W263" si="187">COUNT(T110:T117)</f>
        <v>0</v>
      </c>
      <c r="U263" s="3002">
        <f t="shared" si="187"/>
        <v>8</v>
      </c>
      <c r="V263" s="3002">
        <f t="shared" si="187"/>
        <v>8</v>
      </c>
      <c r="W263" s="3002">
        <f t="shared" si="187"/>
        <v>0</v>
      </c>
      <c r="X263" s="1558">
        <f t="shared" si="186"/>
        <v>8</v>
      </c>
      <c r="Y263" s="3283">
        <f t="shared" ref="Y263:AA263" si="188">COUNT(Y110:Y117)</f>
        <v>8</v>
      </c>
      <c r="Z263" s="3283">
        <f t="shared" si="188"/>
        <v>7</v>
      </c>
      <c r="AA263" s="3283">
        <f t="shared" si="188"/>
        <v>8</v>
      </c>
    </row>
    <row r="264" spans="1:27">
      <c r="A264" s="3570"/>
      <c r="B264" s="3567"/>
      <c r="C264" s="3537"/>
      <c r="D264" s="1557">
        <f t="shared" ref="D264:S264" si="189">D262/D263</f>
        <v>0</v>
      </c>
      <c r="E264" s="1557">
        <f t="shared" si="189"/>
        <v>0</v>
      </c>
      <c r="F264" s="1557">
        <f t="shared" si="189"/>
        <v>0</v>
      </c>
      <c r="G264" s="1557">
        <f t="shared" si="189"/>
        <v>0</v>
      </c>
      <c r="H264" s="1557">
        <f t="shared" si="189"/>
        <v>0</v>
      </c>
      <c r="I264" s="1557">
        <f t="shared" si="189"/>
        <v>0</v>
      </c>
      <c r="J264" s="1557">
        <f t="shared" si="189"/>
        <v>0</v>
      </c>
      <c r="K264" s="1557">
        <f t="shared" si="189"/>
        <v>0</v>
      </c>
      <c r="L264" s="1557">
        <f t="shared" si="189"/>
        <v>0</v>
      </c>
      <c r="M264" s="1557">
        <f t="shared" si="189"/>
        <v>0</v>
      </c>
      <c r="N264" s="1557">
        <f t="shared" si="189"/>
        <v>0.25</v>
      </c>
      <c r="O264" s="1557" t="e">
        <f t="shared" si="189"/>
        <v>#DIV/0!</v>
      </c>
      <c r="P264" s="2247">
        <f t="shared" si="189"/>
        <v>0</v>
      </c>
      <c r="Q264" s="1557">
        <f t="shared" si="189"/>
        <v>0</v>
      </c>
      <c r="R264" s="1557">
        <f t="shared" si="189"/>
        <v>0</v>
      </c>
      <c r="S264" s="1557">
        <f t="shared" si="189"/>
        <v>0</v>
      </c>
      <c r="T264" s="1557" t="e">
        <f t="shared" ref="T264:W264" si="190">T262/T263</f>
        <v>#DIV/0!</v>
      </c>
      <c r="U264" s="1557">
        <f t="shared" si="190"/>
        <v>0</v>
      </c>
      <c r="V264" s="1557">
        <f t="shared" si="190"/>
        <v>0</v>
      </c>
      <c r="W264" s="1557" t="e">
        <f t="shared" si="190"/>
        <v>#DIV/0!</v>
      </c>
      <c r="X264" s="1557">
        <f>X262/X263</f>
        <v>0</v>
      </c>
      <c r="Y264" s="1557">
        <f t="shared" ref="Y264:AA264" si="191">Y262/Y263</f>
        <v>0</v>
      </c>
      <c r="Z264" s="1557">
        <f t="shared" si="191"/>
        <v>0</v>
      </c>
      <c r="AA264" s="1557">
        <f t="shared" si="191"/>
        <v>0.5</v>
      </c>
    </row>
    <row r="265" spans="1:27">
      <c r="A265" s="3570"/>
      <c r="B265" s="3565" t="s">
        <v>133</v>
      </c>
      <c r="C265" s="3535">
        <f>COUNTA(A118:A122)</f>
        <v>5</v>
      </c>
      <c r="D265" s="1556">
        <f>COUNTIF(D118:D122,"&lt;=0.4")</f>
        <v>0</v>
      </c>
      <c r="E265" s="1556">
        <f t="shared" ref="E265:X265" si="192">COUNTIF(E118:E122,"&lt;=0.4")</f>
        <v>0</v>
      </c>
      <c r="F265" s="1556">
        <f t="shared" si="192"/>
        <v>0</v>
      </c>
      <c r="G265" s="1556">
        <f t="shared" si="192"/>
        <v>0</v>
      </c>
      <c r="H265" s="1556">
        <f t="shared" si="192"/>
        <v>0</v>
      </c>
      <c r="I265" s="1556">
        <f t="shared" si="192"/>
        <v>0</v>
      </c>
      <c r="J265" s="1556">
        <f t="shared" si="192"/>
        <v>1</v>
      </c>
      <c r="K265" s="1556">
        <f t="shared" si="192"/>
        <v>3</v>
      </c>
      <c r="L265" s="1556">
        <f t="shared" si="192"/>
        <v>1</v>
      </c>
      <c r="M265" s="1556">
        <f t="shared" si="192"/>
        <v>1</v>
      </c>
      <c r="N265" s="1556">
        <f t="shared" si="192"/>
        <v>0</v>
      </c>
      <c r="O265" s="1556">
        <f t="shared" si="192"/>
        <v>0</v>
      </c>
      <c r="P265" s="2245">
        <f t="shared" si="192"/>
        <v>0</v>
      </c>
      <c r="Q265" s="1556">
        <f t="shared" si="192"/>
        <v>0</v>
      </c>
      <c r="R265" s="1556">
        <f t="shared" si="192"/>
        <v>2</v>
      </c>
      <c r="S265" s="1556">
        <f t="shared" si="192"/>
        <v>1</v>
      </c>
      <c r="T265" s="3001">
        <f t="shared" ref="T265:W265" si="193">COUNTIF(T118:T122,"&lt;=0.4")</f>
        <v>0</v>
      </c>
      <c r="U265" s="3001">
        <f t="shared" si="193"/>
        <v>0</v>
      </c>
      <c r="V265" s="3001">
        <f t="shared" si="193"/>
        <v>1</v>
      </c>
      <c r="W265" s="3001">
        <f t="shared" si="193"/>
        <v>0</v>
      </c>
      <c r="X265" s="1556">
        <f t="shared" si="192"/>
        <v>0</v>
      </c>
      <c r="Y265" s="3282">
        <f t="shared" ref="Y265:AA265" si="194">COUNTIF(Y118:Y122,"&lt;=0.4")</f>
        <v>1</v>
      </c>
      <c r="Z265" s="3282">
        <f t="shared" si="194"/>
        <v>1</v>
      </c>
      <c r="AA265" s="3282">
        <f t="shared" si="194"/>
        <v>1</v>
      </c>
    </row>
    <row r="266" spans="1:27">
      <c r="A266" s="3570"/>
      <c r="B266" s="3566"/>
      <c r="C266" s="3536"/>
      <c r="D266" s="1558">
        <f>COUNT(D118:D122)</f>
        <v>0</v>
      </c>
      <c r="E266" s="1558">
        <f t="shared" ref="E266:X266" si="195">COUNT(E118:E122)</f>
        <v>0</v>
      </c>
      <c r="F266" s="1558">
        <f t="shared" si="195"/>
        <v>0</v>
      </c>
      <c r="G266" s="1558">
        <f t="shared" si="195"/>
        <v>0</v>
      </c>
      <c r="H266" s="1558">
        <f t="shared" si="195"/>
        <v>0</v>
      </c>
      <c r="I266" s="1558">
        <f t="shared" si="195"/>
        <v>5</v>
      </c>
      <c r="J266" s="1558">
        <f t="shared" si="195"/>
        <v>5</v>
      </c>
      <c r="K266" s="1558">
        <f t="shared" si="195"/>
        <v>5</v>
      </c>
      <c r="L266" s="1558">
        <f t="shared" si="195"/>
        <v>5</v>
      </c>
      <c r="M266" s="1558">
        <f t="shared" si="195"/>
        <v>5</v>
      </c>
      <c r="N266" s="1558">
        <f t="shared" si="195"/>
        <v>5</v>
      </c>
      <c r="O266" s="1558">
        <f t="shared" si="195"/>
        <v>0</v>
      </c>
      <c r="P266" s="2246">
        <f t="shared" si="195"/>
        <v>5</v>
      </c>
      <c r="Q266" s="1558">
        <f t="shared" si="195"/>
        <v>5</v>
      </c>
      <c r="R266" s="1558">
        <f t="shared" si="195"/>
        <v>5</v>
      </c>
      <c r="S266" s="1558">
        <f t="shared" si="195"/>
        <v>5</v>
      </c>
      <c r="T266" s="3002">
        <f t="shared" ref="T266:W266" si="196">COUNT(T118:T122)</f>
        <v>0</v>
      </c>
      <c r="U266" s="3002">
        <f t="shared" si="196"/>
        <v>5</v>
      </c>
      <c r="V266" s="3002">
        <f t="shared" si="196"/>
        <v>5</v>
      </c>
      <c r="W266" s="3002">
        <f t="shared" si="196"/>
        <v>0</v>
      </c>
      <c r="X266" s="1558">
        <f t="shared" si="195"/>
        <v>5</v>
      </c>
      <c r="Y266" s="3283">
        <f t="shared" ref="Y266:AA266" si="197">COUNT(Y118:Y122)</f>
        <v>4</v>
      </c>
      <c r="Z266" s="3283">
        <f t="shared" si="197"/>
        <v>5</v>
      </c>
      <c r="AA266" s="3283">
        <f t="shared" si="197"/>
        <v>5</v>
      </c>
    </row>
    <row r="267" spans="1:27">
      <c r="A267" s="3570"/>
      <c r="B267" s="3567"/>
      <c r="C267" s="3537"/>
      <c r="D267" s="1557" t="e">
        <f t="shared" ref="D267:S267" si="198">D265/D266</f>
        <v>#DIV/0!</v>
      </c>
      <c r="E267" s="1557" t="e">
        <f t="shared" si="198"/>
        <v>#DIV/0!</v>
      </c>
      <c r="F267" s="1557" t="e">
        <f t="shared" si="198"/>
        <v>#DIV/0!</v>
      </c>
      <c r="G267" s="1557" t="e">
        <f t="shared" si="198"/>
        <v>#DIV/0!</v>
      </c>
      <c r="H267" s="1557" t="e">
        <f t="shared" si="198"/>
        <v>#DIV/0!</v>
      </c>
      <c r="I267" s="1557">
        <f t="shared" si="198"/>
        <v>0</v>
      </c>
      <c r="J267" s="1557">
        <f t="shared" si="198"/>
        <v>0.2</v>
      </c>
      <c r="K267" s="1557">
        <f t="shared" si="198"/>
        <v>0.6</v>
      </c>
      <c r="L267" s="1557">
        <f t="shared" si="198"/>
        <v>0.2</v>
      </c>
      <c r="M267" s="1557">
        <f t="shared" si="198"/>
        <v>0.2</v>
      </c>
      <c r="N267" s="1557">
        <f t="shared" si="198"/>
        <v>0</v>
      </c>
      <c r="O267" s="1557" t="e">
        <f t="shared" si="198"/>
        <v>#DIV/0!</v>
      </c>
      <c r="P267" s="2247">
        <f t="shared" si="198"/>
        <v>0</v>
      </c>
      <c r="Q267" s="1557">
        <f t="shared" si="198"/>
        <v>0</v>
      </c>
      <c r="R267" s="1557">
        <f t="shared" si="198"/>
        <v>0.4</v>
      </c>
      <c r="S267" s="1557">
        <f t="shared" si="198"/>
        <v>0.2</v>
      </c>
      <c r="T267" s="1557" t="e">
        <f t="shared" ref="T267:W267" si="199">T265/T266</f>
        <v>#DIV/0!</v>
      </c>
      <c r="U267" s="1557">
        <f t="shared" si="199"/>
        <v>0</v>
      </c>
      <c r="V267" s="1557">
        <f t="shared" si="199"/>
        <v>0.2</v>
      </c>
      <c r="W267" s="1557" t="e">
        <f t="shared" si="199"/>
        <v>#DIV/0!</v>
      </c>
      <c r="X267" s="1557">
        <f>X265/X266</f>
        <v>0</v>
      </c>
      <c r="Y267" s="1557">
        <f t="shared" ref="Y267:AA267" si="200">Y265/Y266</f>
        <v>0.25</v>
      </c>
      <c r="Z267" s="1557">
        <f t="shared" si="200"/>
        <v>0.2</v>
      </c>
      <c r="AA267" s="1557">
        <f t="shared" si="200"/>
        <v>0.2</v>
      </c>
    </row>
    <row r="268" spans="1:27">
      <c r="A268" s="3570"/>
      <c r="B268" s="3565" t="s">
        <v>70</v>
      </c>
      <c r="C268" s="3535">
        <f>COUNTA(A123:A127)</f>
        <v>5</v>
      </c>
      <c r="D268" s="1556">
        <f>COUNTIF(D123:D127,"&lt;=0.4")</f>
        <v>0</v>
      </c>
      <c r="E268" s="1556">
        <f t="shared" ref="E268:S268" si="201">COUNTIF(E123:E127,"&lt;=0.4")</f>
        <v>0</v>
      </c>
      <c r="F268" s="1556">
        <f t="shared" si="201"/>
        <v>2</v>
      </c>
      <c r="G268" s="1556">
        <f t="shared" si="201"/>
        <v>1</v>
      </c>
      <c r="H268" s="1556">
        <f t="shared" si="201"/>
        <v>1</v>
      </c>
      <c r="I268" s="1556">
        <f t="shared" si="201"/>
        <v>0</v>
      </c>
      <c r="J268" s="1556">
        <f t="shared" si="201"/>
        <v>0</v>
      </c>
      <c r="K268" s="1556">
        <f t="shared" si="201"/>
        <v>0</v>
      </c>
      <c r="L268" s="1556">
        <f t="shared" si="201"/>
        <v>1</v>
      </c>
      <c r="M268" s="1556">
        <f t="shared" si="201"/>
        <v>2</v>
      </c>
      <c r="N268" s="1556">
        <f t="shared" si="201"/>
        <v>1</v>
      </c>
      <c r="O268" s="1556">
        <f t="shared" si="201"/>
        <v>0</v>
      </c>
      <c r="P268" s="2245">
        <f t="shared" si="201"/>
        <v>1</v>
      </c>
      <c r="Q268" s="1556">
        <f t="shared" si="201"/>
        <v>0</v>
      </c>
      <c r="R268" s="1556">
        <f t="shared" si="201"/>
        <v>1</v>
      </c>
      <c r="S268" s="1556">
        <f t="shared" si="201"/>
        <v>1</v>
      </c>
      <c r="T268" s="3001">
        <f t="shared" ref="T268:V268" si="202">COUNTIF(T123:T127,"&lt;=0.4")</f>
        <v>0</v>
      </c>
      <c r="U268" s="3001">
        <f t="shared" si="202"/>
        <v>0</v>
      </c>
      <c r="V268" s="3001">
        <f t="shared" si="202"/>
        <v>0</v>
      </c>
      <c r="W268" s="3001">
        <f>COUNTIF(X123:X127,"&lt;=0.4")</f>
        <v>1</v>
      </c>
      <c r="X268" s="1556" t="e">
        <f>COUNTIF(#REF!,"&lt;=0.4")</f>
        <v>#REF!</v>
      </c>
      <c r="Y268" s="3282" t="e">
        <f>COUNTIF(#REF!,"&lt;=0.4")</f>
        <v>#REF!</v>
      </c>
      <c r="Z268" s="3282" t="e">
        <f>COUNTIF(#REF!,"&lt;=0.4")</f>
        <v>#REF!</v>
      </c>
      <c r="AA268" s="3282" t="e">
        <f>COUNTIF(#REF!,"&lt;=0.4")</f>
        <v>#REF!</v>
      </c>
    </row>
    <row r="269" spans="1:27">
      <c r="A269" s="3570"/>
      <c r="B269" s="3566"/>
      <c r="C269" s="3536"/>
      <c r="D269" s="1558">
        <f>COUNT(D123:D127)</f>
        <v>5</v>
      </c>
      <c r="E269" s="1558">
        <f t="shared" ref="E269:S269" si="203">COUNT(E123:E127)</f>
        <v>5</v>
      </c>
      <c r="F269" s="1558">
        <f t="shared" si="203"/>
        <v>5</v>
      </c>
      <c r="G269" s="1558">
        <f t="shared" si="203"/>
        <v>5</v>
      </c>
      <c r="H269" s="1558">
        <f t="shared" si="203"/>
        <v>5</v>
      </c>
      <c r="I269" s="1558">
        <f t="shared" si="203"/>
        <v>5</v>
      </c>
      <c r="J269" s="1558">
        <f t="shared" si="203"/>
        <v>5</v>
      </c>
      <c r="K269" s="1558">
        <f t="shared" si="203"/>
        <v>5</v>
      </c>
      <c r="L269" s="1558">
        <f t="shared" si="203"/>
        <v>5</v>
      </c>
      <c r="M269" s="1558">
        <f t="shared" si="203"/>
        <v>5</v>
      </c>
      <c r="N269" s="1558">
        <f t="shared" si="203"/>
        <v>5</v>
      </c>
      <c r="O269" s="1558">
        <f t="shared" si="203"/>
        <v>0</v>
      </c>
      <c r="P269" s="2246">
        <f t="shared" si="203"/>
        <v>5</v>
      </c>
      <c r="Q269" s="1558">
        <f t="shared" si="203"/>
        <v>5</v>
      </c>
      <c r="R269" s="1558">
        <f t="shared" si="203"/>
        <v>5</v>
      </c>
      <c r="S269" s="1558">
        <f t="shared" si="203"/>
        <v>5</v>
      </c>
      <c r="T269" s="3002">
        <f t="shared" ref="T269:V269" si="204">COUNT(T123:T127)</f>
        <v>0</v>
      </c>
      <c r="U269" s="3002">
        <f t="shared" si="204"/>
        <v>5</v>
      </c>
      <c r="V269" s="3002">
        <f t="shared" si="204"/>
        <v>5</v>
      </c>
      <c r="W269" s="3002">
        <f>COUNT(X123:X127)</f>
        <v>5</v>
      </c>
      <c r="X269" s="1558">
        <f>COUNT(#REF!)</f>
        <v>0</v>
      </c>
      <c r="Y269" s="3283">
        <f>COUNT(#REF!)</f>
        <v>0</v>
      </c>
      <c r="Z269" s="3283">
        <f>COUNT(#REF!)</f>
        <v>0</v>
      </c>
      <c r="AA269" s="3283">
        <f>COUNT(#REF!)</f>
        <v>0</v>
      </c>
    </row>
    <row r="270" spans="1:27">
      <c r="A270" s="3571"/>
      <c r="B270" s="3567"/>
      <c r="C270" s="3537"/>
      <c r="D270" s="1557">
        <f t="shared" ref="D270:S270" si="205">D268/D269</f>
        <v>0</v>
      </c>
      <c r="E270" s="1557">
        <f t="shared" si="205"/>
        <v>0</v>
      </c>
      <c r="F270" s="1557">
        <f t="shared" si="205"/>
        <v>0.4</v>
      </c>
      <c r="G270" s="1557">
        <f t="shared" si="205"/>
        <v>0.2</v>
      </c>
      <c r="H270" s="1557">
        <f t="shared" si="205"/>
        <v>0.2</v>
      </c>
      <c r="I270" s="1557">
        <f t="shared" si="205"/>
        <v>0</v>
      </c>
      <c r="J270" s="1557">
        <f t="shared" si="205"/>
        <v>0</v>
      </c>
      <c r="K270" s="1557">
        <f t="shared" si="205"/>
        <v>0</v>
      </c>
      <c r="L270" s="1557">
        <f t="shared" si="205"/>
        <v>0.2</v>
      </c>
      <c r="M270" s="1557">
        <f t="shared" si="205"/>
        <v>0.4</v>
      </c>
      <c r="N270" s="1557">
        <f t="shared" si="205"/>
        <v>0.2</v>
      </c>
      <c r="O270" s="1557" t="e">
        <f t="shared" si="205"/>
        <v>#DIV/0!</v>
      </c>
      <c r="P270" s="2247">
        <f t="shared" si="205"/>
        <v>0.2</v>
      </c>
      <c r="Q270" s="1557">
        <f t="shared" si="205"/>
        <v>0</v>
      </c>
      <c r="R270" s="1557">
        <f t="shared" si="205"/>
        <v>0.2</v>
      </c>
      <c r="S270" s="1557">
        <f t="shared" si="205"/>
        <v>0.2</v>
      </c>
      <c r="T270" s="1557" t="e">
        <f t="shared" ref="T270:W270" si="206">T268/T269</f>
        <v>#DIV/0!</v>
      </c>
      <c r="U270" s="1557">
        <f t="shared" si="206"/>
        <v>0</v>
      </c>
      <c r="V270" s="1557">
        <f t="shared" si="206"/>
        <v>0</v>
      </c>
      <c r="W270" s="1557">
        <f t="shared" si="206"/>
        <v>0.2</v>
      </c>
      <c r="X270" s="1557" t="e">
        <f>X268/X269</f>
        <v>#REF!</v>
      </c>
      <c r="Y270" s="1557" t="e">
        <f t="shared" ref="Y270:AA270" si="207">Y268/Y269</f>
        <v>#REF!</v>
      </c>
      <c r="Z270" s="1557" t="e">
        <f t="shared" si="207"/>
        <v>#REF!</v>
      </c>
      <c r="AA270" s="1557" t="e">
        <f t="shared" si="207"/>
        <v>#REF!</v>
      </c>
    </row>
    <row r="271" spans="1:27">
      <c r="A271" s="1102"/>
      <c r="B271" s="1101"/>
      <c r="C271" s="1104">
        <f>SUM(C223:C268)</f>
        <v>84</v>
      </c>
      <c r="D271" s="1104">
        <f>SUM(D223,D226,D229,D232,D235,D238,D241,D244,D247,D250,D253,D256,D259,D262,D265,D268)</f>
        <v>0</v>
      </c>
      <c r="E271" s="1104">
        <f t="shared" ref="E271:X271" si="208">SUM(E223,E226,E229,E232,E235,E238,E241,E244,E247,E250,E253,E256,E259,E262,E265,E268)</f>
        <v>1</v>
      </c>
      <c r="F271" s="1104">
        <f t="shared" si="208"/>
        <v>3</v>
      </c>
      <c r="G271" s="1104">
        <f t="shared" si="208"/>
        <v>1</v>
      </c>
      <c r="H271" s="1104">
        <f t="shared" si="208"/>
        <v>2</v>
      </c>
      <c r="I271" s="1104">
        <f t="shared" si="208"/>
        <v>14</v>
      </c>
      <c r="J271" s="1104">
        <f t="shared" si="208"/>
        <v>15</v>
      </c>
      <c r="K271" s="1104">
        <f t="shared" si="208"/>
        <v>15</v>
      </c>
      <c r="L271" s="1104">
        <f t="shared" si="208"/>
        <v>14</v>
      </c>
      <c r="M271" s="1104">
        <f t="shared" si="208"/>
        <v>5</v>
      </c>
      <c r="N271" s="1104">
        <f t="shared" si="208"/>
        <v>17</v>
      </c>
      <c r="O271" s="1104">
        <f t="shared" si="208"/>
        <v>0</v>
      </c>
      <c r="P271" s="2248">
        <f t="shared" si="208"/>
        <v>10</v>
      </c>
      <c r="Q271" s="1104">
        <f t="shared" si="208"/>
        <v>6</v>
      </c>
      <c r="R271" s="1104">
        <f t="shared" si="208"/>
        <v>12</v>
      </c>
      <c r="S271" s="1104">
        <f t="shared" si="208"/>
        <v>10</v>
      </c>
      <c r="T271" s="1104">
        <f t="shared" ref="T271:W271" si="209">SUM(T223,T226,T229,T232,T235,T238,T241,T244,T247,T250,T253,T256,T259,T262,T265,T268)</f>
        <v>0</v>
      </c>
      <c r="U271" s="1104">
        <f t="shared" si="209"/>
        <v>2</v>
      </c>
      <c r="V271" s="1104">
        <f t="shared" si="209"/>
        <v>1</v>
      </c>
      <c r="W271" s="1104">
        <f t="shared" si="209"/>
        <v>13</v>
      </c>
      <c r="X271" s="1104" t="e">
        <f t="shared" si="208"/>
        <v>#REF!</v>
      </c>
      <c r="Y271" s="1104" t="e">
        <f t="shared" ref="Y271:AA271" si="210">SUM(Y223,Y226,Y229,Y232,Y235,Y238,Y241,Y244,Y247,Y250,Y253,Y256,Y259,Y262,Y265,Y268)</f>
        <v>#REF!</v>
      </c>
      <c r="Z271" s="1104" t="e">
        <f t="shared" si="210"/>
        <v>#REF!</v>
      </c>
      <c r="AA271" s="1104" t="e">
        <f t="shared" si="210"/>
        <v>#REF!</v>
      </c>
    </row>
    <row r="272" spans="1:27">
      <c r="A272" s="1102"/>
      <c r="B272" s="1101"/>
      <c r="C272" s="1375" t="s">
        <v>305</v>
      </c>
      <c r="D272" s="1104">
        <f>SUM(D224,D227,D230,D233,D236,D239,D242,D245,D248,D251,D254,D257,D260,D263,D266,D269)</f>
        <v>40</v>
      </c>
      <c r="E272" s="1104">
        <f t="shared" ref="E272:X272" si="211">SUM(E224,E227,E230,E233,E236,E239,E242,E245,E248,E251,E254,E257,E260,E263,E266,E269)</f>
        <v>40</v>
      </c>
      <c r="F272" s="1104">
        <f t="shared" si="211"/>
        <v>40</v>
      </c>
      <c r="G272" s="1104">
        <f t="shared" si="211"/>
        <v>40</v>
      </c>
      <c r="H272" s="1104">
        <f t="shared" si="211"/>
        <v>40</v>
      </c>
      <c r="I272" s="1104">
        <f t="shared" si="211"/>
        <v>79</v>
      </c>
      <c r="J272" s="1104">
        <f t="shared" si="211"/>
        <v>79</v>
      </c>
      <c r="K272" s="1104">
        <f t="shared" si="211"/>
        <v>79</v>
      </c>
      <c r="L272" s="1104">
        <f t="shared" si="211"/>
        <v>80</v>
      </c>
      <c r="M272" s="1104">
        <f t="shared" si="211"/>
        <v>50</v>
      </c>
      <c r="N272" s="1104">
        <f t="shared" si="211"/>
        <v>81</v>
      </c>
      <c r="O272" s="1104">
        <f t="shared" si="211"/>
        <v>0</v>
      </c>
      <c r="P272" s="2248">
        <f t="shared" si="211"/>
        <v>79</v>
      </c>
      <c r="Q272" s="1104">
        <f t="shared" si="211"/>
        <v>78</v>
      </c>
      <c r="R272" s="1104">
        <f t="shared" si="211"/>
        <v>79</v>
      </c>
      <c r="S272" s="1104">
        <f t="shared" si="211"/>
        <v>84</v>
      </c>
      <c r="T272" s="1104">
        <f t="shared" ref="T272:W272" si="212">SUM(T224,T227,T230,T233,T236,T239,T242,T245,T248,T251,T254,T257,T260,T263,T266,T269)</f>
        <v>39</v>
      </c>
      <c r="U272" s="1104">
        <f t="shared" si="212"/>
        <v>62</v>
      </c>
      <c r="V272" s="1104">
        <f t="shared" si="212"/>
        <v>57</v>
      </c>
      <c r="W272" s="1104">
        <f t="shared" si="212"/>
        <v>71</v>
      </c>
      <c r="X272" s="1104">
        <f t="shared" si="211"/>
        <v>72</v>
      </c>
      <c r="Y272" s="1104">
        <f t="shared" ref="Y272:AA272" si="213">SUM(Y224,Y227,Y230,Y233,Y236,Y239,Y242,Y245,Y248,Y251,Y254,Y257,Y260,Y263,Y266,Y269)</f>
        <v>77</v>
      </c>
      <c r="Z272" s="1104">
        <f t="shared" si="213"/>
        <v>77</v>
      </c>
      <c r="AA272" s="1104">
        <f t="shared" si="213"/>
        <v>54</v>
      </c>
    </row>
    <row r="273" spans="1:27">
      <c r="A273" s="1103"/>
      <c r="B273" s="1100"/>
      <c r="C273" s="1100" t="s">
        <v>302</v>
      </c>
      <c r="D273" s="1563">
        <f t="shared" ref="D273:S273" si="214">D271/D272</f>
        <v>0</v>
      </c>
      <c r="E273" s="1563">
        <f t="shared" si="214"/>
        <v>2.5000000000000001E-2</v>
      </c>
      <c r="F273" s="1563">
        <f t="shared" si="214"/>
        <v>7.4999999999999997E-2</v>
      </c>
      <c r="G273" s="1563">
        <f t="shared" si="214"/>
        <v>2.5000000000000001E-2</v>
      </c>
      <c r="H273" s="1563">
        <f t="shared" si="214"/>
        <v>0.05</v>
      </c>
      <c r="I273" s="1563">
        <f t="shared" si="214"/>
        <v>0.17721518987341772</v>
      </c>
      <c r="J273" s="1563">
        <f t="shared" si="214"/>
        <v>0.189873417721519</v>
      </c>
      <c r="K273" s="1563">
        <f t="shared" si="214"/>
        <v>0.189873417721519</v>
      </c>
      <c r="L273" s="1563">
        <f t="shared" si="214"/>
        <v>0.17499999999999999</v>
      </c>
      <c r="M273" s="1563">
        <f t="shared" si="214"/>
        <v>0.1</v>
      </c>
      <c r="N273" s="1563">
        <f t="shared" si="214"/>
        <v>0.20987654320987653</v>
      </c>
      <c r="O273" s="1563" t="e">
        <f t="shared" si="214"/>
        <v>#DIV/0!</v>
      </c>
      <c r="P273" s="2300">
        <f t="shared" si="214"/>
        <v>0.12658227848101267</v>
      </c>
      <c r="Q273" s="1563">
        <f t="shared" si="214"/>
        <v>7.6923076923076927E-2</v>
      </c>
      <c r="R273" s="1563">
        <f t="shared" si="214"/>
        <v>0.15189873417721519</v>
      </c>
      <c r="S273" s="1563">
        <f t="shared" si="214"/>
        <v>0.11904761904761904</v>
      </c>
      <c r="T273" s="1563">
        <f t="shared" ref="T273:W273" si="215">T271/T272</f>
        <v>0</v>
      </c>
      <c r="U273" s="1563">
        <f t="shared" si="215"/>
        <v>3.2258064516129031E-2</v>
      </c>
      <c r="V273" s="1563">
        <f t="shared" si="215"/>
        <v>1.7543859649122806E-2</v>
      </c>
      <c r="W273" s="1563">
        <f t="shared" si="215"/>
        <v>0.18309859154929578</v>
      </c>
      <c r="X273" s="1563" t="e">
        <f>X271/X272</f>
        <v>#REF!</v>
      </c>
      <c r="Y273" s="1563" t="e">
        <f t="shared" ref="Y273:AA273" si="216">Y271/Y272</f>
        <v>#REF!</v>
      </c>
      <c r="Z273" s="1563" t="e">
        <f t="shared" si="216"/>
        <v>#REF!</v>
      </c>
      <c r="AA273" s="1563" t="e">
        <f t="shared" si="216"/>
        <v>#REF!</v>
      </c>
    </row>
  </sheetData>
  <sortState ref="C86:K90">
    <sortCondition ref="C86:C90"/>
  </sortState>
  <mergeCells count="74">
    <mergeCell ref="A48:A51"/>
    <mergeCell ref="A52:A54"/>
    <mergeCell ref="A55:A57"/>
    <mergeCell ref="A58:A60"/>
    <mergeCell ref="A61:A63"/>
    <mergeCell ref="C262:C264"/>
    <mergeCell ref="C265:C267"/>
    <mergeCell ref="C268:C270"/>
    <mergeCell ref="B262:B264"/>
    <mergeCell ref="B265:B267"/>
    <mergeCell ref="B268:B270"/>
    <mergeCell ref="C223:C225"/>
    <mergeCell ref="C226:C228"/>
    <mergeCell ref="C229:C231"/>
    <mergeCell ref="C232:C234"/>
    <mergeCell ref="C235:C237"/>
    <mergeCell ref="C238:C240"/>
    <mergeCell ref="C241:C243"/>
    <mergeCell ref="C244:C246"/>
    <mergeCell ref="C247:C249"/>
    <mergeCell ref="C250:C252"/>
    <mergeCell ref="C253:C255"/>
    <mergeCell ref="C256:C258"/>
    <mergeCell ref="C259:C261"/>
    <mergeCell ref="A223:A249"/>
    <mergeCell ref="A250:A258"/>
    <mergeCell ref="A259:A270"/>
    <mergeCell ref="B223:B225"/>
    <mergeCell ref="B226:B228"/>
    <mergeCell ref="B229:B231"/>
    <mergeCell ref="B232:B234"/>
    <mergeCell ref="B235:B237"/>
    <mergeCell ref="B238:B240"/>
    <mergeCell ref="B241:B243"/>
    <mergeCell ref="B244:B246"/>
    <mergeCell ref="B247:B249"/>
    <mergeCell ref="B250:B252"/>
    <mergeCell ref="B253:B255"/>
    <mergeCell ref="B256:B258"/>
    <mergeCell ref="B259:B261"/>
    <mergeCell ref="A220:A222"/>
    <mergeCell ref="B220:B222"/>
    <mergeCell ref="C220:C222"/>
    <mergeCell ref="D220:X220"/>
    <mergeCell ref="D221:G221"/>
    <mergeCell ref="H221:K221"/>
    <mergeCell ref="L221:O221"/>
    <mergeCell ref="P221:S221"/>
    <mergeCell ref="T221:W221"/>
    <mergeCell ref="D2:N3"/>
    <mergeCell ref="P8:S8"/>
    <mergeCell ref="A8:A9"/>
    <mergeCell ref="C8:C9"/>
    <mergeCell ref="D8:G8"/>
    <mergeCell ref="E5:M5"/>
    <mergeCell ref="F6:L6"/>
    <mergeCell ref="H8:K8"/>
    <mergeCell ref="N198:Q199"/>
    <mergeCell ref="N137:Q138"/>
    <mergeCell ref="N182:Q183"/>
    <mergeCell ref="F182:I183"/>
    <mergeCell ref="F198:I199"/>
    <mergeCell ref="F137:I138"/>
    <mergeCell ref="AB8:AE8"/>
    <mergeCell ref="X8:AA8"/>
    <mergeCell ref="T8:W8"/>
    <mergeCell ref="B133:B135"/>
    <mergeCell ref="N101:Q102"/>
    <mergeCell ref="N12:Q13"/>
    <mergeCell ref="N68:Q69"/>
    <mergeCell ref="F101:I102"/>
    <mergeCell ref="F12:I13"/>
    <mergeCell ref="F68:I69"/>
    <mergeCell ref="Z12:AC13"/>
  </mergeCells>
  <conditionalFormatting sqref="D71:W96 D110:V127 D153:Q154 D104:U109 W104:W122 D201:W214 Q104:Q127 R14:W63 Z113:Z117 D14:P63 X140:AA177 D155:AA177 S153:AA154 D140:AA152 D185:AC193 Y82:AE96 Y71:AE72 Y112:AE114 Y104:AE109 X123:AE127 Y117:AE121 Y14:AE63">
    <cfRule type="cellIs" dxfId="133" priority="195" operator="lessThanOrEqual">
      <formula>0.4</formula>
    </cfRule>
  </conditionalFormatting>
  <conditionalFormatting sqref="D21:K23 D45:K63 Y45:AE63 Y21:AE23">
    <cfRule type="cellIs" dxfId="132" priority="179" operator="lessThan">
      <formula>0.4</formula>
    </cfRule>
  </conditionalFormatting>
  <conditionalFormatting sqref="D201:W214">
    <cfRule type="cellIs" dxfId="131" priority="46" operator="greaterThan">
      <formula>0.4</formula>
    </cfRule>
    <cfRule type="cellIs" dxfId="130" priority="47" operator="lessThan">
      <formula>0.4</formula>
    </cfRule>
  </conditionalFormatting>
  <conditionalFormatting sqref="D185:AC193">
    <cfRule type="cellIs" dxfId="129" priority="43" operator="greaterThan">
      <formula>0.4</formula>
    </cfRule>
    <cfRule type="cellIs" dxfId="128" priority="44" operator="greaterThan">
      <formula>"0..40"</formula>
    </cfRule>
    <cfRule type="cellIs" dxfId="127" priority="45" operator="lessThan">
      <formula>0.4</formula>
    </cfRule>
  </conditionalFormatting>
  <conditionalFormatting sqref="D153:Q154 D14:P63 R14:W63 D140:AA152 X140:AA177 D155:AA177 S153:AA154 Y14:AE63">
    <cfRule type="cellIs" dxfId="126" priority="40" operator="lessThan">
      <formula>0.4</formula>
    </cfRule>
    <cfRule type="cellIs" dxfId="125" priority="41" operator="lessThan">
      <formula>0.4</formula>
    </cfRule>
    <cfRule type="cellIs" dxfId="124" priority="42" operator="greaterThan">
      <formula>0.4</formula>
    </cfRule>
  </conditionalFormatting>
  <conditionalFormatting sqref="D110:V127 D104:U109 Q104:Q127 D71:AE96 W104:AE127">
    <cfRule type="cellIs" dxfId="123" priority="38" operator="lessThan">
      <formula>0.4</formula>
    </cfRule>
    <cfRule type="cellIs" dxfId="122" priority="39" operator="greaterThan">
      <formula>0.4</formula>
    </cfRule>
  </conditionalFormatting>
  <conditionalFormatting sqref="V104:V109 D48:W63 Y48:AE63">
    <cfRule type="cellIs" dxfId="121" priority="29" operator="lessThanOrEqual">
      <formula>10</formula>
    </cfRule>
  </conditionalFormatting>
  <conditionalFormatting sqref="V104:V109 D48:W63 Y48:AE63">
    <cfRule type="cellIs" dxfId="120" priority="27" operator="lessThan">
      <formula>10</formula>
    </cfRule>
    <cfRule type="cellIs" dxfId="119" priority="28" operator="greaterThan">
      <formula>10</formula>
    </cfRule>
  </conditionalFormatting>
  <conditionalFormatting sqref="D48:AE63">
    <cfRule type="cellIs" dxfId="118" priority="15" operator="between">
      <formula>6</formula>
      <formula>8.5</formula>
    </cfRule>
  </conditionalFormatting>
  <conditionalFormatting sqref="D48:L63 P48:AE63">
    <cfRule type="cellIs" dxfId="117" priority="10" operator="greaterThanOrEqual">
      <formula>5</formula>
    </cfRule>
  </conditionalFormatting>
  <conditionalFormatting sqref="D48:AE63">
    <cfRule type="cellIs" dxfId="116" priority="6" operator="lessThan">
      <formula>5</formula>
    </cfRule>
    <cfRule type="cellIs" dxfId="115" priority="7" operator="greaterThan">
      <formula>5</formula>
    </cfRule>
    <cfRule type="cellIs" dxfId="114" priority="8" operator="greaterThan">
      <formula>5</formula>
    </cfRule>
  </conditionalFormatting>
  <conditionalFormatting sqref="D48:O63">
    <cfRule type="cellIs" dxfId="113" priority="5" operator="greaterThan">
      <formula>4.9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DA84"/>
  <sheetViews>
    <sheetView zoomScale="80" zoomScaleNormal="80" zoomScaleSheetLayoutView="130" workbookViewId="0">
      <pane xSplit="4" ySplit="12" topLeftCell="U13" activePane="bottomRight" state="frozen"/>
      <selection pane="topRight" activeCell="E1" sqref="E1"/>
      <selection pane="bottomLeft" activeCell="A13" sqref="A13"/>
      <selection pane="bottomRight" activeCell="X15" sqref="X15:AA40"/>
    </sheetView>
  </sheetViews>
  <sheetFormatPr defaultRowHeight="15"/>
  <cols>
    <col min="1" max="1" width="23.140625" customWidth="1"/>
    <col min="2" max="2" width="23.140625" style="11" customWidth="1"/>
    <col min="3" max="3" width="40.85546875" customWidth="1"/>
    <col min="20" max="20" width="9.140625" style="2949"/>
    <col min="21" max="23" width="9.140625" style="2874"/>
  </cols>
  <sheetData>
    <row r="1" spans="1:74" s="965" customFormat="1">
      <c r="A1" s="726"/>
      <c r="B1" s="1030"/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64"/>
      <c r="U1" s="726"/>
      <c r="V1" s="726"/>
      <c r="W1" s="726"/>
      <c r="X1" s="764"/>
    </row>
    <row r="2" spans="1:74" s="965" customFormat="1">
      <c r="A2" s="726"/>
      <c r="B2" s="1030"/>
      <c r="C2" s="726"/>
      <c r="D2" s="3595" t="s">
        <v>264</v>
      </c>
      <c r="E2" s="3595"/>
      <c r="F2" s="3595"/>
      <c r="G2" s="3595"/>
      <c r="H2" s="3595"/>
      <c r="I2" s="3595"/>
      <c r="J2" s="3595"/>
      <c r="K2" s="3595"/>
      <c r="L2" s="3595"/>
      <c r="M2" s="3595"/>
      <c r="N2" s="3595"/>
      <c r="O2" s="726"/>
      <c r="P2" s="726"/>
      <c r="Q2" s="726"/>
      <c r="R2" s="726"/>
      <c r="S2" s="726"/>
      <c r="T2" s="764"/>
      <c r="U2" s="726"/>
      <c r="V2" s="726"/>
      <c r="W2" s="726"/>
      <c r="X2" s="764"/>
    </row>
    <row r="3" spans="1:74" s="965" customFormat="1">
      <c r="A3" s="726"/>
      <c r="B3" s="1030"/>
      <c r="C3" s="726"/>
      <c r="D3" s="3595"/>
      <c r="E3" s="3595"/>
      <c r="F3" s="3595"/>
      <c r="G3" s="3595"/>
      <c r="H3" s="3595"/>
      <c r="I3" s="3595"/>
      <c r="J3" s="3595"/>
      <c r="K3" s="3595"/>
      <c r="L3" s="3595"/>
      <c r="M3" s="3595"/>
      <c r="N3" s="3595"/>
      <c r="O3" s="726"/>
      <c r="P3" s="726"/>
      <c r="Q3" s="726"/>
      <c r="R3" s="726"/>
      <c r="S3" s="726"/>
      <c r="T3" s="764"/>
      <c r="U3" s="726"/>
      <c r="V3" s="726"/>
      <c r="W3" s="726"/>
      <c r="X3" s="764"/>
    </row>
    <row r="4" spans="1:74" s="965" customFormat="1" ht="15.75" thickBot="1">
      <c r="A4" s="726"/>
      <c r="B4" s="1030"/>
      <c r="C4" s="726"/>
      <c r="D4" s="726"/>
      <c r="E4" s="726"/>
      <c r="F4" s="726"/>
      <c r="G4" s="726"/>
      <c r="H4" s="726"/>
      <c r="I4" s="726"/>
      <c r="J4" s="726"/>
      <c r="K4" s="726"/>
      <c r="L4" s="726"/>
      <c r="M4" s="726"/>
      <c r="N4" s="726"/>
      <c r="O4" s="726"/>
      <c r="P4" s="726"/>
      <c r="Q4" s="726"/>
      <c r="R4" s="726"/>
      <c r="S4" s="726"/>
      <c r="T4" s="764"/>
      <c r="U4" s="726"/>
      <c r="V4" s="726"/>
      <c r="W4" s="726"/>
      <c r="X4" s="764"/>
    </row>
    <row r="5" spans="1:74" s="965" customFormat="1" ht="15.75" thickBot="1">
      <c r="A5" s="750"/>
      <c r="B5" s="1017"/>
      <c r="C5" s="750"/>
      <c r="D5" s="750"/>
      <c r="E5" s="3538" t="s">
        <v>198</v>
      </c>
      <c r="F5" s="3539"/>
      <c r="G5" s="3539"/>
      <c r="H5" s="3539"/>
      <c r="I5" s="3539"/>
      <c r="J5" s="3539"/>
      <c r="K5" s="3539"/>
      <c r="L5" s="3539"/>
      <c r="M5" s="3540"/>
      <c r="N5" s="726"/>
      <c r="O5" s="726"/>
      <c r="P5" s="726"/>
      <c r="Q5" s="726"/>
      <c r="R5" s="726"/>
      <c r="S5" s="726"/>
      <c r="T5" s="764"/>
      <c r="U5" s="726"/>
      <c r="V5" s="726"/>
      <c r="W5" s="726"/>
      <c r="X5" s="764"/>
    </row>
    <row r="6" spans="1:74" s="965" customFormat="1" ht="15.75" thickBot="1">
      <c r="A6" s="751"/>
      <c r="B6" s="1018"/>
      <c r="C6" s="751"/>
      <c r="D6" s="753"/>
      <c r="E6" s="752"/>
      <c r="F6" s="3589" t="s">
        <v>233</v>
      </c>
      <c r="G6" s="3590"/>
      <c r="H6" s="3590"/>
      <c r="I6" s="3590"/>
      <c r="J6" s="3590"/>
      <c r="K6" s="3590"/>
      <c r="L6" s="3591"/>
      <c r="M6" s="726"/>
      <c r="N6" s="726"/>
      <c r="O6" s="726"/>
      <c r="P6" s="726"/>
      <c r="Q6" s="726"/>
      <c r="R6" s="726"/>
      <c r="S6" s="726"/>
      <c r="T6" s="764"/>
      <c r="U6" s="726"/>
      <c r="V6" s="726"/>
      <c r="W6" s="726"/>
      <c r="X6" s="764"/>
    </row>
    <row r="7" spans="1:74" s="965" customFormat="1" ht="15.75" thickBot="1">
      <c r="A7" s="116"/>
      <c r="B7" s="580"/>
      <c r="C7" s="116"/>
      <c r="D7" s="237"/>
      <c r="E7" s="237"/>
      <c r="F7" s="237"/>
      <c r="G7" s="237"/>
      <c r="H7" s="237"/>
      <c r="I7" s="193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767"/>
      <c r="U7" s="107"/>
      <c r="V7" s="107"/>
      <c r="W7" s="107"/>
      <c r="X7" s="767"/>
    </row>
    <row r="8" spans="1:74" s="965" customFormat="1" ht="15.75" thickBot="1">
      <c r="A8" s="3519" t="s">
        <v>0</v>
      </c>
      <c r="B8" s="1006"/>
      <c r="C8" s="3587" t="s">
        <v>1</v>
      </c>
      <c r="D8" s="3550">
        <v>2011</v>
      </c>
      <c r="E8" s="3551"/>
      <c r="F8" s="3551"/>
      <c r="G8" s="3552"/>
      <c r="H8" s="3547">
        <v>2012</v>
      </c>
      <c r="I8" s="3548"/>
      <c r="J8" s="3548"/>
      <c r="K8" s="3549"/>
      <c r="L8" s="967">
        <v>2013</v>
      </c>
      <c r="M8" s="968"/>
      <c r="N8" s="968"/>
      <c r="O8" s="969"/>
      <c r="P8" s="3516">
        <v>2014</v>
      </c>
      <c r="Q8" s="3517"/>
      <c r="R8" s="3517"/>
      <c r="S8" s="3518"/>
      <c r="T8" s="3516">
        <v>2015</v>
      </c>
      <c r="U8" s="3517"/>
      <c r="V8" s="3517"/>
      <c r="W8" s="3518"/>
      <c r="X8" s="3516">
        <v>2016</v>
      </c>
      <c r="Y8" s="3517"/>
      <c r="Z8" s="3517"/>
      <c r="AA8" s="3518"/>
    </row>
    <row r="9" spans="1:74" s="965" customFormat="1" ht="13.5" customHeight="1" thickBot="1">
      <c r="A9" s="3520"/>
      <c r="B9" s="1007"/>
      <c r="C9" s="3588"/>
      <c r="D9" s="720" t="s">
        <v>2</v>
      </c>
      <c r="E9" s="989" t="s">
        <v>3</v>
      </c>
      <c r="F9" s="990" t="s">
        <v>4</v>
      </c>
      <c r="G9" s="991" t="s">
        <v>5</v>
      </c>
      <c r="H9" s="988" t="s">
        <v>2</v>
      </c>
      <c r="I9" s="989" t="s">
        <v>3</v>
      </c>
      <c r="J9" s="990" t="s">
        <v>4</v>
      </c>
      <c r="K9" s="724" t="s">
        <v>5</v>
      </c>
      <c r="L9" s="988" t="s">
        <v>2</v>
      </c>
      <c r="M9" s="989" t="s">
        <v>3</v>
      </c>
      <c r="N9" s="990" t="s">
        <v>4</v>
      </c>
      <c r="O9" s="724" t="s">
        <v>5</v>
      </c>
      <c r="P9" s="988" t="s">
        <v>2</v>
      </c>
      <c r="Q9" s="989" t="s">
        <v>3</v>
      </c>
      <c r="R9" s="990" t="s">
        <v>4</v>
      </c>
      <c r="S9" s="724" t="s">
        <v>5</v>
      </c>
      <c r="T9" s="2943" t="s">
        <v>2</v>
      </c>
      <c r="U9" s="2944" t="s">
        <v>3</v>
      </c>
      <c r="V9" s="2879" t="s">
        <v>4</v>
      </c>
      <c r="W9" s="724" t="s">
        <v>5</v>
      </c>
      <c r="X9" s="3150" t="s">
        <v>2</v>
      </c>
      <c r="Y9" s="2944" t="s">
        <v>3</v>
      </c>
      <c r="Z9" s="3302" t="s">
        <v>4</v>
      </c>
      <c r="AA9" s="724" t="s">
        <v>5</v>
      </c>
    </row>
    <row r="10" spans="1:74" ht="15.75">
      <c r="A10" s="239"/>
      <c r="B10" s="239"/>
      <c r="C10" s="125"/>
      <c r="D10" s="111"/>
      <c r="E10" s="111"/>
      <c r="F10" s="111"/>
      <c r="G10" s="111"/>
      <c r="H10" s="111"/>
      <c r="I10" s="236"/>
      <c r="J10" s="110"/>
      <c r="K10" s="123"/>
      <c r="L10" s="107"/>
      <c r="M10" s="123"/>
      <c r="N10" s="123"/>
      <c r="O10" s="123"/>
      <c r="P10" s="123"/>
      <c r="Q10" s="123"/>
      <c r="R10" s="123"/>
      <c r="S10" s="123"/>
      <c r="T10" s="800"/>
      <c r="U10" s="123"/>
      <c r="V10" s="123"/>
      <c r="W10" s="123"/>
      <c r="X10" s="800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</row>
    <row r="11" spans="1:74" ht="15.75">
      <c r="A11" s="239"/>
      <c r="B11" s="239"/>
      <c r="C11" s="125"/>
      <c r="D11" s="111"/>
      <c r="E11" s="111"/>
      <c r="F11" s="111"/>
      <c r="G11" s="111"/>
      <c r="H11" s="111"/>
      <c r="I11" s="236"/>
      <c r="J11" s="110"/>
      <c r="K11" s="123"/>
      <c r="L11" s="107"/>
      <c r="M11" s="123"/>
      <c r="N11" s="123"/>
      <c r="O11" s="123"/>
      <c r="P11" s="123"/>
      <c r="Q11" s="123"/>
      <c r="R11" s="123"/>
      <c r="S11" s="123"/>
      <c r="T11" s="800"/>
      <c r="U11" s="123"/>
      <c r="V11" s="123"/>
      <c r="W11" s="123"/>
      <c r="X11" s="800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</row>
    <row r="12" spans="1:74" ht="15.75">
      <c r="A12" s="239"/>
      <c r="B12" s="239"/>
      <c r="C12" s="125"/>
      <c r="D12" s="111"/>
      <c r="E12" s="111"/>
      <c r="F12" s="3546" t="s">
        <v>126</v>
      </c>
      <c r="G12" s="3546"/>
      <c r="H12" s="3546"/>
      <c r="I12" s="3546"/>
      <c r="J12" s="107"/>
      <c r="K12" s="123"/>
      <c r="L12" s="107"/>
      <c r="M12" s="123"/>
      <c r="N12" s="3546" t="s">
        <v>126</v>
      </c>
      <c r="O12" s="3546"/>
      <c r="P12" s="3546"/>
      <c r="Q12" s="3546"/>
      <c r="R12" s="123"/>
      <c r="S12" s="123"/>
      <c r="T12" s="800"/>
      <c r="U12" s="123"/>
      <c r="V12" s="123"/>
      <c r="W12" s="123"/>
      <c r="X12" s="800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</row>
    <row r="13" spans="1:74" ht="15.75" thickBot="1">
      <c r="A13" s="328"/>
      <c r="B13" s="113"/>
      <c r="C13" s="125"/>
      <c r="D13" s="240"/>
      <c r="E13" s="240"/>
      <c r="F13" s="3546"/>
      <c r="G13" s="3546"/>
      <c r="H13" s="3546"/>
      <c r="I13" s="3546"/>
      <c r="J13" s="107"/>
      <c r="K13" s="123"/>
      <c r="L13" s="237"/>
      <c r="M13" s="123"/>
      <c r="N13" s="3546"/>
      <c r="O13" s="3546"/>
      <c r="P13" s="3546"/>
      <c r="Q13" s="3546"/>
      <c r="R13" s="123"/>
      <c r="S13" s="123"/>
      <c r="T13" s="800"/>
      <c r="U13" s="123"/>
      <c r="V13" s="123"/>
      <c r="W13" s="123"/>
      <c r="X13" s="800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</row>
    <row r="14" spans="1:74" ht="15.75" thickBot="1">
      <c r="A14" s="328"/>
      <c r="B14" s="113" t="s">
        <v>284</v>
      </c>
      <c r="C14" s="266" t="s">
        <v>168</v>
      </c>
      <c r="D14" s="268">
        <v>2</v>
      </c>
      <c r="E14" s="268">
        <v>2</v>
      </c>
      <c r="F14" s="268">
        <v>2</v>
      </c>
      <c r="G14" s="345">
        <v>2</v>
      </c>
      <c r="H14" s="346">
        <v>2</v>
      </c>
      <c r="I14" s="268">
        <v>2</v>
      </c>
      <c r="J14" s="268">
        <v>2</v>
      </c>
      <c r="K14" s="269">
        <v>2</v>
      </c>
      <c r="L14" s="346">
        <v>2</v>
      </c>
      <c r="M14" s="268">
        <v>2</v>
      </c>
      <c r="N14" s="268">
        <v>2</v>
      </c>
      <c r="O14" s="274">
        <v>2</v>
      </c>
      <c r="P14" s="367">
        <v>2</v>
      </c>
      <c r="Q14" s="268">
        <v>2</v>
      </c>
      <c r="R14" s="268">
        <v>2</v>
      </c>
      <c r="S14" s="274">
        <v>2</v>
      </c>
      <c r="T14" s="268">
        <v>2</v>
      </c>
      <c r="U14" s="2945">
        <v>2</v>
      </c>
      <c r="V14" s="274">
        <v>2</v>
      </c>
      <c r="W14" s="274">
        <v>2</v>
      </c>
      <c r="X14" s="274">
        <v>2</v>
      </c>
      <c r="Y14" s="274">
        <v>2</v>
      </c>
      <c r="Z14" s="274">
        <v>2</v>
      </c>
      <c r="AA14" s="274">
        <v>2</v>
      </c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</row>
    <row r="15" spans="1:74" ht="17.25" customHeight="1">
      <c r="A15" s="1023" t="s">
        <v>42</v>
      </c>
      <c r="B15" s="995">
        <f>COUNTA(C15:C21)</f>
        <v>7</v>
      </c>
      <c r="C15" s="1529" t="s">
        <v>53</v>
      </c>
      <c r="D15" s="1292">
        <v>2.57</v>
      </c>
      <c r="E15" s="1295">
        <v>2.5</v>
      </c>
      <c r="F15" s="1295">
        <v>2</v>
      </c>
      <c r="G15" s="1335">
        <v>2.4</v>
      </c>
      <c r="H15" s="1331">
        <v>2.8</v>
      </c>
      <c r="I15" s="1530">
        <v>2.6</v>
      </c>
      <c r="J15" s="1169">
        <v>2.6</v>
      </c>
      <c r="K15" s="1531"/>
      <c r="L15" s="1532">
        <v>3</v>
      </c>
      <c r="M15" s="1533">
        <v>4.8</v>
      </c>
      <c r="N15" s="1533">
        <v>2.57</v>
      </c>
      <c r="O15" s="1551"/>
      <c r="P15" s="1534"/>
      <c r="Q15" s="1535"/>
      <c r="R15" s="1535"/>
      <c r="S15" s="2940">
        <v>3.76</v>
      </c>
      <c r="T15" s="3029">
        <v>2.76</v>
      </c>
      <c r="U15" s="3032">
        <v>3.87</v>
      </c>
      <c r="V15" s="3032">
        <v>5.27</v>
      </c>
      <c r="W15" s="3032">
        <v>4</v>
      </c>
      <c r="X15" s="3153">
        <v>3.6</v>
      </c>
      <c r="Y15" s="3032">
        <v>3.37</v>
      </c>
      <c r="Z15" s="3326" t="s">
        <v>336</v>
      </c>
      <c r="AA15" s="303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</row>
    <row r="16" spans="1:74" ht="16.5" customHeight="1">
      <c r="A16" s="1199" t="s">
        <v>42</v>
      </c>
      <c r="B16" s="996"/>
      <c r="C16" s="1536" t="s">
        <v>377</v>
      </c>
      <c r="D16" s="1300">
        <v>4.5999999999999996</v>
      </c>
      <c r="E16" s="1303">
        <v>3.85</v>
      </c>
      <c r="F16" s="1303">
        <v>4.0999999999999996</v>
      </c>
      <c r="G16" s="1337">
        <v>3</v>
      </c>
      <c r="H16" s="1332">
        <v>3.25</v>
      </c>
      <c r="I16" s="324">
        <v>6.5</v>
      </c>
      <c r="J16" s="1172">
        <v>6.5</v>
      </c>
      <c r="K16" s="1537"/>
      <c r="L16" s="1538"/>
      <c r="M16" s="1539">
        <v>6.6</v>
      </c>
      <c r="N16" s="1539">
        <v>4.3</v>
      </c>
      <c r="O16" s="1552"/>
      <c r="P16" s="1540"/>
      <c r="Q16" s="1541"/>
      <c r="R16" s="1541"/>
      <c r="S16" s="2941">
        <v>8.1</v>
      </c>
      <c r="T16" s="3030">
        <v>8.6</v>
      </c>
      <c r="U16" s="3033" t="s">
        <v>109</v>
      </c>
      <c r="V16" s="3033">
        <v>8.9</v>
      </c>
      <c r="W16" s="3033">
        <v>8.6999999999999993</v>
      </c>
      <c r="X16" s="3154">
        <v>9.9700000000000006</v>
      </c>
      <c r="Y16" s="3033">
        <v>3.7</v>
      </c>
      <c r="Z16" s="3327" t="s">
        <v>336</v>
      </c>
      <c r="AA16" s="3033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</row>
    <row r="17" spans="1:76">
      <c r="A17" s="1199" t="s">
        <v>42</v>
      </c>
      <c r="B17" s="996"/>
      <c r="C17" s="1536" t="s">
        <v>64</v>
      </c>
      <c r="D17" s="1300">
        <v>4.5999999999999996</v>
      </c>
      <c r="E17" s="1303">
        <v>3.2</v>
      </c>
      <c r="F17" s="1303">
        <v>2.2000000000000002</v>
      </c>
      <c r="G17" s="1337">
        <v>1.9</v>
      </c>
      <c r="H17" s="1332">
        <v>4.0999999999999996</v>
      </c>
      <c r="I17" s="324">
        <v>4.2</v>
      </c>
      <c r="J17" s="1172">
        <v>4.2</v>
      </c>
      <c r="K17" s="1537"/>
      <c r="L17" s="1538">
        <v>3.47</v>
      </c>
      <c r="M17" s="1539">
        <v>3.6</v>
      </c>
      <c r="N17" s="1539">
        <v>2.23</v>
      </c>
      <c r="O17" s="1552"/>
      <c r="P17" s="1540"/>
      <c r="Q17" s="1541"/>
      <c r="R17" s="1541"/>
      <c r="S17" s="2941">
        <v>4.32</v>
      </c>
      <c r="T17" s="3030">
        <v>3.7</v>
      </c>
      <c r="U17" s="3033">
        <v>3.93</v>
      </c>
      <c r="V17" s="3033">
        <v>3.6</v>
      </c>
      <c r="W17" s="3033">
        <v>3.93</v>
      </c>
      <c r="X17" s="3154">
        <v>4.3</v>
      </c>
      <c r="Y17" s="3033">
        <v>6.37</v>
      </c>
      <c r="Z17" s="3327" t="s">
        <v>336</v>
      </c>
      <c r="AA17" s="3033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</row>
    <row r="18" spans="1:76">
      <c r="A18" s="1199" t="s">
        <v>42</v>
      </c>
      <c r="B18" s="996"/>
      <c r="C18" s="1536" t="s">
        <v>63</v>
      </c>
      <c r="D18" s="1300">
        <v>3.13</v>
      </c>
      <c r="E18" s="1303">
        <v>2.2999999999999998</v>
      </c>
      <c r="F18" s="1303">
        <v>1.9</v>
      </c>
      <c r="G18" s="1337">
        <v>2.5</v>
      </c>
      <c r="H18" s="1332">
        <v>2.4</v>
      </c>
      <c r="I18" s="324">
        <v>3.3</v>
      </c>
      <c r="J18" s="1172">
        <v>3.3</v>
      </c>
      <c r="K18" s="1537"/>
      <c r="L18" s="1538">
        <v>3.13</v>
      </c>
      <c r="M18" s="1539">
        <v>4.2</v>
      </c>
      <c r="N18" s="1539">
        <v>4</v>
      </c>
      <c r="O18" s="1552"/>
      <c r="P18" s="1540"/>
      <c r="Q18" s="1541"/>
      <c r="R18" s="1541"/>
      <c r="S18" s="2941">
        <v>7.23</v>
      </c>
      <c r="T18" s="3030">
        <v>6.46</v>
      </c>
      <c r="U18" s="3033">
        <v>6.97</v>
      </c>
      <c r="V18" s="3033">
        <v>6.33</v>
      </c>
      <c r="W18" s="3033">
        <v>7.5</v>
      </c>
      <c r="X18" s="3154">
        <v>7.93</v>
      </c>
      <c r="Y18" s="3033">
        <v>3.5</v>
      </c>
      <c r="Z18" s="3327" t="s">
        <v>336</v>
      </c>
      <c r="AA18" s="3033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</row>
    <row r="19" spans="1:76">
      <c r="A19" s="1199" t="s">
        <v>42</v>
      </c>
      <c r="B19" s="996"/>
      <c r="C19" s="1536" t="s">
        <v>62</v>
      </c>
      <c r="D19" s="1300">
        <v>2.67</v>
      </c>
      <c r="E19" s="1303">
        <v>2.1</v>
      </c>
      <c r="F19" s="1303">
        <v>1.7</v>
      </c>
      <c r="G19" s="1337">
        <v>2.8</v>
      </c>
      <c r="H19" s="1332">
        <v>4.2</v>
      </c>
      <c r="I19" s="324">
        <v>2.7</v>
      </c>
      <c r="J19" s="1172">
        <v>2.7</v>
      </c>
      <c r="K19" s="1537"/>
      <c r="L19" s="1538">
        <v>2.5299999999999998</v>
      </c>
      <c r="M19" s="1539">
        <v>4.5999999999999996</v>
      </c>
      <c r="N19" s="1539">
        <v>2.7</v>
      </c>
      <c r="O19" s="1552"/>
      <c r="P19" s="1540"/>
      <c r="Q19" s="1541"/>
      <c r="R19" s="1541"/>
      <c r="S19" s="2941">
        <v>3.63</v>
      </c>
      <c r="T19" s="3030">
        <v>3.3</v>
      </c>
      <c r="U19" s="3033">
        <v>3.87</v>
      </c>
      <c r="V19" s="3033">
        <v>3.63</v>
      </c>
      <c r="W19" s="3033">
        <v>3.1</v>
      </c>
      <c r="X19" s="3154">
        <v>3.43</v>
      </c>
      <c r="Y19" s="3033">
        <v>5.87</v>
      </c>
      <c r="Z19" s="3327" t="s">
        <v>336</v>
      </c>
      <c r="AA19" s="3033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</row>
    <row r="20" spans="1:76">
      <c r="A20" s="1199" t="s">
        <v>42</v>
      </c>
      <c r="B20" s="996"/>
      <c r="C20" s="1536" t="s">
        <v>43</v>
      </c>
      <c r="D20" s="1300">
        <v>2.77</v>
      </c>
      <c r="E20" s="1303">
        <v>1.9</v>
      </c>
      <c r="F20" s="1303">
        <v>2.5</v>
      </c>
      <c r="G20" s="1337">
        <v>2.2000000000000002</v>
      </c>
      <c r="H20" s="1332">
        <v>3.5</v>
      </c>
      <c r="I20" s="324">
        <v>2.25</v>
      </c>
      <c r="J20" s="1172">
        <v>2.25</v>
      </c>
      <c r="K20" s="1537"/>
      <c r="L20" s="1538">
        <v>2.5299999999999998</v>
      </c>
      <c r="M20" s="1539">
        <v>3.7</v>
      </c>
      <c r="N20" s="1539">
        <v>1.07</v>
      </c>
      <c r="O20" s="1552"/>
      <c r="P20" s="1540"/>
      <c r="Q20" s="1541"/>
      <c r="R20" s="1541"/>
      <c r="S20" s="2941">
        <v>4.2300000000000004</v>
      </c>
      <c r="T20" s="3030">
        <v>3.46</v>
      </c>
      <c r="U20" s="3033">
        <v>3.6</v>
      </c>
      <c r="V20" s="3033">
        <v>2.87</v>
      </c>
      <c r="W20" s="3033">
        <v>2.97</v>
      </c>
      <c r="X20" s="3154">
        <v>2.7</v>
      </c>
      <c r="Y20" s="3033">
        <v>6.07</v>
      </c>
      <c r="Z20" s="3327" t="s">
        <v>336</v>
      </c>
      <c r="AA20" s="3033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</row>
    <row r="21" spans="1:76" ht="15.75" thickBot="1">
      <c r="A21" s="1205" t="s">
        <v>42</v>
      </c>
      <c r="B21" s="997"/>
      <c r="C21" s="1542" t="s">
        <v>65</v>
      </c>
      <c r="D21" s="1309">
        <v>5.17</v>
      </c>
      <c r="E21" s="1312">
        <v>5</v>
      </c>
      <c r="F21" s="1312">
        <v>2.9</v>
      </c>
      <c r="G21" s="1339">
        <v>3.6</v>
      </c>
      <c r="H21" s="1333">
        <v>4.3</v>
      </c>
      <c r="I21" s="1543">
        <v>4</v>
      </c>
      <c r="J21" s="1175">
        <v>4</v>
      </c>
      <c r="K21" s="1544"/>
      <c r="L21" s="1545">
        <v>4.37</v>
      </c>
      <c r="M21" s="1546">
        <v>5.8</v>
      </c>
      <c r="N21" s="1546">
        <v>4.53</v>
      </c>
      <c r="O21" s="1555"/>
      <c r="P21" s="1547"/>
      <c r="Q21" s="1548"/>
      <c r="R21" s="1548"/>
      <c r="S21" s="2942">
        <v>7.9</v>
      </c>
      <c r="T21" s="3031">
        <v>8.1999999999999993</v>
      </c>
      <c r="U21" s="3034">
        <v>6.43</v>
      </c>
      <c r="V21" s="3034">
        <v>8.1300000000000008</v>
      </c>
      <c r="W21" s="3034">
        <v>8.07</v>
      </c>
      <c r="X21" s="3155">
        <v>8</v>
      </c>
      <c r="Y21" s="3034">
        <v>2.33</v>
      </c>
      <c r="Z21" s="3327" t="s">
        <v>336</v>
      </c>
      <c r="AA21" s="3034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</row>
    <row r="22" spans="1:76">
      <c r="A22" s="1023" t="s">
        <v>49</v>
      </c>
      <c r="B22" s="995">
        <f>COUNTA(C22:C30)</f>
        <v>9</v>
      </c>
      <c r="C22" s="1529" t="s">
        <v>59</v>
      </c>
      <c r="D22" s="1292">
        <v>4.17</v>
      </c>
      <c r="E22" s="1295">
        <v>3</v>
      </c>
      <c r="F22" s="1295">
        <v>2.1</v>
      </c>
      <c r="G22" s="1335">
        <v>2.2999999999999998</v>
      </c>
      <c r="H22" s="1331">
        <v>3.25</v>
      </c>
      <c r="I22" s="1530"/>
      <c r="J22" s="1169">
        <v>2.4329999999999998</v>
      </c>
      <c r="K22" s="1531">
        <v>2.0699999999999998</v>
      </c>
      <c r="L22" s="1532">
        <v>3.87</v>
      </c>
      <c r="M22" s="1549">
        <v>4.8</v>
      </c>
      <c r="N22" s="1533">
        <v>3.3</v>
      </c>
      <c r="O22" s="1551"/>
      <c r="P22" s="2216">
        <v>4.8</v>
      </c>
      <c r="Q22" s="1535">
        <v>4.5999999999999996</v>
      </c>
      <c r="R22" s="1535"/>
      <c r="S22" s="2940">
        <v>2.6</v>
      </c>
      <c r="T22" s="3029">
        <v>3.03</v>
      </c>
      <c r="U22" s="3032">
        <v>2.17</v>
      </c>
      <c r="V22" s="3032">
        <v>3.87</v>
      </c>
      <c r="W22" s="3032">
        <v>3.67</v>
      </c>
      <c r="X22" s="3153">
        <v>3.17</v>
      </c>
      <c r="Y22" s="3032">
        <v>5.3</v>
      </c>
      <c r="Z22" s="3326">
        <v>16.13</v>
      </c>
      <c r="AA22" s="303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</row>
    <row r="23" spans="1:76">
      <c r="A23" s="1199" t="s">
        <v>49</v>
      </c>
      <c r="B23" s="996"/>
      <c r="C23" s="1536" t="s">
        <v>61</v>
      </c>
      <c r="D23" s="1300">
        <v>3.13</v>
      </c>
      <c r="E23" s="1303">
        <v>1.8</v>
      </c>
      <c r="F23" s="1303">
        <v>1.4</v>
      </c>
      <c r="G23" s="1337">
        <v>2.2000000000000002</v>
      </c>
      <c r="H23" s="1332">
        <v>4.25</v>
      </c>
      <c r="I23" s="324"/>
      <c r="J23" s="1172">
        <v>2.2999999999999998</v>
      </c>
      <c r="K23" s="1537">
        <v>2.63</v>
      </c>
      <c r="L23" s="1538">
        <v>4.2699999999999996</v>
      </c>
      <c r="M23" s="1550">
        <v>5.7</v>
      </c>
      <c r="N23" s="1539">
        <v>2.7</v>
      </c>
      <c r="O23" s="1552"/>
      <c r="P23" s="2217">
        <v>4.3499999999999996</v>
      </c>
      <c r="Q23" s="1541">
        <v>3.5</v>
      </c>
      <c r="R23" s="1541"/>
      <c r="S23" s="2941">
        <v>2.36</v>
      </c>
      <c r="T23" s="3030">
        <v>3.2</v>
      </c>
      <c r="U23" s="3033">
        <v>3.6</v>
      </c>
      <c r="V23" s="3033">
        <v>3.17</v>
      </c>
      <c r="W23" s="3033">
        <v>2.7</v>
      </c>
      <c r="X23" s="3154">
        <v>4.37</v>
      </c>
      <c r="Y23" s="3033">
        <v>3.67</v>
      </c>
      <c r="Z23" s="3327">
        <v>13.67</v>
      </c>
      <c r="AA23" s="3033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</row>
    <row r="24" spans="1:76">
      <c r="A24" s="1199" t="s">
        <v>49</v>
      </c>
      <c r="B24" s="996"/>
      <c r="C24" s="1536" t="s">
        <v>52</v>
      </c>
      <c r="D24" s="1300">
        <v>3.27</v>
      </c>
      <c r="E24" s="1303">
        <v>2</v>
      </c>
      <c r="F24" s="1303">
        <v>1.5</v>
      </c>
      <c r="G24" s="1337">
        <v>2</v>
      </c>
      <c r="H24" s="1332">
        <v>3.65</v>
      </c>
      <c r="I24" s="324"/>
      <c r="J24" s="1172">
        <v>2.2330000000000001</v>
      </c>
      <c r="K24" s="1537">
        <v>2.0699999999999998</v>
      </c>
      <c r="L24" s="1538">
        <v>3.7</v>
      </c>
      <c r="M24" s="1550">
        <v>3.8</v>
      </c>
      <c r="N24" s="1539">
        <v>3.3</v>
      </c>
      <c r="O24" s="1552"/>
      <c r="P24" s="2217">
        <v>3.9</v>
      </c>
      <c r="Q24" s="1541">
        <v>4.03</v>
      </c>
      <c r="R24" s="1541"/>
      <c r="S24" s="2941">
        <v>3.09</v>
      </c>
      <c r="T24" s="3030">
        <v>3.83</v>
      </c>
      <c r="U24" s="3033">
        <v>2.93</v>
      </c>
      <c r="V24" s="3033">
        <v>3.43</v>
      </c>
      <c r="W24" s="3033">
        <v>2.93</v>
      </c>
      <c r="X24" s="3154">
        <v>2.7</v>
      </c>
      <c r="Y24" s="3033">
        <v>2.73</v>
      </c>
      <c r="Z24" s="3327">
        <v>24</v>
      </c>
      <c r="AA24" s="3033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</row>
    <row r="25" spans="1:76">
      <c r="A25" s="1199" t="s">
        <v>49</v>
      </c>
      <c r="B25" s="996"/>
      <c r="C25" s="1536" t="s">
        <v>193</v>
      </c>
      <c r="D25" s="1300">
        <v>3.77</v>
      </c>
      <c r="E25" s="1303">
        <v>3.1</v>
      </c>
      <c r="F25" s="1303">
        <v>2.8</v>
      </c>
      <c r="G25" s="1337">
        <v>2.4</v>
      </c>
      <c r="H25" s="1332">
        <v>3.8</v>
      </c>
      <c r="I25" s="324"/>
      <c r="J25" s="1172">
        <v>3.0329999999999999</v>
      </c>
      <c r="K25" s="1537">
        <v>4.4000000000000004</v>
      </c>
      <c r="L25" s="1538">
        <v>4.7</v>
      </c>
      <c r="M25" s="1550">
        <v>4.5</v>
      </c>
      <c r="N25" s="1539">
        <v>4.0999999999999996</v>
      </c>
      <c r="O25" s="1552"/>
      <c r="P25" s="2217">
        <v>5.5</v>
      </c>
      <c r="Q25" s="1541">
        <v>4.3</v>
      </c>
      <c r="R25" s="1541"/>
      <c r="S25" s="2941">
        <v>4.49</v>
      </c>
      <c r="T25" s="3030">
        <v>5.73</v>
      </c>
      <c r="U25" s="3033">
        <v>4.7300000000000004</v>
      </c>
      <c r="V25" s="3033">
        <v>3.53</v>
      </c>
      <c r="W25" s="3033">
        <v>4.63</v>
      </c>
      <c r="X25" s="3154">
        <v>5.57</v>
      </c>
      <c r="Y25" s="3033">
        <v>19.57</v>
      </c>
      <c r="Z25" s="3327">
        <v>20.67</v>
      </c>
      <c r="AA25" s="3033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</row>
    <row r="26" spans="1:76">
      <c r="A26" s="1199" t="s">
        <v>49</v>
      </c>
      <c r="B26" s="996"/>
      <c r="C26" s="1536" t="s">
        <v>50</v>
      </c>
      <c r="D26" s="1300">
        <v>3.5</v>
      </c>
      <c r="E26" s="1303">
        <v>2.2999999999999998</v>
      </c>
      <c r="F26" s="1303">
        <v>1.8</v>
      </c>
      <c r="G26" s="1337">
        <v>2.8</v>
      </c>
      <c r="H26" s="1332">
        <v>6.1</v>
      </c>
      <c r="I26" s="324"/>
      <c r="J26" s="1172">
        <v>2.4329999999999998</v>
      </c>
      <c r="K26" s="1537">
        <v>2.63</v>
      </c>
      <c r="L26" s="1538">
        <v>3.77</v>
      </c>
      <c r="M26" s="1550">
        <v>4.3</v>
      </c>
      <c r="N26" s="1539">
        <v>4.43</v>
      </c>
      <c r="O26" s="1552"/>
      <c r="P26" s="2217">
        <v>5</v>
      </c>
      <c r="Q26" s="1541">
        <v>3.57</v>
      </c>
      <c r="R26" s="1541"/>
      <c r="S26" s="2941">
        <v>2.7</v>
      </c>
      <c r="T26" s="3030">
        <v>3.7</v>
      </c>
      <c r="U26" s="3033">
        <v>3.47</v>
      </c>
      <c r="V26" s="3033">
        <v>3.6</v>
      </c>
      <c r="W26" s="3033">
        <v>3.43</v>
      </c>
      <c r="X26" s="3154">
        <v>3.3</v>
      </c>
      <c r="Y26" s="3033">
        <v>3.23</v>
      </c>
      <c r="Z26" s="3327">
        <v>17.329999999999998</v>
      </c>
      <c r="AA26" s="3033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</row>
    <row r="27" spans="1:76">
      <c r="A27" s="1199" t="s">
        <v>49</v>
      </c>
      <c r="B27" s="996"/>
      <c r="C27" s="1536" t="s">
        <v>57</v>
      </c>
      <c r="D27" s="1300">
        <v>4.2</v>
      </c>
      <c r="E27" s="1303">
        <v>2.9</v>
      </c>
      <c r="F27" s="1303">
        <v>3.8</v>
      </c>
      <c r="G27" s="1337">
        <v>2.1</v>
      </c>
      <c r="H27" s="1332">
        <v>3.2</v>
      </c>
      <c r="I27" s="324"/>
      <c r="J27" s="1172">
        <v>2.0670000000000002</v>
      </c>
      <c r="K27" s="1537">
        <v>3.6</v>
      </c>
      <c r="L27" s="1538">
        <v>5.13</v>
      </c>
      <c r="M27" s="1550">
        <v>3.8</v>
      </c>
      <c r="N27" s="1539">
        <v>4.47</v>
      </c>
      <c r="O27" s="1552"/>
      <c r="P27" s="2217">
        <v>3.4</v>
      </c>
      <c r="Q27" s="1541">
        <v>4.87</v>
      </c>
      <c r="R27" s="1541"/>
      <c r="S27" s="2941">
        <v>2.4</v>
      </c>
      <c r="T27" s="3030">
        <v>3.67</v>
      </c>
      <c r="U27" s="3033">
        <v>2.77</v>
      </c>
      <c r="V27" s="3033">
        <v>4.03</v>
      </c>
      <c r="W27" s="3033">
        <v>3.07</v>
      </c>
      <c r="X27" s="3154">
        <v>2.63</v>
      </c>
      <c r="Y27" s="3033">
        <v>2.87</v>
      </c>
      <c r="Z27" s="3327">
        <v>20</v>
      </c>
      <c r="AA27" s="3033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1"/>
      <c r="BX27" s="1"/>
    </row>
    <row r="28" spans="1:76">
      <c r="A28" s="1199" t="s">
        <v>49</v>
      </c>
      <c r="B28" s="996"/>
      <c r="C28" s="1536" t="s">
        <v>58</v>
      </c>
      <c r="D28" s="1300">
        <v>4.17</v>
      </c>
      <c r="E28" s="1303">
        <v>3.2</v>
      </c>
      <c r="F28" s="1303">
        <v>3.1</v>
      </c>
      <c r="G28" s="1337">
        <v>3</v>
      </c>
      <c r="H28" s="1332">
        <v>5.2</v>
      </c>
      <c r="I28" s="324"/>
      <c r="J28" s="1172">
        <v>3.3330000000000002</v>
      </c>
      <c r="K28" s="1537">
        <v>4.63</v>
      </c>
      <c r="L28" s="1538">
        <v>5.57</v>
      </c>
      <c r="M28" s="1550">
        <v>5.5</v>
      </c>
      <c r="N28" s="1539">
        <v>4.8</v>
      </c>
      <c r="O28" s="1552"/>
      <c r="P28" s="2217">
        <v>5.55</v>
      </c>
      <c r="Q28" s="1541">
        <v>4.2</v>
      </c>
      <c r="R28" s="1541"/>
      <c r="S28" s="2941">
        <v>4.9000000000000004</v>
      </c>
      <c r="T28" s="3030">
        <v>7.3</v>
      </c>
      <c r="U28" s="3033">
        <v>5.83</v>
      </c>
      <c r="V28" s="3033">
        <v>3.47</v>
      </c>
      <c r="W28" s="3033">
        <v>5.07</v>
      </c>
      <c r="X28" s="3154">
        <v>6.5</v>
      </c>
      <c r="Y28" s="3033">
        <v>5.7</v>
      </c>
      <c r="Z28" s="3327">
        <v>20</v>
      </c>
      <c r="AA28" s="3033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1"/>
      <c r="BX28" s="1"/>
    </row>
    <row r="29" spans="1:76" ht="15.75" customHeight="1">
      <c r="A29" s="1199" t="s">
        <v>49</v>
      </c>
      <c r="B29" s="996"/>
      <c r="C29" s="1536" t="s">
        <v>194</v>
      </c>
      <c r="D29" s="1300">
        <v>4.97</v>
      </c>
      <c r="E29" s="1303">
        <v>3.6</v>
      </c>
      <c r="F29" s="1303">
        <v>2.8</v>
      </c>
      <c r="G29" s="1337">
        <v>3.6</v>
      </c>
      <c r="H29" s="1332">
        <v>4.8499999999999996</v>
      </c>
      <c r="I29" s="324"/>
      <c r="J29" s="1172">
        <v>2.867</v>
      </c>
      <c r="K29" s="1537">
        <v>3.7</v>
      </c>
      <c r="L29" s="1538">
        <v>5.37</v>
      </c>
      <c r="M29" s="1550" t="s">
        <v>278</v>
      </c>
      <c r="N29" s="1539">
        <v>4.63</v>
      </c>
      <c r="O29" s="1552"/>
      <c r="P29" s="2217">
        <v>5.8</v>
      </c>
      <c r="Q29" s="1541">
        <v>7.37</v>
      </c>
      <c r="R29" s="1541"/>
      <c r="S29" s="2941">
        <v>3.46</v>
      </c>
      <c r="T29" s="3030">
        <v>4.2699999999999996</v>
      </c>
      <c r="U29" s="3033">
        <v>3.5</v>
      </c>
      <c r="V29" s="3033">
        <v>3.93</v>
      </c>
      <c r="W29" s="3033">
        <v>4.87</v>
      </c>
      <c r="X29" s="3154">
        <v>4.87</v>
      </c>
      <c r="Y29" s="3033">
        <v>18.77</v>
      </c>
      <c r="Z29" s="3327">
        <v>20.329999999999998</v>
      </c>
      <c r="AA29" s="3033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1"/>
      <c r="BX29" s="1"/>
    </row>
    <row r="30" spans="1:76" ht="15.75" thickBot="1">
      <c r="A30" s="1205" t="s">
        <v>49</v>
      </c>
      <c r="B30" s="997"/>
      <c r="C30" s="1542" t="s">
        <v>60</v>
      </c>
      <c r="D30" s="1309">
        <v>4.57</v>
      </c>
      <c r="E30" s="1312">
        <v>3</v>
      </c>
      <c r="F30" s="1312">
        <v>3.7</v>
      </c>
      <c r="G30" s="1339">
        <v>2.6</v>
      </c>
      <c r="H30" s="1333">
        <v>4.1500000000000004</v>
      </c>
      <c r="I30" s="1543"/>
      <c r="J30" s="1175">
        <v>2.4</v>
      </c>
      <c r="K30" s="1544">
        <v>3.73</v>
      </c>
      <c r="L30" s="1545">
        <v>4.2</v>
      </c>
      <c r="M30" s="1053">
        <v>3.8</v>
      </c>
      <c r="N30" s="1546">
        <v>3.5</v>
      </c>
      <c r="O30" s="1555"/>
      <c r="P30" s="2218">
        <v>4.2</v>
      </c>
      <c r="Q30" s="1548">
        <v>4.57</v>
      </c>
      <c r="R30" s="1548"/>
      <c r="S30" s="2942">
        <v>4.16</v>
      </c>
      <c r="T30" s="3031">
        <v>4.4000000000000004</v>
      </c>
      <c r="U30" s="3034">
        <v>3.93</v>
      </c>
      <c r="V30" s="3034">
        <v>4.5</v>
      </c>
      <c r="W30" s="3034">
        <v>2.8</v>
      </c>
      <c r="X30" s="3155">
        <v>3</v>
      </c>
      <c r="Y30" s="3034">
        <v>2.63</v>
      </c>
      <c r="Z30" s="3327">
        <v>11.67</v>
      </c>
      <c r="AA30" s="3034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1"/>
      <c r="BX30" s="1"/>
    </row>
    <row r="31" spans="1:76">
      <c r="A31" s="1023" t="s">
        <v>40</v>
      </c>
      <c r="B31" s="995">
        <f>COUNTA(C31:C40)</f>
        <v>10</v>
      </c>
      <c r="C31" s="1529" t="s">
        <v>41</v>
      </c>
      <c r="D31" s="1292">
        <v>4.4000000000000004</v>
      </c>
      <c r="E31" s="1292">
        <v>3.3</v>
      </c>
      <c r="F31" s="1292">
        <v>3</v>
      </c>
      <c r="G31" s="1293">
        <v>2.6</v>
      </c>
      <c r="H31" s="1294">
        <v>3.05</v>
      </c>
      <c r="I31" s="1530"/>
      <c r="J31" s="1115">
        <v>3.5670000000000002</v>
      </c>
      <c r="K31" s="1531">
        <v>4.0999999999999996</v>
      </c>
      <c r="L31" s="1532">
        <v>4.2</v>
      </c>
      <c r="M31" s="1533">
        <v>3.7</v>
      </c>
      <c r="N31" s="1533">
        <v>4.13</v>
      </c>
      <c r="O31" s="1551"/>
      <c r="P31" s="1534">
        <v>5.2</v>
      </c>
      <c r="Q31" s="1535">
        <v>5.5</v>
      </c>
      <c r="R31" s="1535"/>
      <c r="S31" s="2940">
        <v>3.43</v>
      </c>
      <c r="T31" s="3029">
        <v>4.9000000000000004</v>
      </c>
      <c r="U31" s="3032">
        <v>3.47</v>
      </c>
      <c r="V31" s="3032">
        <v>3.03</v>
      </c>
      <c r="W31" s="3032">
        <v>3.47</v>
      </c>
      <c r="X31" s="3153">
        <v>4.37</v>
      </c>
      <c r="Y31" s="3032">
        <v>3.65</v>
      </c>
      <c r="Z31" s="3326" t="s">
        <v>336</v>
      </c>
      <c r="AA31" s="303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1"/>
      <c r="BX31" s="1"/>
    </row>
    <row r="32" spans="1:76">
      <c r="A32" s="1199" t="s">
        <v>40</v>
      </c>
      <c r="B32" s="996"/>
      <c r="C32" s="1536" t="s">
        <v>48</v>
      </c>
      <c r="D32" s="1300">
        <v>4.45</v>
      </c>
      <c r="E32" s="1300">
        <v>3.6</v>
      </c>
      <c r="F32" s="1300">
        <v>3.3</v>
      </c>
      <c r="G32" s="1301">
        <v>3.5</v>
      </c>
      <c r="H32" s="1302">
        <v>4.5</v>
      </c>
      <c r="I32" s="324"/>
      <c r="J32" s="1004">
        <v>3.9</v>
      </c>
      <c r="K32" s="1537">
        <v>4.3</v>
      </c>
      <c r="L32" s="1538">
        <v>5.4</v>
      </c>
      <c r="M32" s="1539">
        <v>4.5999999999999996</v>
      </c>
      <c r="N32" s="1539">
        <v>5.9</v>
      </c>
      <c r="O32" s="1552"/>
      <c r="P32" s="1540">
        <v>6.6</v>
      </c>
      <c r="Q32" s="1541">
        <v>3.5</v>
      </c>
      <c r="R32" s="1541"/>
      <c r="S32" s="2941">
        <v>5.03</v>
      </c>
      <c r="T32" s="3030">
        <v>5.53</v>
      </c>
      <c r="U32" s="3033">
        <v>4.7300000000000004</v>
      </c>
      <c r="V32" s="3033">
        <v>4</v>
      </c>
      <c r="W32" s="3033">
        <v>6.5</v>
      </c>
      <c r="X32" s="3154">
        <v>3.7</v>
      </c>
      <c r="Y32" s="3033">
        <v>6.85</v>
      </c>
      <c r="Z32" s="3327" t="s">
        <v>336</v>
      </c>
      <c r="AA32" s="3033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1"/>
      <c r="BX32" s="1"/>
    </row>
    <row r="33" spans="1:105">
      <c r="A33" s="1199" t="s">
        <v>40</v>
      </c>
      <c r="B33" s="996"/>
      <c r="C33" s="1553" t="s">
        <v>46</v>
      </c>
      <c r="D33" s="1300">
        <v>4.25</v>
      </c>
      <c r="E33" s="1300">
        <v>3.8</v>
      </c>
      <c r="F33" s="1300">
        <v>2.7</v>
      </c>
      <c r="G33" s="1301">
        <v>3.7</v>
      </c>
      <c r="H33" s="1302">
        <v>3.4</v>
      </c>
      <c r="I33" s="324"/>
      <c r="J33" s="1004">
        <v>4.4669999999999996</v>
      </c>
      <c r="K33" s="1537">
        <v>4.0999999999999996</v>
      </c>
      <c r="L33" s="1538">
        <v>4.0999999999999996</v>
      </c>
      <c r="M33" s="1539">
        <v>4</v>
      </c>
      <c r="N33" s="1539">
        <v>4.2</v>
      </c>
      <c r="O33" s="1552"/>
      <c r="P33" s="1540">
        <v>5.7</v>
      </c>
      <c r="Q33" s="1541">
        <v>4.9000000000000004</v>
      </c>
      <c r="R33" s="1541"/>
      <c r="S33" s="2941">
        <v>5.16</v>
      </c>
      <c r="T33" s="3030">
        <v>5.43</v>
      </c>
      <c r="U33" s="3033">
        <v>4.7300000000000004</v>
      </c>
      <c r="V33" s="3033">
        <v>4.0999999999999996</v>
      </c>
      <c r="W33" s="3033">
        <v>6.67</v>
      </c>
      <c r="X33" s="3154">
        <v>5.5</v>
      </c>
      <c r="Y33" s="3033">
        <v>6.25</v>
      </c>
      <c r="Z33" s="3327" t="s">
        <v>336</v>
      </c>
      <c r="AA33" s="3033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1"/>
      <c r="BX33" s="1"/>
    </row>
    <row r="34" spans="1:105">
      <c r="A34" s="1199" t="s">
        <v>40</v>
      </c>
      <c r="B34" s="996"/>
      <c r="C34" s="1536" t="s">
        <v>45</v>
      </c>
      <c r="D34" s="1300">
        <v>5.0999999999999996</v>
      </c>
      <c r="E34" s="1300">
        <v>3</v>
      </c>
      <c r="F34" s="1300">
        <v>4.0999999999999996</v>
      </c>
      <c r="G34" s="1301">
        <v>2.9</v>
      </c>
      <c r="H34" s="1302">
        <v>3.15</v>
      </c>
      <c r="I34" s="324"/>
      <c r="J34" s="1004">
        <v>4.2670000000000003</v>
      </c>
      <c r="K34" s="1537">
        <v>3.7</v>
      </c>
      <c r="L34" s="1538">
        <v>4.9000000000000004</v>
      </c>
      <c r="M34" s="1539">
        <v>4.8</v>
      </c>
      <c r="N34" s="1539">
        <v>5.56</v>
      </c>
      <c r="O34" s="1552"/>
      <c r="P34" s="1540">
        <v>5.4</v>
      </c>
      <c r="Q34" s="1541">
        <v>4.2</v>
      </c>
      <c r="R34" s="1541"/>
      <c r="S34" s="2941">
        <v>6.26</v>
      </c>
      <c r="T34" s="3030">
        <v>6.87</v>
      </c>
      <c r="U34" s="3033">
        <v>5.73</v>
      </c>
      <c r="V34" s="3033">
        <v>6.2</v>
      </c>
      <c r="W34" s="3033">
        <v>6.97</v>
      </c>
      <c r="X34" s="3154">
        <v>6.43</v>
      </c>
      <c r="Y34" s="3033">
        <v>6.8</v>
      </c>
      <c r="Z34" s="3327" t="s">
        <v>336</v>
      </c>
      <c r="AA34" s="3033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1"/>
      <c r="BX34" s="1"/>
    </row>
    <row r="35" spans="1:105">
      <c r="A35" s="1199" t="s">
        <v>40</v>
      </c>
      <c r="B35" s="996"/>
      <c r="C35" s="1553" t="s">
        <v>55</v>
      </c>
      <c r="D35" s="1300">
        <v>3.9</v>
      </c>
      <c r="E35" s="1300">
        <v>3.3</v>
      </c>
      <c r="F35" s="1300">
        <v>3.2</v>
      </c>
      <c r="G35" s="1301">
        <v>3.5</v>
      </c>
      <c r="H35" s="1302">
        <v>4.13</v>
      </c>
      <c r="I35" s="324"/>
      <c r="J35" s="1004">
        <v>3.9</v>
      </c>
      <c r="K35" s="1537">
        <v>4.0999999999999996</v>
      </c>
      <c r="L35" s="1538">
        <v>3.9</v>
      </c>
      <c r="M35" s="1539">
        <v>3.6</v>
      </c>
      <c r="N35" s="1539">
        <v>3.76</v>
      </c>
      <c r="O35" s="1552"/>
      <c r="P35" s="1540">
        <v>6.2</v>
      </c>
      <c r="Q35" s="1541">
        <v>4.3499999999999996</v>
      </c>
      <c r="R35" s="1541"/>
      <c r="S35" s="2941">
        <v>4.7300000000000004</v>
      </c>
      <c r="T35" s="3030">
        <v>4.7</v>
      </c>
      <c r="U35" s="3033">
        <v>4.2699999999999996</v>
      </c>
      <c r="V35" s="3033">
        <v>3.17</v>
      </c>
      <c r="W35" s="3033">
        <v>6.03</v>
      </c>
      <c r="X35" s="3154">
        <v>5.73</v>
      </c>
      <c r="Y35" s="3033">
        <v>5.4</v>
      </c>
      <c r="Z35" s="3327" t="s">
        <v>336</v>
      </c>
      <c r="AA35" s="3033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1"/>
      <c r="BX35" s="1"/>
    </row>
    <row r="36" spans="1:105">
      <c r="A36" s="1199" t="s">
        <v>40</v>
      </c>
      <c r="B36" s="996"/>
      <c r="C36" s="1553" t="s">
        <v>54</v>
      </c>
      <c r="D36" s="1300">
        <v>4.5999999999999996</v>
      </c>
      <c r="E36" s="1300">
        <v>3.1</v>
      </c>
      <c r="F36" s="1300">
        <v>3.3</v>
      </c>
      <c r="G36" s="1301">
        <v>3.8</v>
      </c>
      <c r="H36" s="1302">
        <v>3.6</v>
      </c>
      <c r="I36" s="324"/>
      <c r="J36" s="1004">
        <v>4.5670000000000002</v>
      </c>
      <c r="K36" s="1537">
        <v>4.2</v>
      </c>
      <c r="L36" s="1538">
        <v>5.2</v>
      </c>
      <c r="M36" s="1539">
        <v>4.7</v>
      </c>
      <c r="N36" s="1539">
        <v>4.83</v>
      </c>
      <c r="O36" s="1552"/>
      <c r="P36" s="1540">
        <v>5.8</v>
      </c>
      <c r="Q36" s="1541">
        <v>4.8</v>
      </c>
      <c r="R36" s="1541"/>
      <c r="S36" s="2941">
        <v>4.5</v>
      </c>
      <c r="T36" s="3030">
        <v>6.17</v>
      </c>
      <c r="U36" s="3033">
        <v>5.63</v>
      </c>
      <c r="V36" s="3033">
        <v>4.63</v>
      </c>
      <c r="W36" s="3033">
        <v>5.07</v>
      </c>
      <c r="X36" s="3154">
        <v>5.67</v>
      </c>
      <c r="Y36" s="3033">
        <v>5</v>
      </c>
      <c r="Z36" s="3327" t="s">
        <v>336</v>
      </c>
      <c r="AA36" s="3033"/>
      <c r="AB36" s="72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1"/>
      <c r="BX36" s="1"/>
    </row>
    <row r="37" spans="1:105">
      <c r="A37" s="1199" t="s">
        <v>40</v>
      </c>
      <c r="B37" s="996"/>
      <c r="C37" s="1553" t="s">
        <v>56</v>
      </c>
      <c r="D37" s="1300">
        <v>4</v>
      </c>
      <c r="E37" s="1300">
        <v>2.9</v>
      </c>
      <c r="F37" s="1300">
        <v>3.7</v>
      </c>
      <c r="G37" s="1301">
        <v>2.5</v>
      </c>
      <c r="H37" s="1302">
        <v>3</v>
      </c>
      <c r="I37" s="324"/>
      <c r="J37" s="1004">
        <v>3.3</v>
      </c>
      <c r="K37" s="1537">
        <v>4.0999999999999996</v>
      </c>
      <c r="L37" s="1538">
        <v>4.8</v>
      </c>
      <c r="M37" s="1539">
        <v>4.4000000000000004</v>
      </c>
      <c r="N37" s="1539">
        <v>4.96</v>
      </c>
      <c r="O37" s="1552"/>
      <c r="P37" s="1540">
        <v>6.3</v>
      </c>
      <c r="Q37" s="1541">
        <v>5.65</v>
      </c>
      <c r="R37" s="1541"/>
      <c r="S37" s="2941">
        <v>5.96</v>
      </c>
      <c r="T37" s="3030">
        <v>5.8</v>
      </c>
      <c r="U37" s="3033">
        <v>5.43</v>
      </c>
      <c r="V37" s="3033">
        <v>5.7</v>
      </c>
      <c r="W37" s="3033">
        <v>5.8</v>
      </c>
      <c r="X37" s="3154">
        <v>6.27</v>
      </c>
      <c r="Y37" s="3033">
        <v>5.45</v>
      </c>
      <c r="Z37" s="3327" t="s">
        <v>336</v>
      </c>
      <c r="AA37" s="3033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1"/>
      <c r="BX37" s="1"/>
    </row>
    <row r="38" spans="1:105">
      <c r="A38" s="1199" t="s">
        <v>40</v>
      </c>
      <c r="B38" s="996"/>
      <c r="C38" s="1553" t="s">
        <v>44</v>
      </c>
      <c r="D38" s="1300">
        <v>4.7</v>
      </c>
      <c r="E38" s="1300">
        <v>3.6</v>
      </c>
      <c r="F38" s="1300">
        <v>4.4000000000000004</v>
      </c>
      <c r="G38" s="1301">
        <v>4.0999999999999996</v>
      </c>
      <c r="H38" s="1302">
        <v>3</v>
      </c>
      <c r="I38" s="324"/>
      <c r="J38" s="1004">
        <v>3.9670000000000001</v>
      </c>
      <c r="K38" s="1537">
        <v>3.9</v>
      </c>
      <c r="L38" s="1538">
        <v>5.3</v>
      </c>
      <c r="M38" s="1539">
        <v>6.2</v>
      </c>
      <c r="N38" s="1539">
        <v>5.3</v>
      </c>
      <c r="O38" s="1552"/>
      <c r="P38" s="1540">
        <v>4.8</v>
      </c>
      <c r="Q38" s="1541">
        <v>5.2</v>
      </c>
      <c r="R38" s="1541"/>
      <c r="S38" s="2941">
        <v>5.5</v>
      </c>
      <c r="T38" s="3030">
        <v>4.57</v>
      </c>
      <c r="U38" s="3033">
        <v>5.47</v>
      </c>
      <c r="V38" s="3033">
        <v>6</v>
      </c>
      <c r="W38" s="3033">
        <v>7.47</v>
      </c>
      <c r="X38" s="3154">
        <v>5.3</v>
      </c>
      <c r="Y38" s="3033">
        <v>5.75</v>
      </c>
      <c r="Z38" s="3327" t="s">
        <v>336</v>
      </c>
      <c r="AA38" s="3033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1"/>
      <c r="BX38" s="1"/>
    </row>
    <row r="39" spans="1:105">
      <c r="A39" s="1199" t="s">
        <v>40</v>
      </c>
      <c r="B39" s="996"/>
      <c r="C39" s="1553" t="s">
        <v>51</v>
      </c>
      <c r="D39" s="1300">
        <v>4.05</v>
      </c>
      <c r="E39" s="1300">
        <v>3.2</v>
      </c>
      <c r="F39" s="1300">
        <v>2.9</v>
      </c>
      <c r="G39" s="1301">
        <v>4.0999999999999996</v>
      </c>
      <c r="H39" s="1302">
        <v>4.5999999999999996</v>
      </c>
      <c r="I39" s="324"/>
      <c r="J39" s="1004">
        <v>4.3330000000000002</v>
      </c>
      <c r="K39" s="1537">
        <v>4.0999999999999996</v>
      </c>
      <c r="L39" s="1538">
        <v>4.9000000000000004</v>
      </c>
      <c r="M39" s="1539">
        <v>3.9</v>
      </c>
      <c r="N39" s="1539">
        <v>4.8</v>
      </c>
      <c r="O39" s="1552"/>
      <c r="P39" s="1540">
        <v>5.4</v>
      </c>
      <c r="Q39" s="1541">
        <v>4.5</v>
      </c>
      <c r="R39" s="1541"/>
      <c r="S39" s="2941">
        <v>5.33</v>
      </c>
      <c r="T39" s="3030">
        <v>5.7</v>
      </c>
      <c r="U39" s="3033">
        <v>4.93</v>
      </c>
      <c r="V39" s="3033">
        <v>6.33</v>
      </c>
      <c r="W39" s="3033">
        <v>5.9</v>
      </c>
      <c r="X39" s="3154">
        <v>5.13</v>
      </c>
      <c r="Y39" s="3033">
        <v>5.15</v>
      </c>
      <c r="Z39" s="3327" t="s">
        <v>336</v>
      </c>
      <c r="AA39" s="3033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1"/>
      <c r="BX39" s="1"/>
    </row>
    <row r="40" spans="1:105" ht="15.75" thickBot="1">
      <c r="A40" s="1205" t="s">
        <v>40</v>
      </c>
      <c r="B40" s="997"/>
      <c r="C40" s="1554" t="s">
        <v>47</v>
      </c>
      <c r="D40" s="1309">
        <v>4.9000000000000004</v>
      </c>
      <c r="E40" s="1309">
        <v>3</v>
      </c>
      <c r="F40" s="1309">
        <v>2.9</v>
      </c>
      <c r="G40" s="1310">
        <v>3</v>
      </c>
      <c r="H40" s="1311">
        <v>5.93</v>
      </c>
      <c r="I40" s="1543"/>
      <c r="J40" s="1148">
        <v>4.4000000000000004</v>
      </c>
      <c r="K40" s="1544">
        <v>4.5999999999999996</v>
      </c>
      <c r="L40" s="1545">
        <v>5.0999999999999996</v>
      </c>
      <c r="M40" s="1546">
        <v>4.5999999999999996</v>
      </c>
      <c r="N40" s="1546">
        <v>5.63</v>
      </c>
      <c r="O40" s="1555"/>
      <c r="P40" s="1547">
        <v>5.2</v>
      </c>
      <c r="Q40" s="1548">
        <v>4.0999999999999996</v>
      </c>
      <c r="R40" s="1548"/>
      <c r="S40" s="2942">
        <v>4.9000000000000004</v>
      </c>
      <c r="T40" s="3031">
        <v>4.47</v>
      </c>
      <c r="U40" s="3034">
        <v>5.5</v>
      </c>
      <c r="V40" s="3034">
        <v>5.33</v>
      </c>
      <c r="W40" s="3034">
        <v>6.13</v>
      </c>
      <c r="X40" s="3155">
        <v>5.3</v>
      </c>
      <c r="Y40" s="3034">
        <v>5.0999999999999996</v>
      </c>
      <c r="Z40" s="3328" t="s">
        <v>336</v>
      </c>
      <c r="AA40" s="3034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1"/>
      <c r="BX40" s="1"/>
    </row>
    <row r="41" spans="1:105" s="4" customFormat="1">
      <c r="A41" s="114"/>
      <c r="B41" s="114"/>
      <c r="C41" s="775" t="s">
        <v>285</v>
      </c>
      <c r="D41" s="1025">
        <f>COUNTIF(D15:D40,"&lt;=2")</f>
        <v>0</v>
      </c>
      <c r="E41" s="1025">
        <f t="shared" ref="E41:S41" si="0">COUNTIF(E15:E40,"&lt;=2")</f>
        <v>3</v>
      </c>
      <c r="F41" s="1025">
        <f t="shared" si="0"/>
        <v>6</v>
      </c>
      <c r="G41" s="1025">
        <f t="shared" si="0"/>
        <v>2</v>
      </c>
      <c r="H41" s="1025">
        <f t="shared" si="0"/>
        <v>0</v>
      </c>
      <c r="I41" s="1025">
        <f t="shared" si="0"/>
        <v>0</v>
      </c>
      <c r="J41" s="1025">
        <f t="shared" si="0"/>
        <v>0</v>
      </c>
      <c r="K41" s="1025">
        <f t="shared" si="0"/>
        <v>0</v>
      </c>
      <c r="L41" s="1025">
        <f t="shared" si="0"/>
        <v>0</v>
      </c>
      <c r="M41" s="1025">
        <f t="shared" si="0"/>
        <v>0</v>
      </c>
      <c r="N41" s="1025">
        <f t="shared" si="0"/>
        <v>1</v>
      </c>
      <c r="O41" s="1025">
        <f t="shared" si="0"/>
        <v>0</v>
      </c>
      <c r="P41" s="1025">
        <f t="shared" si="0"/>
        <v>0</v>
      </c>
      <c r="Q41" s="1025">
        <f t="shared" si="0"/>
        <v>0</v>
      </c>
      <c r="R41" s="1025">
        <f t="shared" si="0"/>
        <v>0</v>
      </c>
      <c r="S41" s="1025">
        <f t="shared" si="0"/>
        <v>0</v>
      </c>
      <c r="T41" s="2946">
        <f t="shared" ref="T41:Y41" si="1">COUNTIF(T15:T40,"&lt;=2")</f>
        <v>0</v>
      </c>
      <c r="U41" s="2946">
        <f t="shared" si="1"/>
        <v>0</v>
      </c>
      <c r="V41" s="2946">
        <f t="shared" si="1"/>
        <v>0</v>
      </c>
      <c r="W41" s="2946">
        <f t="shared" si="1"/>
        <v>0</v>
      </c>
      <c r="X41" s="2946">
        <f t="shared" si="1"/>
        <v>0</v>
      </c>
      <c r="Y41" s="2946">
        <f t="shared" si="1"/>
        <v>0</v>
      </c>
      <c r="Z41" s="2946">
        <f t="shared" ref="Z41:AA41" si="2">COUNTIF(Z15:Z40,"&lt;=2")</f>
        <v>0</v>
      </c>
      <c r="AA41" s="2946">
        <f t="shared" si="2"/>
        <v>0</v>
      </c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</row>
    <row r="42" spans="1:105" s="4" customFormat="1">
      <c r="A42" s="114"/>
      <c r="B42" s="114"/>
      <c r="C42" s="775" t="s">
        <v>287</v>
      </c>
      <c r="D42" s="1027">
        <f>COUNT(D15:D40)</f>
        <v>26</v>
      </c>
      <c r="E42" s="1027">
        <f t="shared" ref="E42:S42" si="3">COUNT(E15:E40)</f>
        <v>26</v>
      </c>
      <c r="F42" s="1027">
        <f t="shared" si="3"/>
        <v>26</v>
      </c>
      <c r="G42" s="1027">
        <f t="shared" si="3"/>
        <v>26</v>
      </c>
      <c r="H42" s="1027">
        <f t="shared" si="3"/>
        <v>26</v>
      </c>
      <c r="I42" s="1027">
        <f t="shared" si="3"/>
        <v>7</v>
      </c>
      <c r="J42" s="1027">
        <f t="shared" si="3"/>
        <v>26</v>
      </c>
      <c r="K42" s="1027">
        <f t="shared" si="3"/>
        <v>19</v>
      </c>
      <c r="L42" s="1027">
        <f t="shared" si="3"/>
        <v>25</v>
      </c>
      <c r="M42" s="1027">
        <f t="shared" si="3"/>
        <v>25</v>
      </c>
      <c r="N42" s="1027">
        <f t="shared" si="3"/>
        <v>26</v>
      </c>
      <c r="O42" s="1027">
        <f t="shared" si="3"/>
        <v>0</v>
      </c>
      <c r="P42" s="1027">
        <f t="shared" si="3"/>
        <v>19</v>
      </c>
      <c r="Q42" s="1027">
        <f t="shared" si="3"/>
        <v>19</v>
      </c>
      <c r="R42" s="1027">
        <f t="shared" si="3"/>
        <v>0</v>
      </c>
      <c r="S42" s="1027">
        <f t="shared" si="3"/>
        <v>26</v>
      </c>
      <c r="T42" s="2947">
        <f t="shared" ref="T42:Y42" si="4">COUNT(T15:T40)</f>
        <v>26</v>
      </c>
      <c r="U42" s="2947">
        <f t="shared" si="4"/>
        <v>25</v>
      </c>
      <c r="V42" s="2947">
        <f t="shared" si="4"/>
        <v>26</v>
      </c>
      <c r="W42" s="2947">
        <f t="shared" si="4"/>
        <v>26</v>
      </c>
      <c r="X42" s="2947">
        <f t="shared" si="4"/>
        <v>26</v>
      </c>
      <c r="Y42" s="2947">
        <f t="shared" si="4"/>
        <v>26</v>
      </c>
      <c r="Z42" s="2947">
        <f t="shared" ref="Z42:AA42" si="5">COUNT(Z15:Z40)</f>
        <v>9</v>
      </c>
      <c r="AA42" s="2947">
        <f t="shared" si="5"/>
        <v>0</v>
      </c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CE42" s="83"/>
      <c r="CF42" s="83"/>
      <c r="CG42" s="83"/>
      <c r="CH42" s="83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</row>
    <row r="43" spans="1:105" s="4" customFormat="1">
      <c r="A43" s="114"/>
      <c r="B43" s="114"/>
      <c r="C43" s="775" t="s">
        <v>286</v>
      </c>
      <c r="D43" s="1026">
        <f>D41/D42</f>
        <v>0</v>
      </c>
      <c r="E43" s="1026">
        <f t="shared" ref="E43:S43" si="6">E41/E42</f>
        <v>0.11538461538461539</v>
      </c>
      <c r="F43" s="1026">
        <f t="shared" si="6"/>
        <v>0.23076923076923078</v>
      </c>
      <c r="G43" s="1026">
        <f t="shared" si="6"/>
        <v>7.6923076923076927E-2</v>
      </c>
      <c r="H43" s="1026">
        <f t="shared" si="6"/>
        <v>0</v>
      </c>
      <c r="I43" s="1026">
        <f t="shared" si="6"/>
        <v>0</v>
      </c>
      <c r="J43" s="1026">
        <f t="shared" si="6"/>
        <v>0</v>
      </c>
      <c r="K43" s="1026">
        <f t="shared" si="6"/>
        <v>0</v>
      </c>
      <c r="L43" s="1026">
        <f t="shared" si="6"/>
        <v>0</v>
      </c>
      <c r="M43" s="1026">
        <f t="shared" si="6"/>
        <v>0</v>
      </c>
      <c r="N43" s="1026">
        <f t="shared" si="6"/>
        <v>3.8461538461538464E-2</v>
      </c>
      <c r="O43" s="1026" t="e">
        <f t="shared" si="6"/>
        <v>#DIV/0!</v>
      </c>
      <c r="P43" s="1026">
        <f t="shared" si="6"/>
        <v>0</v>
      </c>
      <c r="Q43" s="1026">
        <f t="shared" si="6"/>
        <v>0</v>
      </c>
      <c r="R43" s="1026" t="e">
        <f t="shared" si="6"/>
        <v>#DIV/0!</v>
      </c>
      <c r="S43" s="1026">
        <f t="shared" si="6"/>
        <v>0</v>
      </c>
      <c r="T43" s="2948">
        <f t="shared" ref="T43:Y43" si="7">T41/T42</f>
        <v>0</v>
      </c>
      <c r="U43" s="2948">
        <f t="shared" si="7"/>
        <v>0</v>
      </c>
      <c r="V43" s="2948">
        <f t="shared" si="7"/>
        <v>0</v>
      </c>
      <c r="W43" s="2948">
        <f t="shared" si="7"/>
        <v>0</v>
      </c>
      <c r="X43" s="2948">
        <f t="shared" si="7"/>
        <v>0</v>
      </c>
      <c r="Y43" s="2948">
        <f t="shared" si="7"/>
        <v>0</v>
      </c>
      <c r="Z43" s="2948">
        <f t="shared" ref="Z43:AA43" si="8">Z41/Z42</f>
        <v>0</v>
      </c>
      <c r="AA43" s="2948" t="e">
        <f t="shared" si="8"/>
        <v>#DIV/0!</v>
      </c>
      <c r="BB43" s="83"/>
      <c r="BC43" s="83"/>
      <c r="BD43" s="83"/>
      <c r="BE43" s="83"/>
      <c r="BF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CE43" s="83"/>
      <c r="CF43" s="83"/>
      <c r="CG43" s="83"/>
      <c r="CH43" s="83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3"/>
      <c r="CW43" s="83"/>
      <c r="CX43" s="83"/>
      <c r="CY43" s="83"/>
      <c r="CZ43" s="83"/>
      <c r="DA43" s="83"/>
    </row>
    <row r="44" spans="1:105">
      <c r="A44" s="108"/>
      <c r="B44" s="108"/>
      <c r="C44" s="124"/>
      <c r="D44" s="110"/>
      <c r="E44" s="111"/>
      <c r="F44" s="111"/>
      <c r="G44" s="111"/>
      <c r="H44" s="111"/>
      <c r="I44" s="241"/>
      <c r="J44" s="110"/>
      <c r="K44" s="123"/>
      <c r="L44" s="107"/>
      <c r="M44" s="115"/>
      <c r="N44" s="203"/>
      <c r="O44" s="203"/>
      <c r="P44" s="203"/>
      <c r="Q44" s="203"/>
      <c r="R44" s="300"/>
      <c r="S44" s="120"/>
      <c r="T44" s="767"/>
      <c r="U44" s="120"/>
      <c r="V44" s="120"/>
      <c r="W44" s="120"/>
      <c r="X44" s="801"/>
      <c r="Y44" s="151"/>
      <c r="Z44" s="151"/>
      <c r="AA44" s="151"/>
      <c r="AB44" s="151"/>
      <c r="AC44" s="190"/>
      <c r="AD44" s="72"/>
      <c r="AE44" s="61"/>
      <c r="AF44" s="28"/>
      <c r="AG44" s="151"/>
      <c r="AH44" s="151"/>
      <c r="AI44" s="151"/>
      <c r="AJ44" s="190"/>
      <c r="AK44" s="72"/>
      <c r="AL44" s="61"/>
      <c r="AM44" s="61"/>
      <c r="AN44" s="28"/>
      <c r="AO44" s="151"/>
      <c r="AP44" s="151"/>
      <c r="AQ44" s="151"/>
      <c r="AR44" s="190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1"/>
      <c r="BX44" s="1"/>
    </row>
    <row r="45" spans="1:105">
      <c r="A45" s="108"/>
      <c r="B45" s="108"/>
      <c r="C45" s="124"/>
      <c r="D45" s="110"/>
      <c r="E45" s="111"/>
      <c r="F45" s="3546" t="s">
        <v>227</v>
      </c>
      <c r="G45" s="3546"/>
      <c r="H45" s="3546"/>
      <c r="I45" s="3546"/>
      <c r="J45" s="107"/>
      <c r="K45" s="123"/>
      <c r="L45" s="107"/>
      <c r="M45" s="115"/>
      <c r="N45" s="3546" t="s">
        <v>227</v>
      </c>
      <c r="O45" s="3546"/>
      <c r="P45" s="3546"/>
      <c r="Q45" s="3546"/>
      <c r="R45" s="300"/>
      <c r="S45" s="120"/>
      <c r="T45" s="767"/>
      <c r="U45" s="120"/>
      <c r="V45" s="120"/>
      <c r="W45" s="120"/>
      <c r="X45" s="801"/>
      <c r="Y45" s="151"/>
      <c r="Z45" s="151"/>
      <c r="AA45" s="151"/>
      <c r="AB45" s="151"/>
      <c r="AC45" s="190"/>
      <c r="AD45" s="72"/>
      <c r="AE45" s="61"/>
      <c r="AF45" s="28"/>
      <c r="AG45" s="151"/>
      <c r="AH45" s="151"/>
      <c r="AI45" s="151"/>
      <c r="AJ45" s="190"/>
      <c r="AK45" s="72"/>
      <c r="AL45" s="61"/>
      <c r="AM45" s="61"/>
      <c r="AN45" s="28"/>
      <c r="AO45" s="151"/>
      <c r="AP45" s="151"/>
      <c r="AQ45" s="151"/>
      <c r="AR45" s="190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1"/>
      <c r="BX45" s="1"/>
    </row>
    <row r="46" spans="1:105" ht="15.75" thickBot="1">
      <c r="A46" s="108"/>
      <c r="B46" s="108"/>
      <c r="C46" s="124"/>
      <c r="D46" s="110"/>
      <c r="E46" s="111"/>
      <c r="F46" s="3546"/>
      <c r="G46" s="3546"/>
      <c r="H46" s="3546"/>
      <c r="I46" s="3546"/>
      <c r="J46" s="107"/>
      <c r="K46" s="123"/>
      <c r="L46" s="107"/>
      <c r="M46" s="115"/>
      <c r="N46" s="3546"/>
      <c r="O46" s="3546"/>
      <c r="P46" s="3546"/>
      <c r="Q46" s="3546"/>
      <c r="R46" s="300"/>
      <c r="S46" s="120"/>
      <c r="T46" s="767"/>
      <c r="U46" s="120"/>
      <c r="V46" s="120"/>
      <c r="W46" s="120"/>
      <c r="X46" s="801"/>
      <c r="Y46" s="151"/>
      <c r="Z46" s="151"/>
      <c r="AA46" s="151"/>
      <c r="AB46" s="151"/>
      <c r="AC46" s="190"/>
      <c r="AD46" s="72"/>
      <c r="AE46" s="61"/>
      <c r="AF46" s="28"/>
      <c r="AG46" s="151"/>
      <c r="AH46" s="151"/>
      <c r="AI46" s="151"/>
      <c r="AJ46" s="190"/>
      <c r="AK46" s="72"/>
      <c r="AL46" s="61"/>
      <c r="AM46" s="61"/>
      <c r="AN46" s="28"/>
      <c r="AO46" s="151"/>
      <c r="AP46" s="151"/>
      <c r="AQ46" s="151"/>
      <c r="AR46" s="190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1"/>
      <c r="BX46" s="1"/>
    </row>
    <row r="47" spans="1:105" ht="15.75" thickBot="1">
      <c r="A47" s="328"/>
      <c r="B47" s="113"/>
      <c r="C47" s="266" t="s">
        <v>168</v>
      </c>
      <c r="D47" s="268">
        <v>2</v>
      </c>
      <c r="E47" s="268">
        <v>2</v>
      </c>
      <c r="F47" s="268">
        <v>2</v>
      </c>
      <c r="G47" s="345">
        <v>2</v>
      </c>
      <c r="H47" s="346">
        <v>2</v>
      </c>
      <c r="I47" s="268">
        <v>2</v>
      </c>
      <c r="J47" s="268">
        <v>2</v>
      </c>
      <c r="K47" s="269">
        <v>2</v>
      </c>
      <c r="L47" s="346">
        <v>2</v>
      </c>
      <c r="M47" s="268">
        <v>2</v>
      </c>
      <c r="N47" s="268">
        <v>2</v>
      </c>
      <c r="O47" s="274">
        <v>2</v>
      </c>
      <c r="P47" s="367">
        <v>2</v>
      </c>
      <c r="Q47" s="268">
        <v>2</v>
      </c>
      <c r="R47" s="268">
        <v>2</v>
      </c>
      <c r="S47" s="345">
        <v>2</v>
      </c>
      <c r="T47" s="2953"/>
      <c r="U47" s="2953"/>
      <c r="V47" s="2858"/>
      <c r="W47" s="2858"/>
      <c r="X47" s="800"/>
      <c r="Y47" s="151"/>
      <c r="Z47" s="151"/>
      <c r="AA47" s="151"/>
      <c r="AB47" s="151"/>
      <c r="AC47" s="190"/>
      <c r="AD47" s="72"/>
      <c r="AE47" s="61"/>
      <c r="AF47" s="72"/>
      <c r="AG47" s="151"/>
      <c r="AH47" s="151"/>
      <c r="AI47" s="151"/>
      <c r="AJ47" s="190"/>
      <c r="AK47" s="72"/>
      <c r="AL47" s="61"/>
      <c r="AM47" s="61"/>
      <c r="AN47" s="72"/>
      <c r="AO47" s="151"/>
      <c r="AP47" s="151"/>
      <c r="AQ47" s="151"/>
      <c r="AR47" s="190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1"/>
      <c r="BX47" s="1"/>
    </row>
    <row r="48" spans="1:105">
      <c r="A48" s="328"/>
      <c r="B48" s="113"/>
      <c r="C48" s="368" t="s">
        <v>116</v>
      </c>
      <c r="D48" s="522">
        <v>1.75</v>
      </c>
      <c r="E48" s="522">
        <v>2.08</v>
      </c>
      <c r="F48" s="522">
        <v>1.88</v>
      </c>
      <c r="G48" s="523">
        <v>1.47</v>
      </c>
      <c r="H48" s="745">
        <v>1.51</v>
      </c>
      <c r="I48" s="494">
        <v>1.4400000000000002</v>
      </c>
      <c r="J48" s="747">
        <v>1.1733333333333336</v>
      </c>
      <c r="K48" s="731">
        <v>0.93666666666666665</v>
      </c>
      <c r="L48" s="742">
        <v>1.2966666666666666</v>
      </c>
      <c r="M48" s="524">
        <v>1.08</v>
      </c>
      <c r="N48" s="1749">
        <v>0.5</v>
      </c>
      <c r="O48" s="2134"/>
      <c r="P48" s="828"/>
      <c r="Q48" s="829"/>
      <c r="R48" s="864"/>
      <c r="S48" s="389">
        <v>1.67</v>
      </c>
      <c r="T48" s="394">
        <v>2.8</v>
      </c>
      <c r="U48" s="304">
        <v>7.73</v>
      </c>
      <c r="V48" s="61"/>
      <c r="W48" s="3092">
        <v>3.97</v>
      </c>
      <c r="X48" s="800"/>
      <c r="Y48" s="151"/>
      <c r="Z48" s="151"/>
      <c r="AA48" s="151"/>
      <c r="AB48" s="151"/>
      <c r="AC48" s="190"/>
      <c r="AD48" s="72"/>
      <c r="AE48" s="61"/>
      <c r="AF48" s="72"/>
      <c r="AG48" s="151"/>
      <c r="AH48" s="151"/>
      <c r="AI48" s="151"/>
      <c r="AJ48" s="190"/>
      <c r="AK48" s="72"/>
      <c r="AL48" s="61"/>
      <c r="AM48" s="61"/>
      <c r="AN48" s="72"/>
      <c r="AO48" s="151"/>
      <c r="AP48" s="151"/>
      <c r="AQ48" s="151"/>
      <c r="AR48" s="190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1"/>
      <c r="BX48" s="1"/>
    </row>
    <row r="49" spans="1:105">
      <c r="A49" s="123"/>
      <c r="B49" s="122"/>
      <c r="C49" s="101" t="s">
        <v>124</v>
      </c>
      <c r="D49" s="525">
        <v>2.5</v>
      </c>
      <c r="E49" s="525">
        <v>2.56</v>
      </c>
      <c r="F49" s="525">
        <v>2.89</v>
      </c>
      <c r="G49" s="526">
        <v>1.86</v>
      </c>
      <c r="H49" s="527">
        <v>2.4700000000000002</v>
      </c>
      <c r="I49" s="484">
        <v>1.89</v>
      </c>
      <c r="J49" s="727">
        <v>1.4133333333333333</v>
      </c>
      <c r="K49" s="733">
        <v>1.5533333333333335</v>
      </c>
      <c r="L49" s="742">
        <v>1.51</v>
      </c>
      <c r="M49" s="528">
        <v>1.39</v>
      </c>
      <c r="N49" s="1750">
        <v>1.46</v>
      </c>
      <c r="O49" s="2135"/>
      <c r="P49" s="827"/>
      <c r="Q49" s="756"/>
      <c r="R49" s="863"/>
      <c r="S49" s="381">
        <v>3.3</v>
      </c>
      <c r="T49" s="394">
        <v>16.3</v>
      </c>
      <c r="U49" s="394">
        <v>11.6</v>
      </c>
      <c r="V49" s="61"/>
      <c r="W49" s="3092">
        <v>8.8000000000000007</v>
      </c>
      <c r="X49" s="800"/>
      <c r="Y49" s="151"/>
      <c r="Z49" s="151"/>
      <c r="AA49" s="151"/>
      <c r="AB49" s="151"/>
      <c r="AC49" s="190"/>
      <c r="AD49" s="72"/>
      <c r="AE49" s="61"/>
      <c r="AF49" s="72"/>
      <c r="AG49" s="151"/>
      <c r="AH49" s="151"/>
      <c r="AI49" s="151"/>
      <c r="AJ49" s="190"/>
      <c r="AK49" s="72"/>
      <c r="AL49" s="61"/>
      <c r="AM49" s="61"/>
      <c r="AN49" s="72"/>
      <c r="AO49" s="151"/>
      <c r="AP49" s="151"/>
      <c r="AQ49" s="151"/>
      <c r="AR49" s="190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1"/>
      <c r="BX49" s="1"/>
    </row>
    <row r="50" spans="1:105">
      <c r="A50" s="123"/>
      <c r="B50" s="122"/>
      <c r="C50" s="102" t="s">
        <v>118</v>
      </c>
      <c r="D50" s="525">
        <v>2.0499999999999998</v>
      </c>
      <c r="E50" s="525">
        <v>2.39</v>
      </c>
      <c r="F50" s="525">
        <v>1.9</v>
      </c>
      <c r="G50" s="526">
        <v>1.34</v>
      </c>
      <c r="H50" s="527">
        <v>1.31</v>
      </c>
      <c r="I50" s="484">
        <v>1.4733333333333301</v>
      </c>
      <c r="J50" s="727">
        <v>1.18</v>
      </c>
      <c r="K50" s="733">
        <v>0.93666666666666687</v>
      </c>
      <c r="L50" s="742">
        <v>1.1766666666666667</v>
      </c>
      <c r="M50" s="528">
        <v>1.04</v>
      </c>
      <c r="N50" s="1751">
        <v>0.97</v>
      </c>
      <c r="O50" s="2136"/>
      <c r="P50" s="857"/>
      <c r="Q50" s="858"/>
      <c r="R50" s="863"/>
      <c r="S50" s="381">
        <v>2</v>
      </c>
      <c r="T50" s="394">
        <v>2.4</v>
      </c>
      <c r="U50" s="394">
        <v>4.4000000000000004</v>
      </c>
      <c r="V50" s="61"/>
      <c r="W50" s="3092">
        <v>5.27</v>
      </c>
      <c r="X50" s="800"/>
      <c r="Y50" s="191"/>
      <c r="Z50" s="191"/>
      <c r="AA50" s="191"/>
      <c r="AB50" s="191"/>
      <c r="AC50" s="190"/>
      <c r="AD50" s="72"/>
      <c r="AE50" s="61"/>
      <c r="AF50" s="72"/>
      <c r="AG50" s="191"/>
      <c r="AH50" s="191"/>
      <c r="AI50" s="191"/>
      <c r="AJ50" s="190"/>
      <c r="AK50" s="72"/>
      <c r="AL50" s="61"/>
      <c r="AM50" s="61"/>
      <c r="AN50" s="72"/>
      <c r="AO50" s="191"/>
      <c r="AP50" s="191"/>
      <c r="AQ50" s="191"/>
      <c r="AR50" s="190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1"/>
      <c r="BX50" s="1"/>
    </row>
    <row r="51" spans="1:105">
      <c r="A51" s="123"/>
      <c r="B51" s="122"/>
      <c r="C51" s="102" t="s">
        <v>113</v>
      </c>
      <c r="D51" s="525">
        <v>2.5</v>
      </c>
      <c r="E51" s="525">
        <v>1.98</v>
      </c>
      <c r="F51" s="525">
        <v>2</v>
      </c>
      <c r="G51" s="526">
        <v>1.54</v>
      </c>
      <c r="H51" s="527">
        <v>1.24</v>
      </c>
      <c r="I51" s="484">
        <v>1.5766666666666669</v>
      </c>
      <c r="J51" s="727">
        <v>1.07</v>
      </c>
      <c r="K51" s="733">
        <v>1.0033333333333334</v>
      </c>
      <c r="L51" s="742">
        <v>1.08</v>
      </c>
      <c r="M51" s="528">
        <v>2.15</v>
      </c>
      <c r="N51" s="413">
        <v>1.56</v>
      </c>
      <c r="O51" s="2137"/>
      <c r="P51" s="865"/>
      <c r="Q51" s="7"/>
      <c r="R51" s="863"/>
      <c r="S51" s="381">
        <v>1.33</v>
      </c>
      <c r="T51" s="394">
        <v>2.8</v>
      </c>
      <c r="U51" s="304">
        <v>3.93</v>
      </c>
      <c r="V51" s="61"/>
      <c r="W51" s="3092">
        <v>2.4</v>
      </c>
      <c r="X51" s="800"/>
      <c r="Y51" s="87"/>
      <c r="Z51" s="87"/>
      <c r="AA51" s="87"/>
      <c r="AB51" s="87"/>
      <c r="AC51" s="190"/>
      <c r="AD51" s="72"/>
      <c r="AE51" s="61"/>
      <c r="AF51" s="72"/>
      <c r="AG51" s="87"/>
      <c r="AH51" s="87"/>
      <c r="AI51" s="87"/>
      <c r="AJ51" s="190"/>
      <c r="AK51" s="72"/>
      <c r="AL51" s="61"/>
      <c r="AM51" s="61"/>
      <c r="AN51" s="72"/>
      <c r="AO51" s="87"/>
      <c r="AP51" s="87"/>
      <c r="AQ51" s="87"/>
      <c r="AR51" s="190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1"/>
      <c r="BX51" s="1"/>
    </row>
    <row r="52" spans="1:105">
      <c r="A52" s="123"/>
      <c r="B52" s="122"/>
      <c r="C52" s="101" t="s">
        <v>123</v>
      </c>
      <c r="D52" s="525">
        <v>2.5</v>
      </c>
      <c r="E52" s="525">
        <v>2</v>
      </c>
      <c r="F52" s="525">
        <v>2.16</v>
      </c>
      <c r="G52" s="526">
        <v>1.81</v>
      </c>
      <c r="H52" s="527">
        <v>2.68</v>
      </c>
      <c r="I52" s="484">
        <v>1.7400000000000002</v>
      </c>
      <c r="J52" s="727">
        <v>1.18</v>
      </c>
      <c r="K52" s="733">
        <v>1.2366666666666666</v>
      </c>
      <c r="L52" s="742">
        <v>1.32</v>
      </c>
      <c r="M52" s="528">
        <v>1.21</v>
      </c>
      <c r="N52" s="423">
        <v>0.72</v>
      </c>
      <c r="O52" s="2138"/>
      <c r="P52" s="866"/>
      <c r="Q52" s="9"/>
      <c r="R52" s="863"/>
      <c r="S52" s="381">
        <v>6</v>
      </c>
      <c r="T52" s="394">
        <v>25.2</v>
      </c>
      <c r="U52" s="304">
        <v>11.37</v>
      </c>
      <c r="V52" s="61"/>
      <c r="W52" s="3092">
        <v>14.2</v>
      </c>
      <c r="X52" s="800"/>
      <c r="Y52" s="93"/>
      <c r="Z52" s="93"/>
      <c r="AA52" s="93"/>
      <c r="AB52" s="93"/>
      <c r="AC52" s="190"/>
      <c r="AD52" s="72"/>
      <c r="AE52" s="61"/>
      <c r="AF52" s="72"/>
      <c r="AG52" s="93"/>
      <c r="AH52" s="93"/>
      <c r="AI52" s="93"/>
      <c r="AJ52" s="190"/>
      <c r="AK52" s="72"/>
      <c r="AL52" s="61"/>
      <c r="AM52" s="61"/>
      <c r="AN52" s="72"/>
      <c r="AO52" s="93"/>
      <c r="AP52" s="93"/>
      <c r="AQ52" s="93"/>
      <c r="AR52" s="190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1"/>
      <c r="BX52" s="1"/>
    </row>
    <row r="53" spans="1:105">
      <c r="A53" s="123"/>
      <c r="B53" s="122"/>
      <c r="C53" s="101" t="s">
        <v>120</v>
      </c>
      <c r="D53" s="525">
        <v>2.7</v>
      </c>
      <c r="E53" s="525">
        <v>2.15</v>
      </c>
      <c r="F53" s="525">
        <v>2.13</v>
      </c>
      <c r="G53" s="526">
        <v>1.73</v>
      </c>
      <c r="H53" s="527">
        <v>2.44</v>
      </c>
      <c r="I53" s="484">
        <v>1.8066666666666666</v>
      </c>
      <c r="J53" s="727">
        <v>1.1100000000000001</v>
      </c>
      <c r="K53" s="733">
        <v>1.0999999999999999</v>
      </c>
      <c r="L53" s="742">
        <v>1.1333333333333335</v>
      </c>
      <c r="M53" s="528">
        <v>1.28</v>
      </c>
      <c r="N53" s="498">
        <v>0.5</v>
      </c>
      <c r="O53" s="2139"/>
      <c r="P53" s="859"/>
      <c r="Q53" s="860"/>
      <c r="R53" s="863"/>
      <c r="S53" s="381">
        <v>2.4700000000000002</v>
      </c>
      <c r="T53" s="304">
        <v>13.05</v>
      </c>
      <c r="U53" s="304">
        <v>13.87</v>
      </c>
      <c r="V53" s="61"/>
      <c r="W53" s="3092">
        <v>14.23</v>
      </c>
      <c r="X53" s="800"/>
      <c r="Y53" s="72"/>
      <c r="Z53" s="72"/>
      <c r="AA53" s="72"/>
      <c r="AB53" s="72"/>
      <c r="AC53" s="190"/>
      <c r="AD53" s="72"/>
      <c r="AE53" s="61"/>
      <c r="AF53" s="72"/>
      <c r="AG53" s="72"/>
      <c r="AH53" s="72"/>
      <c r="AI53" s="72"/>
      <c r="AJ53" s="190"/>
      <c r="AK53" s="72"/>
      <c r="AL53" s="61"/>
      <c r="AM53" s="61"/>
      <c r="AN53" s="72"/>
      <c r="AO53" s="72"/>
      <c r="AP53" s="72"/>
      <c r="AQ53" s="72"/>
      <c r="AR53" s="190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1"/>
      <c r="BX53" s="1"/>
    </row>
    <row r="54" spans="1:105">
      <c r="A54" s="123"/>
      <c r="B54" s="122"/>
      <c r="C54" s="101" t="s">
        <v>122</v>
      </c>
      <c r="D54" s="525">
        <v>3.5</v>
      </c>
      <c r="E54" s="525">
        <v>2.5299999999999998</v>
      </c>
      <c r="F54" s="525">
        <v>2.46</v>
      </c>
      <c r="G54" s="526">
        <v>2.2200000000000002</v>
      </c>
      <c r="H54" s="527">
        <v>2.52</v>
      </c>
      <c r="I54" s="484">
        <v>2.4</v>
      </c>
      <c r="J54" s="727">
        <v>1.3866666666666667</v>
      </c>
      <c r="K54" s="733">
        <v>1.4633333333333336</v>
      </c>
      <c r="L54" s="742">
        <v>1.21</v>
      </c>
      <c r="M54" s="528">
        <v>1.33</v>
      </c>
      <c r="N54" s="498">
        <v>1</v>
      </c>
      <c r="O54" s="2139"/>
      <c r="P54" s="859"/>
      <c r="Q54" s="860"/>
      <c r="R54" s="860"/>
      <c r="S54" s="2951">
        <v>11.33</v>
      </c>
      <c r="T54" s="2973">
        <v>10</v>
      </c>
      <c r="U54" s="860">
        <v>14.93</v>
      </c>
      <c r="V54" s="72"/>
      <c r="W54" s="3092">
        <v>11.2</v>
      </c>
      <c r="X54" s="800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61"/>
      <c r="AM54" s="61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1"/>
      <c r="BX54" s="1"/>
    </row>
    <row r="55" spans="1:105">
      <c r="A55" s="123"/>
      <c r="B55" s="122"/>
      <c r="C55" s="101" t="s">
        <v>114</v>
      </c>
      <c r="D55" s="525">
        <v>2.15</v>
      </c>
      <c r="E55" s="525">
        <v>1.92</v>
      </c>
      <c r="F55" s="525">
        <v>1.95</v>
      </c>
      <c r="G55" s="526">
        <v>2.17</v>
      </c>
      <c r="H55" s="527">
        <v>2.06</v>
      </c>
      <c r="I55" s="484">
        <v>1.5</v>
      </c>
      <c r="J55" s="727">
        <v>1.3333333333333333</v>
      </c>
      <c r="K55" s="733">
        <v>1.1233333333333333</v>
      </c>
      <c r="L55" s="742">
        <v>1.0433333333333332</v>
      </c>
      <c r="M55" s="528">
        <v>1.76</v>
      </c>
      <c r="N55" s="498">
        <v>1.67</v>
      </c>
      <c r="O55" s="2139"/>
      <c r="P55" s="859"/>
      <c r="Q55" s="860"/>
      <c r="R55" s="860"/>
      <c r="S55" s="2951">
        <v>1.67</v>
      </c>
      <c r="T55" s="2973">
        <v>1.8</v>
      </c>
      <c r="U55" s="860">
        <v>3.17</v>
      </c>
      <c r="V55" s="72"/>
      <c r="W55" s="3092">
        <v>3.7</v>
      </c>
      <c r="X55" s="800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1"/>
      <c r="BX55" s="1"/>
    </row>
    <row r="56" spans="1:105">
      <c r="A56" s="123"/>
      <c r="B56" s="122"/>
      <c r="C56" s="103" t="s">
        <v>115</v>
      </c>
      <c r="D56" s="525">
        <v>1.95</v>
      </c>
      <c r="E56" s="525">
        <v>1.79</v>
      </c>
      <c r="F56" s="525">
        <v>2.11</v>
      </c>
      <c r="G56" s="526">
        <v>2.0699999999999998</v>
      </c>
      <c r="H56" s="527">
        <v>2.06</v>
      </c>
      <c r="I56" s="484">
        <v>1.4733333333333334</v>
      </c>
      <c r="J56" s="727">
        <v>1.3266666666666667</v>
      </c>
      <c r="K56" s="733">
        <v>0.95333333333333348</v>
      </c>
      <c r="L56" s="742">
        <v>1.0666666666666667</v>
      </c>
      <c r="M56" s="528">
        <v>0.87</v>
      </c>
      <c r="N56" s="498">
        <v>1.03</v>
      </c>
      <c r="O56" s="2139"/>
      <c r="P56" s="859"/>
      <c r="Q56" s="860"/>
      <c r="R56" s="860"/>
      <c r="S56" s="2951">
        <v>1.67</v>
      </c>
      <c r="T56" s="2973">
        <v>2.9</v>
      </c>
      <c r="U56" s="2973">
        <v>2.2000000000000002</v>
      </c>
      <c r="V56" s="72"/>
      <c r="W56" s="3092">
        <v>2.13</v>
      </c>
      <c r="X56" s="800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1"/>
      <c r="BX56" s="1"/>
    </row>
    <row r="57" spans="1:105">
      <c r="A57" s="123"/>
      <c r="B57" s="122"/>
      <c r="C57" s="101" t="s">
        <v>112</v>
      </c>
      <c r="D57" s="525">
        <v>1.75</v>
      </c>
      <c r="E57" s="525">
        <v>1.49</v>
      </c>
      <c r="F57" s="525">
        <v>2.0699999999999998</v>
      </c>
      <c r="G57" s="526">
        <v>2.2999999999999998</v>
      </c>
      <c r="H57" s="527">
        <v>2.0499999999999998</v>
      </c>
      <c r="I57" s="484">
        <v>1.1466666666666667</v>
      </c>
      <c r="J57" s="727">
        <v>1.2</v>
      </c>
      <c r="K57" s="733">
        <v>0.94333333333333336</v>
      </c>
      <c r="L57" s="742">
        <v>0.79333333333333333</v>
      </c>
      <c r="M57" s="528">
        <v>1.1599999999999999</v>
      </c>
      <c r="N57" s="498">
        <v>1.5</v>
      </c>
      <c r="O57" s="2139"/>
      <c r="P57" s="859"/>
      <c r="Q57" s="860"/>
      <c r="R57" s="860"/>
      <c r="S57" s="2951">
        <v>2.5</v>
      </c>
      <c r="T57" s="2973">
        <v>1.8</v>
      </c>
      <c r="U57" s="860">
        <v>2.0499999999999998</v>
      </c>
      <c r="V57" s="72"/>
      <c r="W57" s="3092">
        <v>3.23</v>
      </c>
      <c r="X57" s="800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1"/>
      <c r="BX57" s="1"/>
    </row>
    <row r="58" spans="1:105">
      <c r="A58" s="123"/>
      <c r="B58" s="122"/>
      <c r="C58" s="102" t="s">
        <v>187</v>
      </c>
      <c r="D58" s="525">
        <v>2.1</v>
      </c>
      <c r="E58" s="525">
        <v>2.34</v>
      </c>
      <c r="F58" s="525">
        <v>2.1800000000000002</v>
      </c>
      <c r="G58" s="526">
        <v>2.12</v>
      </c>
      <c r="H58" s="527">
        <v>2.13</v>
      </c>
      <c r="I58" s="484">
        <v>1.4766666666666666</v>
      </c>
      <c r="J58" s="727">
        <v>1.22</v>
      </c>
      <c r="K58" s="733">
        <v>1.0766666666666667</v>
      </c>
      <c r="L58" s="742">
        <v>1.0999999999999999</v>
      </c>
      <c r="M58" s="528">
        <v>1.43</v>
      </c>
      <c r="N58" s="498">
        <v>1.0900000000000001</v>
      </c>
      <c r="O58" s="2139"/>
      <c r="P58" s="859"/>
      <c r="Q58" s="860"/>
      <c r="R58" s="860"/>
      <c r="S58" s="2951">
        <v>1.33</v>
      </c>
      <c r="T58" s="2973">
        <v>3.3</v>
      </c>
      <c r="U58" s="2973">
        <v>2.6</v>
      </c>
      <c r="V58" s="72"/>
      <c r="W58" s="3092">
        <v>2.0299999999999998</v>
      </c>
      <c r="X58" s="2950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1"/>
      <c r="BX58" s="1"/>
    </row>
    <row r="59" spans="1:105">
      <c r="A59" s="123"/>
      <c r="B59" s="122"/>
      <c r="C59" s="101" t="s">
        <v>117</v>
      </c>
      <c r="D59" s="525">
        <v>1.55</v>
      </c>
      <c r="E59" s="525">
        <v>1.67</v>
      </c>
      <c r="F59" s="525">
        <v>2.2000000000000002</v>
      </c>
      <c r="G59" s="526">
        <v>2.19</v>
      </c>
      <c r="H59" s="527">
        <v>2.0099999999999998</v>
      </c>
      <c r="I59" s="484">
        <v>1.72</v>
      </c>
      <c r="J59" s="727">
        <v>1.2333333333333334</v>
      </c>
      <c r="K59" s="733">
        <v>1.0900000000000001</v>
      </c>
      <c r="L59" s="742">
        <v>1.0433333333333332</v>
      </c>
      <c r="M59" s="528">
        <v>0.94</v>
      </c>
      <c r="N59" s="498">
        <v>1.23</v>
      </c>
      <c r="O59" s="2139"/>
      <c r="P59" s="859"/>
      <c r="Q59" s="860"/>
      <c r="R59" s="860"/>
      <c r="S59" s="2951">
        <v>2</v>
      </c>
      <c r="T59" s="860">
        <v>3.15</v>
      </c>
      <c r="U59" s="860">
        <v>4.43</v>
      </c>
      <c r="V59" s="72"/>
      <c r="W59" s="3092">
        <v>3.07</v>
      </c>
      <c r="X59" s="800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1"/>
      <c r="BX59" s="1"/>
    </row>
    <row r="60" spans="1:105">
      <c r="A60" s="123"/>
      <c r="B60" s="122"/>
      <c r="C60" s="101" t="s">
        <v>121</v>
      </c>
      <c r="D60" s="525">
        <v>2.5</v>
      </c>
      <c r="E60" s="525">
        <v>1.86</v>
      </c>
      <c r="F60" s="525">
        <v>2.17</v>
      </c>
      <c r="G60" s="526">
        <v>2.2799999999999998</v>
      </c>
      <c r="H60" s="527">
        <v>2.39</v>
      </c>
      <c r="I60" s="484">
        <v>1.8499999999999999</v>
      </c>
      <c r="J60" s="727">
        <v>1.2466666666666668</v>
      </c>
      <c r="K60" s="733">
        <v>1.1100000000000001</v>
      </c>
      <c r="L60" s="742">
        <v>0.96333333333333337</v>
      </c>
      <c r="M60" s="528">
        <v>0.85</v>
      </c>
      <c r="N60" s="498">
        <v>1.44</v>
      </c>
      <c r="O60" s="2139"/>
      <c r="P60" s="859"/>
      <c r="Q60" s="860"/>
      <c r="R60" s="860"/>
      <c r="S60" s="2951">
        <v>4.67</v>
      </c>
      <c r="T60" s="2973">
        <v>3.5</v>
      </c>
      <c r="U60" s="860">
        <v>4.67</v>
      </c>
      <c r="V60" s="72"/>
      <c r="W60" s="3092">
        <v>3.83</v>
      </c>
      <c r="X60" s="800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1"/>
      <c r="BX60" s="1"/>
    </row>
    <row r="61" spans="1:105" ht="15.75" thickBot="1">
      <c r="A61" s="123"/>
      <c r="B61" s="122"/>
      <c r="C61" s="214" t="s">
        <v>119</v>
      </c>
      <c r="D61" s="529">
        <v>2.4</v>
      </c>
      <c r="E61" s="529">
        <v>2.33</v>
      </c>
      <c r="F61" s="529">
        <v>1.97</v>
      </c>
      <c r="G61" s="530">
        <v>1.56</v>
      </c>
      <c r="H61" s="746">
        <v>1.77</v>
      </c>
      <c r="I61" s="490">
        <v>1.8166666666666667</v>
      </c>
      <c r="J61" s="748">
        <v>1.1766666666666667</v>
      </c>
      <c r="K61" s="736">
        <v>1.0433333333333332</v>
      </c>
      <c r="L61" s="742">
        <v>1.1733333333333333</v>
      </c>
      <c r="M61" s="528">
        <v>1.1299999999999999</v>
      </c>
      <c r="N61" s="498">
        <v>1.66</v>
      </c>
      <c r="O61" s="2139"/>
      <c r="P61" s="861"/>
      <c r="Q61" s="862"/>
      <c r="R61" s="862"/>
      <c r="S61" s="2952">
        <v>1.67</v>
      </c>
      <c r="T61" s="860">
        <v>3.55</v>
      </c>
      <c r="U61" s="860">
        <v>4.87</v>
      </c>
      <c r="V61" s="72"/>
      <c r="W61" s="3092">
        <v>4.0999999999999996</v>
      </c>
      <c r="X61" s="800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O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1"/>
      <c r="BX61" s="1"/>
    </row>
    <row r="62" spans="1:105" s="4" customFormat="1">
      <c r="A62" s="114"/>
      <c r="B62" s="114"/>
      <c r="C62" s="775" t="s">
        <v>285</v>
      </c>
      <c r="D62" s="1025">
        <f>COUNTIF(D48:D61,"&lt;=2")</f>
        <v>4</v>
      </c>
      <c r="E62" s="1025">
        <f t="shared" ref="E62:S62" si="9">COUNTIF(E48:E61,"&lt;=2")</f>
        <v>7</v>
      </c>
      <c r="F62" s="1025">
        <f t="shared" si="9"/>
        <v>5</v>
      </c>
      <c r="G62" s="1025">
        <f t="shared" si="9"/>
        <v>7</v>
      </c>
      <c r="H62" s="1025">
        <f t="shared" si="9"/>
        <v>4</v>
      </c>
      <c r="I62" s="1025">
        <f t="shared" si="9"/>
        <v>13</v>
      </c>
      <c r="J62" s="1025">
        <f t="shared" si="9"/>
        <v>14</v>
      </c>
      <c r="K62" s="1025">
        <f t="shared" si="9"/>
        <v>14</v>
      </c>
      <c r="L62" s="1025">
        <f t="shared" si="9"/>
        <v>14</v>
      </c>
      <c r="M62" s="1025">
        <f t="shared" si="9"/>
        <v>13</v>
      </c>
      <c r="N62" s="1025">
        <f t="shared" si="9"/>
        <v>14</v>
      </c>
      <c r="O62" s="1025">
        <f t="shared" si="9"/>
        <v>0</v>
      </c>
      <c r="P62" s="1025">
        <f t="shared" si="9"/>
        <v>0</v>
      </c>
      <c r="Q62" s="1025">
        <f t="shared" si="9"/>
        <v>0</v>
      </c>
      <c r="R62" s="1025">
        <f t="shared" si="9"/>
        <v>0</v>
      </c>
      <c r="S62" s="1025">
        <f t="shared" si="9"/>
        <v>8</v>
      </c>
      <c r="T62" s="1025">
        <f t="shared" ref="T62:U62" si="10">COUNTIF(T48:T61,"&lt;=2")</f>
        <v>2</v>
      </c>
      <c r="U62" s="1025">
        <f t="shared" si="10"/>
        <v>0</v>
      </c>
      <c r="V62" s="1025"/>
      <c r="W62" s="1025"/>
      <c r="X62" s="770"/>
      <c r="BB62" s="83"/>
      <c r="BC62" s="83"/>
      <c r="BD62" s="83"/>
      <c r="BE62" s="83"/>
      <c r="BF62" s="83"/>
      <c r="BG62" s="83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  <c r="CE62" s="83"/>
      <c r="CF62" s="83"/>
      <c r="CG62" s="83"/>
      <c r="CH62" s="83"/>
      <c r="CI62" s="83"/>
      <c r="CJ62" s="83"/>
      <c r="CK62" s="83"/>
      <c r="CL62" s="83"/>
      <c r="CM62" s="83"/>
      <c r="CN62" s="83"/>
      <c r="CO62" s="83"/>
      <c r="CP62" s="83"/>
      <c r="CQ62" s="83"/>
      <c r="CR62" s="83"/>
      <c r="CS62" s="83"/>
      <c r="CT62" s="83"/>
      <c r="CU62" s="83"/>
      <c r="CV62" s="83"/>
      <c r="CW62" s="83"/>
      <c r="CX62" s="83"/>
      <c r="CY62" s="83"/>
      <c r="CZ62" s="83"/>
      <c r="DA62" s="83"/>
    </row>
    <row r="63" spans="1:105" s="4" customFormat="1">
      <c r="A63" s="114"/>
      <c r="B63" s="114"/>
      <c r="C63" s="775" t="s">
        <v>287</v>
      </c>
      <c r="D63" s="1027">
        <f>COUNT(D48:D61)</f>
        <v>14</v>
      </c>
      <c r="E63" s="1027">
        <f>COUNT(E48:E61)</f>
        <v>14</v>
      </c>
      <c r="F63" s="1027">
        <f>COUNT(F48:F61)</f>
        <v>14</v>
      </c>
      <c r="G63" s="1027">
        <f t="shared" ref="G63:S63" si="11">COUNT(G48:G61)</f>
        <v>14</v>
      </c>
      <c r="H63" s="1027">
        <f t="shared" si="11"/>
        <v>14</v>
      </c>
      <c r="I63" s="1027">
        <f t="shared" si="11"/>
        <v>14</v>
      </c>
      <c r="J63" s="1027">
        <f t="shared" si="11"/>
        <v>14</v>
      </c>
      <c r="K63" s="1027">
        <f t="shared" si="11"/>
        <v>14</v>
      </c>
      <c r="L63" s="1027">
        <f t="shared" si="11"/>
        <v>14</v>
      </c>
      <c r="M63" s="1027">
        <f t="shared" si="11"/>
        <v>14</v>
      </c>
      <c r="N63" s="1027">
        <f t="shared" si="11"/>
        <v>14</v>
      </c>
      <c r="O63" s="1027">
        <f t="shared" si="11"/>
        <v>0</v>
      </c>
      <c r="P63" s="1027">
        <f t="shared" si="11"/>
        <v>0</v>
      </c>
      <c r="Q63" s="1027">
        <f t="shared" si="11"/>
        <v>0</v>
      </c>
      <c r="R63" s="1027">
        <f t="shared" si="11"/>
        <v>0</v>
      </c>
      <c r="S63" s="1027">
        <f t="shared" si="11"/>
        <v>14</v>
      </c>
      <c r="T63" s="1027">
        <f t="shared" ref="T63:U63" si="12">COUNT(T48:T61)</f>
        <v>14</v>
      </c>
      <c r="U63" s="1027">
        <f t="shared" si="12"/>
        <v>14</v>
      </c>
      <c r="V63" s="1027"/>
      <c r="W63" s="1027"/>
      <c r="X63" s="770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</row>
    <row r="64" spans="1:105" s="4" customFormat="1">
      <c r="A64" s="114"/>
      <c r="B64" s="114"/>
      <c r="C64" s="775" t="s">
        <v>286</v>
      </c>
      <c r="D64" s="1026">
        <f>D62/D63</f>
        <v>0.2857142857142857</v>
      </c>
      <c r="E64" s="1026">
        <f t="shared" ref="E64:S64" si="13">E62/E63</f>
        <v>0.5</v>
      </c>
      <c r="F64" s="1026">
        <f t="shared" si="13"/>
        <v>0.35714285714285715</v>
      </c>
      <c r="G64" s="1026">
        <f t="shared" si="13"/>
        <v>0.5</v>
      </c>
      <c r="H64" s="1026">
        <f t="shared" si="13"/>
        <v>0.2857142857142857</v>
      </c>
      <c r="I64" s="1026">
        <f t="shared" si="13"/>
        <v>0.9285714285714286</v>
      </c>
      <c r="J64" s="1026">
        <f t="shared" si="13"/>
        <v>1</v>
      </c>
      <c r="K64" s="1026">
        <f t="shared" si="13"/>
        <v>1</v>
      </c>
      <c r="L64" s="1026">
        <f t="shared" si="13"/>
        <v>1</v>
      </c>
      <c r="M64" s="1026">
        <f t="shared" si="13"/>
        <v>0.9285714285714286</v>
      </c>
      <c r="N64" s="1026">
        <f t="shared" si="13"/>
        <v>1</v>
      </c>
      <c r="O64" s="1026" t="e">
        <f t="shared" si="13"/>
        <v>#DIV/0!</v>
      </c>
      <c r="P64" s="1026" t="e">
        <f t="shared" si="13"/>
        <v>#DIV/0!</v>
      </c>
      <c r="Q64" s="1026" t="e">
        <f t="shared" si="13"/>
        <v>#DIV/0!</v>
      </c>
      <c r="R64" s="1026" t="e">
        <f t="shared" si="13"/>
        <v>#DIV/0!</v>
      </c>
      <c r="S64" s="1026">
        <f t="shared" si="13"/>
        <v>0.5714285714285714</v>
      </c>
      <c r="T64" s="1026">
        <f t="shared" ref="T64:U64" si="14">T62/T63</f>
        <v>0.14285714285714285</v>
      </c>
      <c r="U64" s="1026">
        <f t="shared" si="14"/>
        <v>0</v>
      </c>
      <c r="V64" s="1026"/>
      <c r="W64" s="1026"/>
      <c r="X64" s="770"/>
      <c r="Z64" s="2976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CE64" s="83"/>
      <c r="CF64" s="83"/>
      <c r="CG64" s="83"/>
      <c r="CH64" s="83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3"/>
      <c r="CW64" s="83"/>
      <c r="CX64" s="83"/>
      <c r="CY64" s="83"/>
      <c r="CZ64" s="83"/>
      <c r="DA64" s="83"/>
    </row>
    <row r="65" spans="1:71">
      <c r="A65" s="771"/>
      <c r="B65" s="1022"/>
      <c r="C65" s="771"/>
      <c r="D65" s="771"/>
      <c r="E65" s="771"/>
      <c r="F65" s="771"/>
      <c r="G65" s="771"/>
      <c r="H65" s="771"/>
      <c r="I65" s="771"/>
      <c r="J65" s="771"/>
      <c r="K65" s="771"/>
      <c r="L65" s="771"/>
      <c r="M65" s="771"/>
      <c r="N65" s="771"/>
      <c r="O65" s="771"/>
      <c r="P65" s="771"/>
      <c r="Q65" s="771"/>
      <c r="R65" s="771"/>
      <c r="S65" s="771"/>
      <c r="T65" s="334"/>
      <c r="U65" s="771"/>
      <c r="V65" s="771"/>
      <c r="W65" s="771"/>
      <c r="X65" s="334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</row>
    <row r="66" spans="1:71">
      <c r="M66" s="61"/>
      <c r="N66" s="61"/>
      <c r="O66" s="61"/>
      <c r="P66" s="61"/>
      <c r="Q66" s="61"/>
      <c r="R66" s="61"/>
      <c r="S66" s="61"/>
      <c r="T66" s="1046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</row>
    <row r="67" spans="1:71" s="4" customFormat="1">
      <c r="A67" s="3535" t="s">
        <v>291</v>
      </c>
      <c r="B67" s="3535" t="s">
        <v>301</v>
      </c>
      <c r="C67" s="3535" t="s">
        <v>284</v>
      </c>
      <c r="D67" s="3532" t="s">
        <v>285</v>
      </c>
      <c r="E67" s="3533"/>
      <c r="F67" s="3533"/>
      <c r="G67" s="3533"/>
      <c r="H67" s="3533"/>
      <c r="I67" s="3533"/>
      <c r="J67" s="3533"/>
      <c r="K67" s="3533"/>
      <c r="L67" s="3533"/>
      <c r="M67" s="3533"/>
      <c r="N67" s="3533"/>
      <c r="O67" s="3533"/>
      <c r="P67" s="3533"/>
      <c r="Q67" s="3533"/>
      <c r="R67" s="3533"/>
      <c r="S67" s="3533"/>
      <c r="T67" s="3533"/>
      <c r="U67" s="3533"/>
      <c r="V67" s="3533"/>
      <c r="W67" s="3533"/>
      <c r="X67" s="3627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E67" s="83"/>
      <c r="BF67" s="83"/>
      <c r="BG67" s="83"/>
      <c r="BH67" s="83"/>
      <c r="BI67" s="83"/>
      <c r="BJ67" s="83"/>
      <c r="BK67" s="83"/>
      <c r="BL67" s="83"/>
      <c r="BM67" s="83"/>
    </row>
    <row r="68" spans="1:71" s="4" customFormat="1">
      <c r="A68" s="3536"/>
      <c r="B68" s="3536"/>
      <c r="C68" s="3536"/>
      <c r="D68" s="3532">
        <v>2011</v>
      </c>
      <c r="E68" s="3533"/>
      <c r="F68" s="3533"/>
      <c r="G68" s="3534"/>
      <c r="H68" s="3532">
        <v>2012</v>
      </c>
      <c r="I68" s="3533"/>
      <c r="J68" s="3533"/>
      <c r="K68" s="3534"/>
      <c r="L68" s="3532">
        <v>2013</v>
      </c>
      <c r="M68" s="3533"/>
      <c r="N68" s="3533"/>
      <c r="O68" s="3534"/>
      <c r="P68" s="3532">
        <v>2014</v>
      </c>
      <c r="Q68" s="3533"/>
      <c r="R68" s="3533"/>
      <c r="S68" s="3534"/>
      <c r="T68" s="3532">
        <v>2015</v>
      </c>
      <c r="U68" s="3533"/>
      <c r="V68" s="3533"/>
      <c r="W68" s="3534"/>
      <c r="X68" s="3628">
        <v>2016</v>
      </c>
      <c r="Y68" s="3628"/>
      <c r="Z68" s="3628"/>
      <c r="AA68" s="3628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E68" s="83"/>
      <c r="BF68" s="83"/>
      <c r="BG68" s="83"/>
      <c r="BH68" s="83"/>
      <c r="BI68" s="83"/>
      <c r="BJ68" s="83"/>
      <c r="BK68" s="83"/>
      <c r="BL68" s="83"/>
      <c r="BM68" s="83"/>
    </row>
    <row r="69" spans="1:71" s="4" customFormat="1">
      <c r="A69" s="3537"/>
      <c r="B69" s="3537"/>
      <c r="C69" s="3537"/>
      <c r="D69" s="1100" t="s">
        <v>2</v>
      </c>
      <c r="E69" s="1100" t="s">
        <v>3</v>
      </c>
      <c r="F69" s="1100" t="s">
        <v>4</v>
      </c>
      <c r="G69" s="1100" t="s">
        <v>5</v>
      </c>
      <c r="H69" s="1100" t="s">
        <v>2</v>
      </c>
      <c r="I69" s="1100" t="s">
        <v>3</v>
      </c>
      <c r="J69" s="1100" t="s">
        <v>4</v>
      </c>
      <c r="K69" s="1100" t="s">
        <v>5</v>
      </c>
      <c r="L69" s="1100" t="s">
        <v>2</v>
      </c>
      <c r="M69" s="1100" t="s">
        <v>3</v>
      </c>
      <c r="N69" s="1100" t="s">
        <v>4</v>
      </c>
      <c r="O69" s="1100" t="s">
        <v>5</v>
      </c>
      <c r="P69" s="1100" t="s">
        <v>2</v>
      </c>
      <c r="Q69" s="1100" t="s">
        <v>3</v>
      </c>
      <c r="R69" s="1100" t="s">
        <v>4</v>
      </c>
      <c r="S69" s="1100" t="s">
        <v>5</v>
      </c>
      <c r="T69" s="1100" t="s">
        <v>2</v>
      </c>
      <c r="U69" s="1100" t="s">
        <v>3</v>
      </c>
      <c r="V69" s="1100" t="s">
        <v>4</v>
      </c>
      <c r="W69" s="1100" t="s">
        <v>5</v>
      </c>
      <c r="X69" s="1100" t="s">
        <v>2</v>
      </c>
      <c r="Y69" s="1100" t="s">
        <v>3</v>
      </c>
      <c r="Z69" s="1100" t="s">
        <v>4</v>
      </c>
      <c r="AA69" s="1100" t="s">
        <v>5</v>
      </c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E69" s="83"/>
      <c r="BF69" s="83"/>
      <c r="BG69" s="83"/>
      <c r="BH69" s="83"/>
      <c r="BI69" s="83"/>
      <c r="BJ69" s="83"/>
      <c r="BK69" s="83"/>
      <c r="BL69" s="83"/>
      <c r="BM69" s="83"/>
    </row>
    <row r="70" spans="1:71" s="1096" customFormat="1">
      <c r="A70" s="3569" t="s">
        <v>126</v>
      </c>
      <c r="B70" s="3565" t="s">
        <v>42</v>
      </c>
      <c r="C70" s="3624">
        <f>COUNTA(C15:C21)</f>
        <v>7</v>
      </c>
      <c r="D70" s="1556">
        <f>COUNTIF(D15:D21,"&lt;=2")</f>
        <v>0</v>
      </c>
      <c r="E70" s="1556">
        <f t="shared" ref="E70:X70" si="15">COUNTIF(E15:E21,"&lt;=2")</f>
        <v>1</v>
      </c>
      <c r="F70" s="1556">
        <f t="shared" si="15"/>
        <v>3</v>
      </c>
      <c r="G70" s="1556">
        <f t="shared" si="15"/>
        <v>1</v>
      </c>
      <c r="H70" s="1556">
        <f t="shared" si="15"/>
        <v>0</v>
      </c>
      <c r="I70" s="1556">
        <f t="shared" si="15"/>
        <v>0</v>
      </c>
      <c r="J70" s="1556">
        <f t="shared" si="15"/>
        <v>0</v>
      </c>
      <c r="K70" s="1556">
        <f t="shared" si="15"/>
        <v>0</v>
      </c>
      <c r="L70" s="1556">
        <f t="shared" si="15"/>
        <v>0</v>
      </c>
      <c r="M70" s="1556">
        <f t="shared" si="15"/>
        <v>0</v>
      </c>
      <c r="N70" s="1556">
        <f t="shared" si="15"/>
        <v>1</v>
      </c>
      <c r="O70" s="1556">
        <f t="shared" si="15"/>
        <v>0</v>
      </c>
      <c r="P70" s="1556">
        <f t="shared" si="15"/>
        <v>0</v>
      </c>
      <c r="Q70" s="1556">
        <f t="shared" si="15"/>
        <v>0</v>
      </c>
      <c r="R70" s="1556">
        <f t="shared" si="15"/>
        <v>0</v>
      </c>
      <c r="S70" s="1556">
        <f t="shared" si="15"/>
        <v>0</v>
      </c>
      <c r="T70" s="3001">
        <f t="shared" ref="T70:W70" si="16">COUNTIF(T15:T21,"&lt;=2")</f>
        <v>0</v>
      </c>
      <c r="U70" s="3001">
        <f t="shared" si="16"/>
        <v>0</v>
      </c>
      <c r="V70" s="3001">
        <f t="shared" si="16"/>
        <v>0</v>
      </c>
      <c r="W70" s="3001">
        <f t="shared" si="16"/>
        <v>0</v>
      </c>
      <c r="X70" s="1556">
        <f t="shared" si="15"/>
        <v>0</v>
      </c>
      <c r="Y70" s="3282">
        <f t="shared" ref="Y70:AA70" si="17">COUNTIF(Y15:Y21,"&lt;=2")</f>
        <v>0</v>
      </c>
      <c r="Z70" s="3282">
        <f t="shared" si="17"/>
        <v>0</v>
      </c>
      <c r="AA70" s="3282">
        <f t="shared" si="17"/>
        <v>0</v>
      </c>
    </row>
    <row r="71" spans="1:71" s="1560" customFormat="1">
      <c r="A71" s="3570"/>
      <c r="B71" s="3566"/>
      <c r="C71" s="3625"/>
      <c r="D71" s="1562">
        <f>COUNT(D15:D21)</f>
        <v>7</v>
      </c>
      <c r="E71" s="1562">
        <f t="shared" ref="E71:X71" si="18">COUNT(E15:E21)</f>
        <v>7</v>
      </c>
      <c r="F71" s="1562">
        <f t="shared" si="18"/>
        <v>7</v>
      </c>
      <c r="G71" s="1562">
        <f t="shared" si="18"/>
        <v>7</v>
      </c>
      <c r="H71" s="1562">
        <f t="shared" si="18"/>
        <v>7</v>
      </c>
      <c r="I71" s="1562">
        <f t="shared" si="18"/>
        <v>7</v>
      </c>
      <c r="J71" s="1562">
        <f t="shared" si="18"/>
        <v>7</v>
      </c>
      <c r="K71" s="1562">
        <f t="shared" si="18"/>
        <v>0</v>
      </c>
      <c r="L71" s="1562">
        <f t="shared" si="18"/>
        <v>6</v>
      </c>
      <c r="M71" s="1562">
        <f t="shared" si="18"/>
        <v>7</v>
      </c>
      <c r="N71" s="1562">
        <f t="shared" si="18"/>
        <v>7</v>
      </c>
      <c r="O71" s="1562">
        <f t="shared" si="18"/>
        <v>0</v>
      </c>
      <c r="P71" s="1562">
        <f t="shared" si="18"/>
        <v>0</v>
      </c>
      <c r="Q71" s="1562">
        <f t="shared" si="18"/>
        <v>0</v>
      </c>
      <c r="R71" s="1562">
        <f t="shared" si="18"/>
        <v>0</v>
      </c>
      <c r="S71" s="1562">
        <f t="shared" si="18"/>
        <v>7</v>
      </c>
      <c r="T71" s="3002">
        <f t="shared" ref="T71:W71" si="19">COUNT(T15:T21)</f>
        <v>7</v>
      </c>
      <c r="U71" s="3002">
        <f t="shared" si="19"/>
        <v>6</v>
      </c>
      <c r="V71" s="3002">
        <f t="shared" si="19"/>
        <v>7</v>
      </c>
      <c r="W71" s="3002">
        <f t="shared" si="19"/>
        <v>7</v>
      </c>
      <c r="X71" s="1562">
        <f t="shared" si="18"/>
        <v>7</v>
      </c>
      <c r="Y71" s="3283">
        <f t="shared" ref="Y71:AA71" si="20">COUNT(Y15:Y21)</f>
        <v>7</v>
      </c>
      <c r="Z71" s="3283">
        <f t="shared" si="20"/>
        <v>0</v>
      </c>
      <c r="AA71" s="3283">
        <f t="shared" si="20"/>
        <v>0</v>
      </c>
    </row>
    <row r="72" spans="1:71" s="1096" customFormat="1">
      <c r="A72" s="3570"/>
      <c r="B72" s="3567"/>
      <c r="C72" s="3626"/>
      <c r="D72" s="1557">
        <f>D70/D71</f>
        <v>0</v>
      </c>
      <c r="E72" s="1557">
        <f t="shared" ref="E72:X72" si="21">E70/E71</f>
        <v>0.14285714285714285</v>
      </c>
      <c r="F72" s="1557">
        <f t="shared" si="21"/>
        <v>0.42857142857142855</v>
      </c>
      <c r="G72" s="1557">
        <f t="shared" si="21"/>
        <v>0.14285714285714285</v>
      </c>
      <c r="H72" s="1557">
        <f t="shared" si="21"/>
        <v>0</v>
      </c>
      <c r="I72" s="1557">
        <f t="shared" si="21"/>
        <v>0</v>
      </c>
      <c r="J72" s="1557">
        <f t="shared" si="21"/>
        <v>0</v>
      </c>
      <c r="K72" s="1557" t="e">
        <f t="shared" si="21"/>
        <v>#DIV/0!</v>
      </c>
      <c r="L72" s="1557">
        <f t="shared" si="21"/>
        <v>0</v>
      </c>
      <c r="M72" s="1557">
        <f t="shared" si="21"/>
        <v>0</v>
      </c>
      <c r="N72" s="1557">
        <f t="shared" si="21"/>
        <v>0.14285714285714285</v>
      </c>
      <c r="O72" s="1557" t="e">
        <f t="shared" si="21"/>
        <v>#DIV/0!</v>
      </c>
      <c r="P72" s="1557" t="e">
        <f t="shared" si="21"/>
        <v>#DIV/0!</v>
      </c>
      <c r="Q72" s="1557" t="e">
        <f t="shared" si="21"/>
        <v>#DIV/0!</v>
      </c>
      <c r="R72" s="1557" t="e">
        <f t="shared" si="21"/>
        <v>#DIV/0!</v>
      </c>
      <c r="S72" s="1557">
        <f t="shared" si="21"/>
        <v>0</v>
      </c>
      <c r="T72" s="1557">
        <f t="shared" ref="T72:W72" si="22">T70/T71</f>
        <v>0</v>
      </c>
      <c r="U72" s="1557">
        <f t="shared" si="22"/>
        <v>0</v>
      </c>
      <c r="V72" s="1557">
        <f t="shared" si="22"/>
        <v>0</v>
      </c>
      <c r="W72" s="1557">
        <f t="shared" si="22"/>
        <v>0</v>
      </c>
      <c r="X72" s="1557">
        <f t="shared" si="21"/>
        <v>0</v>
      </c>
      <c r="Y72" s="1557">
        <f t="shared" ref="Y72:AA72" si="23">Y70/Y71</f>
        <v>0</v>
      </c>
      <c r="Z72" s="1557" t="e">
        <f t="shared" si="23"/>
        <v>#DIV/0!</v>
      </c>
      <c r="AA72" s="1557" t="e">
        <f t="shared" si="23"/>
        <v>#DIV/0!</v>
      </c>
    </row>
    <row r="73" spans="1:71" s="1096" customFormat="1">
      <c r="A73" s="3570"/>
      <c r="B73" s="3581" t="s">
        <v>49</v>
      </c>
      <c r="C73" s="3624">
        <f>COUNTA(C22:C30)</f>
        <v>9</v>
      </c>
      <c r="D73" s="1556">
        <f>COUNTIF(D22:D30,"&lt;=2")</f>
        <v>0</v>
      </c>
      <c r="E73" s="1556">
        <f t="shared" ref="E73:X73" si="24">COUNTIF(E22:E30,"&lt;=2")</f>
        <v>2</v>
      </c>
      <c r="F73" s="1556">
        <f t="shared" si="24"/>
        <v>3</v>
      </c>
      <c r="G73" s="1556">
        <f t="shared" si="24"/>
        <v>1</v>
      </c>
      <c r="H73" s="1556">
        <f t="shared" si="24"/>
        <v>0</v>
      </c>
      <c r="I73" s="1556">
        <f t="shared" si="24"/>
        <v>0</v>
      </c>
      <c r="J73" s="1556">
        <f t="shared" si="24"/>
        <v>0</v>
      </c>
      <c r="K73" s="1556">
        <f t="shared" si="24"/>
        <v>0</v>
      </c>
      <c r="L73" s="1556">
        <f t="shared" si="24"/>
        <v>0</v>
      </c>
      <c r="M73" s="1556">
        <f t="shared" si="24"/>
        <v>0</v>
      </c>
      <c r="N73" s="1556">
        <f t="shared" si="24"/>
        <v>0</v>
      </c>
      <c r="O73" s="1556">
        <f t="shared" si="24"/>
        <v>0</v>
      </c>
      <c r="P73" s="1556">
        <f t="shared" si="24"/>
        <v>0</v>
      </c>
      <c r="Q73" s="1556">
        <f t="shared" si="24"/>
        <v>0</v>
      </c>
      <c r="R73" s="1556">
        <f t="shared" si="24"/>
        <v>0</v>
      </c>
      <c r="S73" s="1556">
        <f t="shared" si="24"/>
        <v>0</v>
      </c>
      <c r="T73" s="3001">
        <f t="shared" ref="T73:W73" si="25">COUNTIF(T22:T30,"&lt;=2")</f>
        <v>0</v>
      </c>
      <c r="U73" s="3001">
        <f t="shared" si="25"/>
        <v>0</v>
      </c>
      <c r="V73" s="3001">
        <f t="shared" si="25"/>
        <v>0</v>
      </c>
      <c r="W73" s="3001">
        <f t="shared" si="25"/>
        <v>0</v>
      </c>
      <c r="X73" s="1556">
        <f t="shared" si="24"/>
        <v>0</v>
      </c>
      <c r="Y73" s="3282">
        <f t="shared" ref="Y73:AA73" si="26">COUNTIF(Y22:Y30,"&lt;=2")</f>
        <v>0</v>
      </c>
      <c r="Z73" s="3282">
        <f t="shared" si="26"/>
        <v>0</v>
      </c>
      <c r="AA73" s="3282">
        <f t="shared" si="26"/>
        <v>0</v>
      </c>
    </row>
    <row r="74" spans="1:71" s="1560" customFormat="1">
      <c r="A74" s="3570"/>
      <c r="B74" s="3582"/>
      <c r="C74" s="3625"/>
      <c r="D74" s="1562">
        <f>COUNT(D22:D30)</f>
        <v>9</v>
      </c>
      <c r="E74" s="1562">
        <f t="shared" ref="E74:X74" si="27">COUNT(E22:E30)</f>
        <v>9</v>
      </c>
      <c r="F74" s="1562">
        <f t="shared" si="27"/>
        <v>9</v>
      </c>
      <c r="G74" s="1562">
        <f t="shared" si="27"/>
        <v>9</v>
      </c>
      <c r="H74" s="1562">
        <f t="shared" si="27"/>
        <v>9</v>
      </c>
      <c r="I74" s="1562">
        <f t="shared" si="27"/>
        <v>0</v>
      </c>
      <c r="J74" s="1562">
        <f t="shared" si="27"/>
        <v>9</v>
      </c>
      <c r="K74" s="1562">
        <f t="shared" si="27"/>
        <v>9</v>
      </c>
      <c r="L74" s="1562">
        <f t="shared" si="27"/>
        <v>9</v>
      </c>
      <c r="M74" s="1562">
        <f t="shared" si="27"/>
        <v>8</v>
      </c>
      <c r="N74" s="1562">
        <f t="shared" si="27"/>
        <v>9</v>
      </c>
      <c r="O74" s="1562">
        <f t="shared" si="27"/>
        <v>0</v>
      </c>
      <c r="P74" s="1562">
        <f t="shared" si="27"/>
        <v>9</v>
      </c>
      <c r="Q74" s="1562">
        <f t="shared" si="27"/>
        <v>9</v>
      </c>
      <c r="R74" s="1562">
        <f t="shared" si="27"/>
        <v>0</v>
      </c>
      <c r="S74" s="1562">
        <f t="shared" si="27"/>
        <v>9</v>
      </c>
      <c r="T74" s="3002">
        <f t="shared" ref="T74:W74" si="28">COUNT(T22:T30)</f>
        <v>9</v>
      </c>
      <c r="U74" s="3002">
        <f t="shared" si="28"/>
        <v>9</v>
      </c>
      <c r="V74" s="3002">
        <f t="shared" si="28"/>
        <v>9</v>
      </c>
      <c r="W74" s="3002">
        <f t="shared" si="28"/>
        <v>9</v>
      </c>
      <c r="X74" s="1562">
        <f t="shared" si="27"/>
        <v>9</v>
      </c>
      <c r="Y74" s="3283">
        <f t="shared" ref="Y74:AA74" si="29">COUNT(Y22:Y30)</f>
        <v>9</v>
      </c>
      <c r="Z74" s="3283">
        <f t="shared" si="29"/>
        <v>9</v>
      </c>
      <c r="AA74" s="3283">
        <f t="shared" si="29"/>
        <v>0</v>
      </c>
    </row>
    <row r="75" spans="1:71" s="1096" customFormat="1">
      <c r="A75" s="3570"/>
      <c r="B75" s="3583"/>
      <c r="C75" s="3626"/>
      <c r="D75" s="1557">
        <f t="shared" ref="D75:X75" si="30">D73/D74</f>
        <v>0</v>
      </c>
      <c r="E75" s="1557">
        <f t="shared" si="30"/>
        <v>0.22222222222222221</v>
      </c>
      <c r="F75" s="1557">
        <f t="shared" si="30"/>
        <v>0.33333333333333331</v>
      </c>
      <c r="G75" s="1557">
        <f t="shared" si="30"/>
        <v>0.1111111111111111</v>
      </c>
      <c r="H75" s="1557">
        <f t="shared" si="30"/>
        <v>0</v>
      </c>
      <c r="I75" s="1557" t="e">
        <f t="shared" si="30"/>
        <v>#DIV/0!</v>
      </c>
      <c r="J75" s="1557">
        <f t="shared" si="30"/>
        <v>0</v>
      </c>
      <c r="K75" s="1557">
        <f t="shared" si="30"/>
        <v>0</v>
      </c>
      <c r="L75" s="1557">
        <f t="shared" si="30"/>
        <v>0</v>
      </c>
      <c r="M75" s="1557">
        <f t="shared" si="30"/>
        <v>0</v>
      </c>
      <c r="N75" s="1557">
        <f t="shared" si="30"/>
        <v>0</v>
      </c>
      <c r="O75" s="1557" t="e">
        <f t="shared" si="30"/>
        <v>#DIV/0!</v>
      </c>
      <c r="P75" s="1557">
        <f t="shared" si="30"/>
        <v>0</v>
      </c>
      <c r="Q75" s="1557">
        <f t="shared" si="30"/>
        <v>0</v>
      </c>
      <c r="R75" s="1557" t="e">
        <f t="shared" si="30"/>
        <v>#DIV/0!</v>
      </c>
      <c r="S75" s="1557">
        <f t="shared" si="30"/>
        <v>0</v>
      </c>
      <c r="T75" s="1557">
        <f t="shared" ref="T75:W75" si="31">T73/T74</f>
        <v>0</v>
      </c>
      <c r="U75" s="1557">
        <f t="shared" si="31"/>
        <v>0</v>
      </c>
      <c r="V75" s="1557">
        <f t="shared" si="31"/>
        <v>0</v>
      </c>
      <c r="W75" s="1557">
        <f t="shared" si="31"/>
        <v>0</v>
      </c>
      <c r="X75" s="1557">
        <f t="shared" si="30"/>
        <v>0</v>
      </c>
      <c r="Y75" s="1557">
        <f t="shared" ref="Y75:AA75" si="32">Y73/Y74</f>
        <v>0</v>
      </c>
      <c r="Z75" s="1557">
        <f t="shared" si="32"/>
        <v>0</v>
      </c>
      <c r="AA75" s="1557" t="e">
        <f t="shared" si="32"/>
        <v>#DIV/0!</v>
      </c>
    </row>
    <row r="76" spans="1:71" s="1096" customFormat="1">
      <c r="A76" s="3570"/>
      <c r="B76" s="3565" t="s">
        <v>40</v>
      </c>
      <c r="C76" s="3624">
        <f>COUNTA(C31:C40)</f>
        <v>10</v>
      </c>
      <c r="D76" s="1556">
        <f>COUNTIF(D31:D40,"&lt;=2")</f>
        <v>0</v>
      </c>
      <c r="E76" s="1556">
        <f t="shared" ref="E76:X76" si="33">COUNTIF(E31:E40,"&lt;=2")</f>
        <v>0</v>
      </c>
      <c r="F76" s="1556">
        <f t="shared" si="33"/>
        <v>0</v>
      </c>
      <c r="G76" s="1556">
        <f t="shared" si="33"/>
        <v>0</v>
      </c>
      <c r="H76" s="1556">
        <f t="shared" si="33"/>
        <v>0</v>
      </c>
      <c r="I76" s="1556">
        <f t="shared" si="33"/>
        <v>0</v>
      </c>
      <c r="J76" s="1556">
        <f t="shared" si="33"/>
        <v>0</v>
      </c>
      <c r="K76" s="1556">
        <f t="shared" si="33"/>
        <v>0</v>
      </c>
      <c r="L76" s="1556">
        <f t="shared" si="33"/>
        <v>0</v>
      </c>
      <c r="M76" s="1556">
        <f t="shared" si="33"/>
        <v>0</v>
      </c>
      <c r="N76" s="1556">
        <f t="shared" si="33"/>
        <v>0</v>
      </c>
      <c r="O76" s="1556">
        <f t="shared" si="33"/>
        <v>0</v>
      </c>
      <c r="P76" s="1556">
        <f t="shared" si="33"/>
        <v>0</v>
      </c>
      <c r="Q76" s="1556">
        <f t="shared" si="33"/>
        <v>0</v>
      </c>
      <c r="R76" s="1556">
        <f t="shared" si="33"/>
        <v>0</v>
      </c>
      <c r="S76" s="1556">
        <f t="shared" si="33"/>
        <v>0</v>
      </c>
      <c r="T76" s="3001">
        <f t="shared" ref="T76:W76" si="34">COUNTIF(T31:T40,"&lt;=2")</f>
        <v>0</v>
      </c>
      <c r="U76" s="3001">
        <f t="shared" si="34"/>
        <v>0</v>
      </c>
      <c r="V76" s="3001">
        <f t="shared" si="34"/>
        <v>0</v>
      </c>
      <c r="W76" s="3001">
        <f t="shared" si="34"/>
        <v>0</v>
      </c>
      <c r="X76" s="1556">
        <f t="shared" si="33"/>
        <v>0</v>
      </c>
      <c r="Y76" s="3282">
        <f t="shared" ref="Y76:AA76" si="35">COUNTIF(Y31:Y40,"&lt;=2")</f>
        <v>0</v>
      </c>
      <c r="Z76" s="3282">
        <f t="shared" si="35"/>
        <v>0</v>
      </c>
      <c r="AA76" s="3282">
        <f t="shared" si="35"/>
        <v>0</v>
      </c>
    </row>
    <row r="77" spans="1:71" s="1560" customFormat="1">
      <c r="A77" s="3570"/>
      <c r="B77" s="3566"/>
      <c r="C77" s="3625"/>
      <c r="D77" s="1562">
        <f>COUNT(D31:D40)</f>
        <v>10</v>
      </c>
      <c r="E77" s="1562">
        <f t="shared" ref="E77:X77" si="36">COUNT(E31:E40)</f>
        <v>10</v>
      </c>
      <c r="F77" s="1562">
        <f t="shared" si="36"/>
        <v>10</v>
      </c>
      <c r="G77" s="1562">
        <f t="shared" si="36"/>
        <v>10</v>
      </c>
      <c r="H77" s="1562">
        <f t="shared" si="36"/>
        <v>10</v>
      </c>
      <c r="I77" s="1562">
        <f t="shared" si="36"/>
        <v>0</v>
      </c>
      <c r="J77" s="1562">
        <f t="shared" si="36"/>
        <v>10</v>
      </c>
      <c r="K77" s="1562">
        <f t="shared" si="36"/>
        <v>10</v>
      </c>
      <c r="L77" s="1562">
        <f t="shared" si="36"/>
        <v>10</v>
      </c>
      <c r="M77" s="1562">
        <f t="shared" si="36"/>
        <v>10</v>
      </c>
      <c r="N77" s="1562">
        <f t="shared" si="36"/>
        <v>10</v>
      </c>
      <c r="O77" s="1562">
        <f t="shared" si="36"/>
        <v>0</v>
      </c>
      <c r="P77" s="1562">
        <f t="shared" si="36"/>
        <v>10</v>
      </c>
      <c r="Q77" s="1562">
        <f t="shared" si="36"/>
        <v>10</v>
      </c>
      <c r="R77" s="1562">
        <f t="shared" si="36"/>
        <v>0</v>
      </c>
      <c r="S77" s="1562">
        <f t="shared" si="36"/>
        <v>10</v>
      </c>
      <c r="T77" s="3002">
        <f t="shared" ref="T77:W77" si="37">COUNT(T31:T40)</f>
        <v>10</v>
      </c>
      <c r="U77" s="3002">
        <f t="shared" si="37"/>
        <v>10</v>
      </c>
      <c r="V77" s="3002">
        <f t="shared" si="37"/>
        <v>10</v>
      </c>
      <c r="W77" s="3002">
        <f t="shared" si="37"/>
        <v>10</v>
      </c>
      <c r="X77" s="1562">
        <f t="shared" si="36"/>
        <v>10</v>
      </c>
      <c r="Y77" s="3283">
        <f t="shared" ref="Y77:AA77" si="38">COUNT(Y31:Y40)</f>
        <v>10</v>
      </c>
      <c r="Z77" s="3283">
        <f t="shared" si="38"/>
        <v>0</v>
      </c>
      <c r="AA77" s="3283">
        <f t="shared" si="38"/>
        <v>0</v>
      </c>
    </row>
    <row r="78" spans="1:71" s="1096" customFormat="1">
      <c r="A78" s="3571"/>
      <c r="B78" s="3567"/>
      <c r="C78" s="3626"/>
      <c r="D78" s="1557">
        <f t="shared" ref="D78:X78" si="39">D76/D77</f>
        <v>0</v>
      </c>
      <c r="E78" s="1557">
        <f t="shared" si="39"/>
        <v>0</v>
      </c>
      <c r="F78" s="1557">
        <f t="shared" si="39"/>
        <v>0</v>
      </c>
      <c r="G78" s="1557">
        <f t="shared" si="39"/>
        <v>0</v>
      </c>
      <c r="H78" s="1557">
        <f t="shared" si="39"/>
        <v>0</v>
      </c>
      <c r="I78" s="1557" t="e">
        <f t="shared" si="39"/>
        <v>#DIV/0!</v>
      </c>
      <c r="J78" s="1557">
        <f t="shared" si="39"/>
        <v>0</v>
      </c>
      <c r="K78" s="1557">
        <f t="shared" si="39"/>
        <v>0</v>
      </c>
      <c r="L78" s="1557">
        <f t="shared" si="39"/>
        <v>0</v>
      </c>
      <c r="M78" s="1557">
        <f t="shared" si="39"/>
        <v>0</v>
      </c>
      <c r="N78" s="1557">
        <f t="shared" si="39"/>
        <v>0</v>
      </c>
      <c r="O78" s="1557" t="e">
        <f t="shared" si="39"/>
        <v>#DIV/0!</v>
      </c>
      <c r="P78" s="1557">
        <f t="shared" si="39"/>
        <v>0</v>
      </c>
      <c r="Q78" s="1557">
        <f t="shared" si="39"/>
        <v>0</v>
      </c>
      <c r="R78" s="1557" t="e">
        <f t="shared" si="39"/>
        <v>#DIV/0!</v>
      </c>
      <c r="S78" s="1557">
        <f t="shared" si="39"/>
        <v>0</v>
      </c>
      <c r="T78" s="1557">
        <f t="shared" ref="T78:W78" si="40">T76/T77</f>
        <v>0</v>
      </c>
      <c r="U78" s="1557">
        <f t="shared" si="40"/>
        <v>0</v>
      </c>
      <c r="V78" s="1557">
        <f t="shared" si="40"/>
        <v>0</v>
      </c>
      <c r="W78" s="1557">
        <f t="shared" si="40"/>
        <v>0</v>
      </c>
      <c r="X78" s="1557">
        <f t="shared" si="39"/>
        <v>0</v>
      </c>
      <c r="Y78" s="1557">
        <f t="shared" ref="Y78:AA78" si="41">Y76/Y77</f>
        <v>0</v>
      </c>
      <c r="Z78" s="1557" t="e">
        <f t="shared" si="41"/>
        <v>#DIV/0!</v>
      </c>
      <c r="AA78" s="1557" t="e">
        <f t="shared" si="41"/>
        <v>#DIV/0!</v>
      </c>
    </row>
    <row r="79" spans="1:71" s="1733" customFormat="1">
      <c r="A79" s="1752"/>
      <c r="B79" s="1753"/>
      <c r="C79" s="3629">
        <v>14</v>
      </c>
      <c r="D79" s="1754">
        <f>COUNTIF(D48:D61, "&lt;=2")</f>
        <v>4</v>
      </c>
      <c r="E79" s="1754">
        <f t="shared" ref="E79:S79" si="42">COUNTIF(E48:E61, "&lt;=2")</f>
        <v>7</v>
      </c>
      <c r="F79" s="1754">
        <f t="shared" si="42"/>
        <v>5</v>
      </c>
      <c r="G79" s="1754">
        <f t="shared" si="42"/>
        <v>7</v>
      </c>
      <c r="H79" s="1754">
        <f t="shared" si="42"/>
        <v>4</v>
      </c>
      <c r="I79" s="1754">
        <f t="shared" si="42"/>
        <v>13</v>
      </c>
      <c r="J79" s="1754">
        <f t="shared" si="42"/>
        <v>14</v>
      </c>
      <c r="K79" s="1754">
        <f t="shared" si="42"/>
        <v>14</v>
      </c>
      <c r="L79" s="1754">
        <f t="shared" si="42"/>
        <v>14</v>
      </c>
      <c r="M79" s="1754">
        <f t="shared" si="42"/>
        <v>13</v>
      </c>
      <c r="N79" s="1754">
        <f t="shared" si="42"/>
        <v>14</v>
      </c>
      <c r="O79" s="1754">
        <f t="shared" si="42"/>
        <v>0</v>
      </c>
      <c r="P79" s="1754">
        <f t="shared" si="42"/>
        <v>0</v>
      </c>
      <c r="Q79" s="1754">
        <f t="shared" si="42"/>
        <v>0</v>
      </c>
      <c r="R79" s="1754">
        <f t="shared" si="42"/>
        <v>0</v>
      </c>
      <c r="S79" s="1754">
        <f t="shared" si="42"/>
        <v>8</v>
      </c>
      <c r="T79" s="1754">
        <f t="shared" ref="T79:W79" si="43">COUNTIF(T48:T61, "&lt;=2")</f>
        <v>2</v>
      </c>
      <c r="U79" s="1754">
        <f t="shared" si="43"/>
        <v>0</v>
      </c>
      <c r="V79" s="1754">
        <f t="shared" si="43"/>
        <v>0</v>
      </c>
      <c r="W79" s="1754">
        <f t="shared" si="43"/>
        <v>0</v>
      </c>
      <c r="X79" s="1557"/>
      <c r="Y79" s="1557"/>
      <c r="Z79" s="1557"/>
      <c r="AA79" s="1557"/>
    </row>
    <row r="80" spans="1:71" s="1733" customFormat="1">
      <c r="A80" s="1752"/>
      <c r="B80" s="1753"/>
      <c r="C80" s="3630"/>
      <c r="D80" s="1754">
        <f>COUNT(D48:D61)</f>
        <v>14</v>
      </c>
      <c r="E80" s="1754">
        <f t="shared" ref="E80:X80" si="44">COUNT(E48:E61)</f>
        <v>14</v>
      </c>
      <c r="F80" s="1754">
        <f t="shared" si="44"/>
        <v>14</v>
      </c>
      <c r="G80" s="1754">
        <f t="shared" si="44"/>
        <v>14</v>
      </c>
      <c r="H80" s="1754">
        <f t="shared" si="44"/>
        <v>14</v>
      </c>
      <c r="I80" s="1754">
        <f t="shared" si="44"/>
        <v>14</v>
      </c>
      <c r="J80" s="1754">
        <f t="shared" si="44"/>
        <v>14</v>
      </c>
      <c r="K80" s="1754">
        <f t="shared" si="44"/>
        <v>14</v>
      </c>
      <c r="L80" s="1754">
        <f t="shared" si="44"/>
        <v>14</v>
      </c>
      <c r="M80" s="1754">
        <f t="shared" si="44"/>
        <v>14</v>
      </c>
      <c r="N80" s="1754">
        <f t="shared" si="44"/>
        <v>14</v>
      </c>
      <c r="O80" s="1754">
        <f t="shared" si="44"/>
        <v>0</v>
      </c>
      <c r="P80" s="1754">
        <f t="shared" si="44"/>
        <v>0</v>
      </c>
      <c r="Q80" s="1754">
        <f t="shared" si="44"/>
        <v>0</v>
      </c>
      <c r="R80" s="1754">
        <f t="shared" si="44"/>
        <v>0</v>
      </c>
      <c r="S80" s="1754">
        <f t="shared" si="44"/>
        <v>14</v>
      </c>
      <c r="T80" s="1754">
        <f t="shared" ref="T80:W80" si="45">COUNT(T48:T61)</f>
        <v>14</v>
      </c>
      <c r="U80" s="1754">
        <f t="shared" si="45"/>
        <v>14</v>
      </c>
      <c r="V80" s="1754">
        <f t="shared" si="45"/>
        <v>0</v>
      </c>
      <c r="W80" s="1754">
        <f t="shared" si="45"/>
        <v>14</v>
      </c>
      <c r="X80" s="1754">
        <f t="shared" si="44"/>
        <v>0</v>
      </c>
      <c r="Y80" s="1754">
        <f t="shared" ref="Y80:AA80" si="46">COUNT(Y48:Y61)</f>
        <v>0</v>
      </c>
      <c r="Z80" s="1754">
        <f t="shared" si="46"/>
        <v>0</v>
      </c>
      <c r="AA80" s="1754">
        <f t="shared" si="46"/>
        <v>0</v>
      </c>
    </row>
    <row r="81" spans="1:27" s="1733" customFormat="1">
      <c r="A81" s="1752"/>
      <c r="B81" s="1753"/>
      <c r="C81" s="3631"/>
      <c r="D81" s="1557">
        <f t="shared" ref="D81:X81" si="47">D79/D80</f>
        <v>0.2857142857142857</v>
      </c>
      <c r="E81" s="1557">
        <f t="shared" si="47"/>
        <v>0.5</v>
      </c>
      <c r="F81" s="1557">
        <f t="shared" si="47"/>
        <v>0.35714285714285715</v>
      </c>
      <c r="G81" s="1557">
        <f t="shared" si="47"/>
        <v>0.5</v>
      </c>
      <c r="H81" s="1557">
        <f t="shared" si="47"/>
        <v>0.2857142857142857</v>
      </c>
      <c r="I81" s="1557">
        <f t="shared" si="47"/>
        <v>0.9285714285714286</v>
      </c>
      <c r="J81" s="1557">
        <f t="shared" si="47"/>
        <v>1</v>
      </c>
      <c r="K81" s="1557">
        <f t="shared" si="47"/>
        <v>1</v>
      </c>
      <c r="L81" s="1557">
        <f t="shared" si="47"/>
        <v>1</v>
      </c>
      <c r="M81" s="1557">
        <f t="shared" si="47"/>
        <v>0.9285714285714286</v>
      </c>
      <c r="N81" s="1557">
        <f t="shared" si="47"/>
        <v>1</v>
      </c>
      <c r="O81" s="1557" t="e">
        <f t="shared" si="47"/>
        <v>#DIV/0!</v>
      </c>
      <c r="P81" s="1557" t="e">
        <f t="shared" si="47"/>
        <v>#DIV/0!</v>
      </c>
      <c r="Q81" s="1557" t="e">
        <f t="shared" si="47"/>
        <v>#DIV/0!</v>
      </c>
      <c r="R81" s="1557" t="e">
        <f t="shared" si="47"/>
        <v>#DIV/0!</v>
      </c>
      <c r="S81" s="1557">
        <f t="shared" si="47"/>
        <v>0.5714285714285714</v>
      </c>
      <c r="T81" s="1557">
        <f t="shared" ref="T81:W81" si="48">T79/T80</f>
        <v>0.14285714285714285</v>
      </c>
      <c r="U81" s="1557">
        <f t="shared" si="48"/>
        <v>0</v>
      </c>
      <c r="V81" s="1557" t="e">
        <f t="shared" si="48"/>
        <v>#DIV/0!</v>
      </c>
      <c r="W81" s="1557">
        <f t="shared" si="48"/>
        <v>0</v>
      </c>
      <c r="X81" s="1557" t="e">
        <f t="shared" si="47"/>
        <v>#DIV/0!</v>
      </c>
      <c r="Y81" s="1557" t="e">
        <f t="shared" ref="Y81:AA81" si="49">Y79/Y80</f>
        <v>#DIV/0!</v>
      </c>
      <c r="Z81" s="1557" t="e">
        <f t="shared" si="49"/>
        <v>#DIV/0!</v>
      </c>
      <c r="AA81" s="1557" t="e">
        <f t="shared" si="49"/>
        <v>#DIV/0!</v>
      </c>
    </row>
    <row r="82" spans="1:27" s="1096" customFormat="1">
      <c r="A82" s="3572" t="s">
        <v>291</v>
      </c>
      <c r="B82" s="3574"/>
      <c r="C82" s="1104">
        <f>SUM(C70:C79)</f>
        <v>40</v>
      </c>
      <c r="D82" s="1104">
        <f>SUM(D70,D73,D76,D79)</f>
        <v>4</v>
      </c>
      <c r="E82" s="1104">
        <f t="shared" ref="E82:X82" si="50">SUM(E70,E73,E76,E79)</f>
        <v>10</v>
      </c>
      <c r="F82" s="1104">
        <f t="shared" si="50"/>
        <v>11</v>
      </c>
      <c r="G82" s="1104">
        <f t="shared" si="50"/>
        <v>9</v>
      </c>
      <c r="H82" s="1104">
        <f t="shared" si="50"/>
        <v>4</v>
      </c>
      <c r="I82" s="1104">
        <f t="shared" si="50"/>
        <v>13</v>
      </c>
      <c r="J82" s="1104">
        <f t="shared" si="50"/>
        <v>14</v>
      </c>
      <c r="K82" s="1104">
        <f t="shared" si="50"/>
        <v>14</v>
      </c>
      <c r="L82" s="1104">
        <f t="shared" si="50"/>
        <v>14</v>
      </c>
      <c r="M82" s="1104">
        <f t="shared" si="50"/>
        <v>13</v>
      </c>
      <c r="N82" s="1104">
        <f t="shared" si="50"/>
        <v>15</v>
      </c>
      <c r="O82" s="1104">
        <f t="shared" si="50"/>
        <v>0</v>
      </c>
      <c r="P82" s="1104">
        <f t="shared" si="50"/>
        <v>0</v>
      </c>
      <c r="Q82" s="1104">
        <f t="shared" si="50"/>
        <v>0</v>
      </c>
      <c r="R82" s="1104">
        <f t="shared" si="50"/>
        <v>0</v>
      </c>
      <c r="S82" s="1104">
        <f t="shared" si="50"/>
        <v>8</v>
      </c>
      <c r="T82" s="1104">
        <f t="shared" ref="T82:W82" si="51">SUM(T70,T73,T76,T79)</f>
        <v>2</v>
      </c>
      <c r="U82" s="1104">
        <f t="shared" si="51"/>
        <v>0</v>
      </c>
      <c r="V82" s="1104">
        <f t="shared" si="51"/>
        <v>0</v>
      </c>
      <c r="W82" s="1104">
        <f t="shared" si="51"/>
        <v>0</v>
      </c>
      <c r="X82" s="1104">
        <f t="shared" si="50"/>
        <v>0</v>
      </c>
      <c r="Y82" s="1104">
        <f t="shared" ref="Y82:AA82" si="52">SUM(Y70,Y73,Y76,Y79)</f>
        <v>0</v>
      </c>
      <c r="Z82" s="1104">
        <f t="shared" si="52"/>
        <v>0</v>
      </c>
      <c r="AA82" s="1104">
        <f t="shared" si="52"/>
        <v>0</v>
      </c>
    </row>
    <row r="83" spans="1:27" s="1560" customFormat="1">
      <c r="A83" s="3575"/>
      <c r="B83" s="3577"/>
      <c r="C83" s="1375" t="s">
        <v>305</v>
      </c>
      <c r="D83" s="1104">
        <f>SUM(D71,D74,D77,D80)</f>
        <v>40</v>
      </c>
      <c r="E83" s="1104">
        <f t="shared" ref="E83:X83" si="53">SUM(E71,E74,E77,E80)</f>
        <v>40</v>
      </c>
      <c r="F83" s="1104">
        <f t="shared" si="53"/>
        <v>40</v>
      </c>
      <c r="G83" s="1104">
        <f t="shared" si="53"/>
        <v>40</v>
      </c>
      <c r="H83" s="1104">
        <f t="shared" si="53"/>
        <v>40</v>
      </c>
      <c r="I83" s="1104">
        <f t="shared" si="53"/>
        <v>21</v>
      </c>
      <c r="J83" s="1104">
        <f t="shared" si="53"/>
        <v>40</v>
      </c>
      <c r="K83" s="1104">
        <f t="shared" si="53"/>
        <v>33</v>
      </c>
      <c r="L83" s="1104">
        <f t="shared" si="53"/>
        <v>39</v>
      </c>
      <c r="M83" s="1104">
        <f t="shared" si="53"/>
        <v>39</v>
      </c>
      <c r="N83" s="1104">
        <f t="shared" si="53"/>
        <v>40</v>
      </c>
      <c r="O83" s="1104">
        <f t="shared" si="53"/>
        <v>0</v>
      </c>
      <c r="P83" s="1104">
        <f t="shared" si="53"/>
        <v>19</v>
      </c>
      <c r="Q83" s="1104">
        <f t="shared" si="53"/>
        <v>19</v>
      </c>
      <c r="R83" s="1104">
        <f t="shared" si="53"/>
        <v>0</v>
      </c>
      <c r="S83" s="1104">
        <f t="shared" si="53"/>
        <v>40</v>
      </c>
      <c r="T83" s="1104">
        <f t="shared" ref="T83:W83" si="54">SUM(T71,T74,T77,T80)</f>
        <v>40</v>
      </c>
      <c r="U83" s="1104">
        <f t="shared" si="54"/>
        <v>39</v>
      </c>
      <c r="V83" s="1104">
        <f t="shared" si="54"/>
        <v>26</v>
      </c>
      <c r="W83" s="1104">
        <f t="shared" si="54"/>
        <v>40</v>
      </c>
      <c r="X83" s="1104">
        <f t="shared" si="53"/>
        <v>26</v>
      </c>
      <c r="Y83" s="1104">
        <f t="shared" ref="Y83:AA83" si="55">SUM(Y71,Y74,Y77,Y80)</f>
        <v>26</v>
      </c>
      <c r="Z83" s="1104">
        <f t="shared" si="55"/>
        <v>9</v>
      </c>
      <c r="AA83" s="1104">
        <f t="shared" si="55"/>
        <v>0</v>
      </c>
    </row>
    <row r="84" spans="1:27" s="4" customFormat="1">
      <c r="A84" s="3578"/>
      <c r="B84" s="3580"/>
      <c r="C84" s="1100" t="s">
        <v>302</v>
      </c>
      <c r="D84" s="1563">
        <f t="shared" ref="D84:X84" si="56">D82/D83</f>
        <v>0.1</v>
      </c>
      <c r="E84" s="1563">
        <f t="shared" si="56"/>
        <v>0.25</v>
      </c>
      <c r="F84" s="1563">
        <f t="shared" si="56"/>
        <v>0.27500000000000002</v>
      </c>
      <c r="G84" s="1563">
        <f t="shared" si="56"/>
        <v>0.22500000000000001</v>
      </c>
      <c r="H84" s="1563">
        <f t="shared" si="56"/>
        <v>0.1</v>
      </c>
      <c r="I84" s="1563">
        <f t="shared" si="56"/>
        <v>0.61904761904761907</v>
      </c>
      <c r="J84" s="1563">
        <f t="shared" si="56"/>
        <v>0.35</v>
      </c>
      <c r="K84" s="1563">
        <f t="shared" si="56"/>
        <v>0.42424242424242425</v>
      </c>
      <c r="L84" s="1563">
        <f t="shared" si="56"/>
        <v>0.35897435897435898</v>
      </c>
      <c r="M84" s="1563">
        <f t="shared" si="56"/>
        <v>0.33333333333333331</v>
      </c>
      <c r="N84" s="1563">
        <f t="shared" si="56"/>
        <v>0.375</v>
      </c>
      <c r="O84" s="1563" t="e">
        <f t="shared" si="56"/>
        <v>#DIV/0!</v>
      </c>
      <c r="P84" s="1563">
        <f t="shared" si="56"/>
        <v>0</v>
      </c>
      <c r="Q84" s="1563">
        <f t="shared" si="56"/>
        <v>0</v>
      </c>
      <c r="R84" s="1563" t="e">
        <f t="shared" si="56"/>
        <v>#DIV/0!</v>
      </c>
      <c r="S84" s="1563">
        <f t="shared" si="56"/>
        <v>0.2</v>
      </c>
      <c r="T84" s="1563">
        <f t="shared" ref="T84:W84" si="57">T82/T83</f>
        <v>0.05</v>
      </c>
      <c r="U84" s="1563">
        <f t="shared" si="57"/>
        <v>0</v>
      </c>
      <c r="V84" s="1563">
        <f t="shared" si="57"/>
        <v>0</v>
      </c>
      <c r="W84" s="1563">
        <f t="shared" si="57"/>
        <v>0</v>
      </c>
      <c r="X84" s="1563">
        <f t="shared" si="56"/>
        <v>0</v>
      </c>
      <c r="Y84" s="1563">
        <f t="shared" ref="Y84:AA84" si="58">Y82/Y83</f>
        <v>0</v>
      </c>
      <c r="Z84" s="1563">
        <f t="shared" si="58"/>
        <v>0</v>
      </c>
      <c r="AA84" s="1563" t="e">
        <f t="shared" si="58"/>
        <v>#DIV/0!</v>
      </c>
    </row>
  </sheetData>
  <sortState ref="C86:C90">
    <sortCondition ref="C86"/>
  </sortState>
  <mergeCells count="33">
    <mergeCell ref="C70:C72"/>
    <mergeCell ref="C73:C75"/>
    <mergeCell ref="C76:C78"/>
    <mergeCell ref="A82:B84"/>
    <mergeCell ref="A70:A78"/>
    <mergeCell ref="B76:B78"/>
    <mergeCell ref="B73:B75"/>
    <mergeCell ref="B70:B72"/>
    <mergeCell ref="C79:C81"/>
    <mergeCell ref="A67:A69"/>
    <mergeCell ref="B67:B69"/>
    <mergeCell ref="C67:C69"/>
    <mergeCell ref="D67:X67"/>
    <mergeCell ref="D68:G68"/>
    <mergeCell ref="H68:K68"/>
    <mergeCell ref="L68:O68"/>
    <mergeCell ref="P68:S68"/>
    <mergeCell ref="T68:W68"/>
    <mergeCell ref="X68:AA68"/>
    <mergeCell ref="E5:M5"/>
    <mergeCell ref="F6:L6"/>
    <mergeCell ref="D2:N3"/>
    <mergeCell ref="H8:K8"/>
    <mergeCell ref="N12:Q13"/>
    <mergeCell ref="X8:AA8"/>
    <mergeCell ref="T8:W8"/>
    <mergeCell ref="A8:A9"/>
    <mergeCell ref="C8:C9"/>
    <mergeCell ref="F45:I46"/>
    <mergeCell ref="P8:S8"/>
    <mergeCell ref="D8:G8"/>
    <mergeCell ref="F12:I13"/>
    <mergeCell ref="N45:Q46"/>
  </mergeCells>
  <conditionalFormatting sqref="D15:W40 D48:W61">
    <cfRule type="cellIs" dxfId="112" priority="155" operator="lessThanOrEqual">
      <formula>2</formula>
    </cfRule>
  </conditionalFormatting>
  <conditionalFormatting sqref="D15:W40 D48:W61">
    <cfRule type="cellIs" dxfId="111" priority="8" operator="lessThan">
      <formula>2</formula>
    </cfRule>
    <cfRule type="cellIs" dxfId="110" priority="9" operator="greaterThan">
      <formula>2</formula>
    </cfRule>
  </conditionalFormatting>
  <conditionalFormatting sqref="X16:AA40">
    <cfRule type="cellIs" dxfId="109" priority="3" operator="greaterThan">
      <formula>2</formula>
    </cfRule>
    <cfRule type="cellIs" dxfId="108" priority="2" operator="lessThan">
      <formula>2</formula>
    </cfRule>
  </conditionalFormatting>
  <conditionalFormatting sqref="X15:AA15">
    <cfRule type="cellIs" dxfId="107" priority="1" operator="greaterThan">
      <formula>2</formula>
    </cfRule>
  </conditionalFormatting>
  <pageMargins left="0.7" right="0.7" top="0.75" bottom="0.75" header="0.3" footer="0.3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260"/>
  <sheetViews>
    <sheetView topLeftCell="B1" zoomScale="60" zoomScaleNormal="60" workbookViewId="0">
      <pane xSplit="14" ySplit="32" topLeftCell="AC244" activePane="bottomRight" state="frozen"/>
      <selection activeCell="B1" sqref="B1"/>
      <selection pane="topRight" activeCell="P1" sqref="P1"/>
      <selection pane="bottomLeft" activeCell="B33" sqref="B33"/>
      <selection pane="bottomRight" activeCell="E258" sqref="E258"/>
    </sheetView>
  </sheetViews>
  <sheetFormatPr defaultRowHeight="15"/>
  <cols>
    <col min="1" max="1" width="25.85546875" hidden="1" customWidth="1"/>
    <col min="2" max="2" width="28.85546875" customWidth="1"/>
    <col min="3" max="3" width="13.5703125" customWidth="1"/>
    <col min="4" max="4" width="25.28515625" customWidth="1"/>
    <col min="5" max="5" width="18.5703125" customWidth="1"/>
    <col min="6" max="9" width="13.5703125" customWidth="1"/>
    <col min="10" max="10" width="15.140625" bestFit="1" customWidth="1"/>
    <col min="11" max="11" width="18" bestFit="1" customWidth="1"/>
    <col min="12" max="12" width="14.140625" bestFit="1" customWidth="1"/>
    <col min="13" max="13" width="16.28515625" bestFit="1" customWidth="1"/>
    <col min="14" max="14" width="13.5703125" customWidth="1"/>
    <col min="15" max="15" width="20" customWidth="1"/>
    <col min="16" max="16" width="10.5703125" bestFit="1" customWidth="1"/>
    <col min="17" max="17" width="18.42578125" customWidth="1"/>
    <col min="18" max="18" width="15.5703125" customWidth="1"/>
    <col min="19" max="19" width="23.85546875" customWidth="1"/>
    <col min="20" max="20" width="24.140625" customWidth="1"/>
    <col min="21" max="21" width="22.140625" customWidth="1"/>
    <col min="22" max="22" width="14.85546875" customWidth="1"/>
    <col min="23" max="24" width="18.7109375" customWidth="1"/>
    <col min="25" max="26" width="13.85546875" bestFit="1" customWidth="1"/>
    <col min="27" max="27" width="17.5703125" bestFit="1" customWidth="1"/>
  </cols>
  <sheetData>
    <row r="1" spans="1:30">
      <c r="A1" s="726"/>
      <c r="B1" s="726"/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64"/>
    </row>
    <row r="2" spans="1:30" ht="15" customHeight="1">
      <c r="A2" s="726"/>
      <c r="B2" s="726"/>
      <c r="C2" s="919"/>
      <c r="D2" s="919"/>
      <c r="E2" s="3595" t="s">
        <v>353</v>
      </c>
      <c r="F2" s="3595"/>
      <c r="G2" s="3595"/>
      <c r="H2" s="3595"/>
      <c r="I2" s="3595"/>
      <c r="J2" s="3595"/>
      <c r="K2" s="3595"/>
      <c r="L2" s="919"/>
      <c r="M2" s="919"/>
      <c r="N2" s="726"/>
      <c r="O2" s="764"/>
    </row>
    <row r="3" spans="1:30" ht="15" customHeight="1">
      <c r="A3" s="726"/>
      <c r="B3" s="726"/>
      <c r="C3" s="919"/>
      <c r="D3" s="919"/>
      <c r="E3" s="3595"/>
      <c r="F3" s="3595"/>
      <c r="G3" s="3595"/>
      <c r="H3" s="3595"/>
      <c r="I3" s="3595"/>
      <c r="J3" s="3595"/>
      <c r="K3" s="3595"/>
      <c r="L3" s="919"/>
      <c r="M3" s="919"/>
      <c r="N3" s="726"/>
      <c r="O3" s="764"/>
    </row>
    <row r="4" spans="1:30" ht="15.75" thickBot="1">
      <c r="A4" s="726"/>
      <c r="B4" s="726"/>
      <c r="C4" s="726"/>
      <c r="D4" s="726"/>
      <c r="E4" s="726"/>
      <c r="F4" s="726"/>
      <c r="G4" s="726"/>
      <c r="H4" s="726"/>
      <c r="I4" s="726"/>
      <c r="J4" s="726"/>
      <c r="K4" s="726"/>
      <c r="L4" s="726"/>
      <c r="M4" s="726"/>
      <c r="N4" s="726"/>
      <c r="O4" s="764"/>
    </row>
    <row r="5" spans="1:30" ht="15" customHeight="1" thickBot="1">
      <c r="A5" s="752"/>
      <c r="B5" s="752"/>
      <c r="C5" s="752"/>
      <c r="E5" s="3662" t="s">
        <v>262</v>
      </c>
      <c r="F5" s="3663"/>
      <c r="G5" s="3663"/>
      <c r="H5" s="3663"/>
      <c r="I5" s="3663"/>
      <c r="J5" s="3663"/>
      <c r="K5" s="3664"/>
      <c r="L5" s="726"/>
      <c r="M5" s="726"/>
      <c r="N5" s="726"/>
      <c r="O5" s="764"/>
    </row>
    <row r="6" spans="1:30" ht="15" customHeight="1" thickBot="1">
      <c r="A6" s="752"/>
      <c r="B6" s="752"/>
      <c r="C6" s="752"/>
      <c r="D6" s="752"/>
      <c r="F6" s="3589" t="s">
        <v>258</v>
      </c>
      <c r="G6" s="3590"/>
      <c r="H6" s="3590"/>
      <c r="I6" s="3590"/>
      <c r="J6" s="3591"/>
      <c r="K6" s="726"/>
      <c r="L6" s="726"/>
      <c r="M6" s="726"/>
      <c r="N6" s="726"/>
      <c r="O6" s="764"/>
    </row>
    <row r="7" spans="1:30" ht="15" customHeight="1" thickBot="1">
      <c r="A7" s="121"/>
      <c r="B7" s="126"/>
      <c r="C7" s="121"/>
      <c r="D7" s="121"/>
      <c r="E7" s="121"/>
      <c r="F7" s="107"/>
      <c r="G7" s="107"/>
      <c r="H7" s="107"/>
      <c r="I7" s="107"/>
      <c r="J7" s="107"/>
      <c r="K7" s="107"/>
      <c r="L7" s="107"/>
      <c r="M7" s="107"/>
      <c r="N7" s="107"/>
      <c r="O7" s="767"/>
    </row>
    <row r="8" spans="1:30" ht="15" customHeight="1" thickBot="1">
      <c r="A8" s="3657" t="s">
        <v>134</v>
      </c>
      <c r="B8" s="3602" t="s">
        <v>1</v>
      </c>
      <c r="C8" s="3550">
        <v>2011</v>
      </c>
      <c r="D8" s="3551"/>
      <c r="E8" s="3551"/>
      <c r="F8" s="3552"/>
      <c r="G8" s="3547">
        <v>2012</v>
      </c>
      <c r="H8" s="3548"/>
      <c r="I8" s="3548"/>
      <c r="J8" s="3549"/>
      <c r="K8" s="967">
        <v>2013</v>
      </c>
      <c r="L8" s="968"/>
      <c r="M8" s="968"/>
      <c r="N8" s="969"/>
      <c r="O8" s="967">
        <v>2014</v>
      </c>
      <c r="P8" s="968"/>
      <c r="Q8" s="968"/>
      <c r="R8" s="969"/>
      <c r="S8" s="967">
        <v>2015</v>
      </c>
      <c r="T8" s="968"/>
      <c r="U8" s="968"/>
      <c r="V8" s="969"/>
      <c r="W8" s="3516">
        <v>2016</v>
      </c>
      <c r="X8" s="3517"/>
      <c r="Y8" s="3517"/>
      <c r="Z8" s="3518"/>
      <c r="AA8" s="3516">
        <v>2017</v>
      </c>
      <c r="AB8" s="3517"/>
      <c r="AC8" s="3517"/>
      <c r="AD8" s="3518"/>
    </row>
    <row r="9" spans="1:30" ht="15" customHeight="1">
      <c r="A9" s="3658"/>
      <c r="B9" s="3660"/>
      <c r="C9" s="3644" t="s">
        <v>2</v>
      </c>
      <c r="D9" s="3646" t="s">
        <v>3</v>
      </c>
      <c r="E9" s="3636" t="s">
        <v>4</v>
      </c>
      <c r="F9" s="3665" t="s">
        <v>5</v>
      </c>
      <c r="G9" s="3644" t="s">
        <v>2</v>
      </c>
      <c r="H9" s="3646" t="s">
        <v>3</v>
      </c>
      <c r="I9" s="3636" t="s">
        <v>4</v>
      </c>
      <c r="J9" s="3665" t="s">
        <v>5</v>
      </c>
      <c r="K9" s="3644" t="s">
        <v>2</v>
      </c>
      <c r="L9" s="3646" t="s">
        <v>3</v>
      </c>
      <c r="M9" s="3636" t="s">
        <v>4</v>
      </c>
      <c r="N9" s="3638" t="s">
        <v>5</v>
      </c>
      <c r="O9" s="3644" t="s">
        <v>2</v>
      </c>
      <c r="P9" s="3646" t="s">
        <v>3</v>
      </c>
      <c r="Q9" s="3636" t="s">
        <v>4</v>
      </c>
      <c r="R9" s="3638" t="s">
        <v>5</v>
      </c>
      <c r="S9" s="3644" t="s">
        <v>2</v>
      </c>
      <c r="T9" s="3646" t="s">
        <v>3</v>
      </c>
      <c r="U9" s="3636" t="s">
        <v>4</v>
      </c>
      <c r="V9" s="3638" t="s">
        <v>5</v>
      </c>
      <c r="W9" s="3632" t="s">
        <v>2</v>
      </c>
      <c r="X9" s="3634" t="s">
        <v>3</v>
      </c>
      <c r="Y9" s="3636" t="s">
        <v>4</v>
      </c>
      <c r="Z9" s="3638" t="s">
        <v>5</v>
      </c>
      <c r="AA9" s="3632" t="s">
        <v>2</v>
      </c>
      <c r="AB9" s="3634" t="s">
        <v>3</v>
      </c>
      <c r="AC9" s="3636" t="s">
        <v>4</v>
      </c>
      <c r="AD9" s="3638" t="s">
        <v>5</v>
      </c>
    </row>
    <row r="10" spans="1:30" ht="15" customHeight="1" thickBot="1">
      <c r="A10" s="3659"/>
      <c r="B10" s="3603"/>
      <c r="C10" s="3645"/>
      <c r="D10" s="3647"/>
      <c r="E10" s="3648"/>
      <c r="F10" s="3666"/>
      <c r="G10" s="3645"/>
      <c r="H10" s="3647"/>
      <c r="I10" s="3648"/>
      <c r="J10" s="3666"/>
      <c r="K10" s="3645"/>
      <c r="L10" s="3647"/>
      <c r="M10" s="3648"/>
      <c r="N10" s="3640"/>
      <c r="O10" s="3645"/>
      <c r="P10" s="3647"/>
      <c r="Q10" s="3648"/>
      <c r="R10" s="3640"/>
      <c r="S10" s="3645"/>
      <c r="T10" s="3647"/>
      <c r="U10" s="3648"/>
      <c r="V10" s="3640"/>
      <c r="W10" s="3649"/>
      <c r="X10" s="3641"/>
      <c r="Y10" s="3648"/>
      <c r="Z10" s="3640"/>
      <c r="AA10" s="3649"/>
      <c r="AB10" s="3641"/>
      <c r="AC10" s="3648"/>
      <c r="AD10" s="3640"/>
    </row>
    <row r="11" spans="1:30" ht="15" customHeight="1">
      <c r="A11" s="113"/>
      <c r="B11" s="194"/>
      <c r="C11" s="194"/>
      <c r="D11" s="194"/>
      <c r="E11" s="194"/>
      <c r="F11" s="127"/>
      <c r="G11" s="107"/>
      <c r="H11" s="107"/>
      <c r="I11" s="107"/>
      <c r="J11" s="107"/>
      <c r="K11" s="107"/>
      <c r="L11" s="107"/>
      <c r="M11" s="107"/>
      <c r="N11" s="107"/>
      <c r="O11" s="767"/>
    </row>
    <row r="12" spans="1:30" ht="15" customHeight="1" thickBot="1">
      <c r="A12" s="113"/>
      <c r="B12" s="194"/>
      <c r="C12" s="194"/>
      <c r="D12" s="194"/>
      <c r="E12" s="194"/>
      <c r="F12" s="127"/>
      <c r="G12" s="107"/>
      <c r="H12" s="107"/>
      <c r="I12" s="107"/>
      <c r="J12" s="107"/>
      <c r="K12" s="107"/>
      <c r="L12" s="107"/>
      <c r="M12" s="107"/>
      <c r="N12" s="107"/>
      <c r="O12" s="767"/>
    </row>
    <row r="13" spans="1:30" ht="15" customHeight="1" thickBot="1">
      <c r="A13" s="121"/>
      <c r="B13" s="542" t="s">
        <v>168</v>
      </c>
      <c r="C13" s="355">
        <v>200</v>
      </c>
      <c r="D13" s="355">
        <v>200</v>
      </c>
      <c r="E13" s="355">
        <v>200</v>
      </c>
      <c r="F13" s="543">
        <v>200</v>
      </c>
      <c r="G13" s="360">
        <v>200</v>
      </c>
      <c r="H13" s="355">
        <v>200</v>
      </c>
      <c r="I13" s="355">
        <v>200</v>
      </c>
      <c r="J13" s="543">
        <v>200</v>
      </c>
      <c r="K13" s="360">
        <v>200</v>
      </c>
      <c r="L13" s="355">
        <v>200</v>
      </c>
      <c r="M13" s="355">
        <v>200</v>
      </c>
      <c r="N13" s="428">
        <v>200</v>
      </c>
      <c r="O13" s="428">
        <v>200</v>
      </c>
      <c r="P13" s="428">
        <v>200</v>
      </c>
      <c r="Q13" s="428">
        <v>200</v>
      </c>
      <c r="R13" s="428">
        <v>200</v>
      </c>
      <c r="S13" s="2888">
        <v>200</v>
      </c>
      <c r="T13" s="274">
        <v>200</v>
      </c>
      <c r="U13" s="274">
        <v>200</v>
      </c>
      <c r="V13" s="274">
        <v>200</v>
      </c>
      <c r="W13" s="274">
        <v>200</v>
      </c>
      <c r="X13" s="274">
        <v>200</v>
      </c>
      <c r="Y13" s="3307">
        <v>100</v>
      </c>
      <c r="Z13" s="3307">
        <v>100</v>
      </c>
      <c r="AA13" s="3307">
        <v>100</v>
      </c>
      <c r="AB13" s="3307">
        <v>100</v>
      </c>
      <c r="AC13" s="3307">
        <v>100</v>
      </c>
      <c r="AD13" s="3307">
        <v>100</v>
      </c>
    </row>
    <row r="14" spans="1:30" ht="15" customHeight="1">
      <c r="A14" s="121"/>
      <c r="B14" s="249" t="s">
        <v>181</v>
      </c>
      <c r="C14" s="283"/>
      <c r="D14" s="283"/>
      <c r="E14" s="283"/>
      <c r="F14" s="335"/>
      <c r="G14" s="342"/>
      <c r="H14" s="281">
        <v>350000</v>
      </c>
      <c r="I14" s="284"/>
      <c r="J14" s="802"/>
      <c r="K14" s="691"/>
      <c r="L14" s="692">
        <v>540000</v>
      </c>
      <c r="M14" s="693"/>
      <c r="N14" s="693"/>
      <c r="O14" s="693"/>
      <c r="P14" s="2558">
        <v>750</v>
      </c>
      <c r="Q14" s="693">
        <v>15200</v>
      </c>
      <c r="R14" s="693">
        <v>12466.36</v>
      </c>
      <c r="T14" s="2141">
        <v>1600000</v>
      </c>
      <c r="V14" s="3087">
        <v>7700000</v>
      </c>
      <c r="W14" s="3100">
        <v>29393876.91</v>
      </c>
      <c r="X14" s="3100">
        <v>76700000</v>
      </c>
      <c r="Y14" s="3100">
        <v>16500000</v>
      </c>
      <c r="Z14" s="3100">
        <v>13300000</v>
      </c>
      <c r="AA14" s="3100">
        <v>60300000</v>
      </c>
      <c r="AB14" s="3100"/>
      <c r="AC14" s="3100"/>
      <c r="AD14" s="3100"/>
    </row>
    <row r="15" spans="1:30" ht="15" customHeight="1">
      <c r="A15" s="3661" t="s">
        <v>126</v>
      </c>
      <c r="B15" s="202" t="s">
        <v>135</v>
      </c>
      <c r="C15" s="280">
        <v>7050000</v>
      </c>
      <c r="D15" s="286">
        <v>37229</v>
      </c>
      <c r="E15" s="280">
        <v>79000</v>
      </c>
      <c r="F15" s="349" t="s">
        <v>66</v>
      </c>
      <c r="G15" s="341">
        <v>63000</v>
      </c>
      <c r="H15" s="281">
        <v>28000</v>
      </c>
      <c r="I15" s="284"/>
      <c r="J15" s="802"/>
      <c r="K15" s="318"/>
      <c r="L15" s="304">
        <v>92000</v>
      </c>
      <c r="M15" s="319"/>
      <c r="N15" s="319"/>
      <c r="O15" s="319"/>
      <c r="P15" s="2558">
        <v>200000</v>
      </c>
      <c r="Q15" s="319">
        <v>22300</v>
      </c>
      <c r="R15" s="319">
        <v>13733.3</v>
      </c>
      <c r="T15" s="3006">
        <v>3910000</v>
      </c>
      <c r="V15" s="3087">
        <v>37500000</v>
      </c>
      <c r="W15" s="3100">
        <v>92000000</v>
      </c>
      <c r="X15" s="3100">
        <v>58000000</v>
      </c>
      <c r="Y15" s="3100">
        <v>60300000</v>
      </c>
      <c r="Z15" s="3100">
        <v>47700000</v>
      </c>
      <c r="AA15" s="3100">
        <v>390000000</v>
      </c>
      <c r="AB15" s="3100"/>
      <c r="AC15" s="3100"/>
      <c r="AD15" s="3100"/>
    </row>
    <row r="16" spans="1:30" ht="15" customHeight="1">
      <c r="A16" s="3661"/>
      <c r="B16" s="249" t="s">
        <v>180</v>
      </c>
      <c r="C16" s="283"/>
      <c r="D16" s="283"/>
      <c r="E16" s="283"/>
      <c r="F16" s="335"/>
      <c r="G16" s="342"/>
      <c r="H16" s="281">
        <v>540000</v>
      </c>
      <c r="I16" s="284" t="s">
        <v>66</v>
      </c>
      <c r="J16" s="802"/>
      <c r="K16" s="318"/>
      <c r="L16" s="304">
        <v>54000</v>
      </c>
      <c r="M16" s="319"/>
      <c r="N16" s="319"/>
      <c r="O16" s="319"/>
      <c r="P16" s="2558">
        <v>600000</v>
      </c>
      <c r="Q16" s="319">
        <v>9570</v>
      </c>
      <c r="R16" s="319">
        <v>200000</v>
      </c>
      <c r="T16" s="3006">
        <v>477000</v>
      </c>
      <c r="V16" s="3087">
        <v>80200000</v>
      </c>
      <c r="W16" s="3100">
        <v>236643191.30000001</v>
      </c>
      <c r="X16" s="3100">
        <v>41300000</v>
      </c>
      <c r="Y16" s="3100">
        <v>304000000</v>
      </c>
      <c r="Z16" s="3100">
        <v>39300000</v>
      </c>
      <c r="AA16" s="3100">
        <v>47700000</v>
      </c>
      <c r="AB16" s="3100"/>
      <c r="AC16" s="3100"/>
      <c r="AD16" s="3100"/>
    </row>
    <row r="17" spans="1:30" ht="15" customHeight="1">
      <c r="A17" s="121"/>
      <c r="B17" s="202" t="s">
        <v>184</v>
      </c>
      <c r="C17" s="280">
        <v>125146495</v>
      </c>
      <c r="D17" s="280">
        <v>4169</v>
      </c>
      <c r="E17" s="280">
        <v>22000</v>
      </c>
      <c r="F17" s="349"/>
      <c r="G17" s="341">
        <v>340000</v>
      </c>
      <c r="H17" s="281">
        <v>160000</v>
      </c>
      <c r="I17" s="284"/>
      <c r="J17" s="802"/>
      <c r="K17" s="318"/>
      <c r="L17" s="304">
        <v>1600000</v>
      </c>
      <c r="M17" s="319"/>
      <c r="N17" s="319"/>
      <c r="O17" s="319"/>
      <c r="P17" s="2558">
        <v>600000</v>
      </c>
      <c r="Q17" s="319">
        <v>89300</v>
      </c>
      <c r="R17" s="319">
        <v>215333</v>
      </c>
      <c r="T17" s="3006">
        <v>21200000</v>
      </c>
      <c r="V17" s="3087">
        <v>133000000</v>
      </c>
      <c r="W17" s="3100">
        <v>160000000</v>
      </c>
      <c r="X17" s="3100">
        <v>223000000</v>
      </c>
      <c r="Y17" s="3100">
        <v>807000000</v>
      </c>
      <c r="Z17" s="3100">
        <v>453000000</v>
      </c>
      <c r="AA17" s="3100">
        <v>2010000000</v>
      </c>
      <c r="AB17" s="3100"/>
      <c r="AC17" s="3100"/>
      <c r="AD17" s="3100"/>
    </row>
    <row r="18" spans="1:30" ht="15" customHeight="1">
      <c r="A18" s="121"/>
      <c r="B18" s="262" t="s">
        <v>179</v>
      </c>
      <c r="C18" s="296"/>
      <c r="D18" s="296"/>
      <c r="E18" s="296"/>
      <c r="F18" s="338"/>
      <c r="G18" s="344"/>
      <c r="H18" s="297">
        <v>16000</v>
      </c>
      <c r="I18" s="700"/>
      <c r="J18" s="803"/>
      <c r="K18" s="539"/>
      <c r="L18" s="540">
        <v>16000</v>
      </c>
      <c r="M18" s="541"/>
      <c r="N18" s="541"/>
      <c r="O18" s="541"/>
      <c r="P18" s="2558">
        <v>700000</v>
      </c>
      <c r="Q18" s="541">
        <v>6030</v>
      </c>
      <c r="R18" s="541">
        <v>6666</v>
      </c>
      <c r="T18" s="3006">
        <v>240000</v>
      </c>
      <c r="V18" s="3087">
        <v>37500000</v>
      </c>
      <c r="W18" s="3100">
        <v>70484040.75</v>
      </c>
      <c r="X18" s="3100">
        <v>114000000</v>
      </c>
      <c r="Y18" s="3100">
        <v>26300000</v>
      </c>
      <c r="Z18" s="3100">
        <v>4530000</v>
      </c>
      <c r="AA18" s="3100">
        <v>32700000</v>
      </c>
      <c r="AB18" s="3100"/>
      <c r="AC18" s="3100"/>
      <c r="AD18" s="3100"/>
    </row>
    <row r="19" spans="1:30" ht="15" customHeight="1">
      <c r="A19" s="121"/>
      <c r="B19" s="217"/>
      <c r="C19" s="245"/>
      <c r="D19" s="246"/>
      <c r="E19" s="218"/>
      <c r="F19" s="120"/>
      <c r="G19" s="107"/>
      <c r="H19" s="107"/>
      <c r="I19" s="107"/>
      <c r="J19" s="107"/>
      <c r="K19" s="107"/>
      <c r="L19" s="107"/>
      <c r="M19" s="107"/>
      <c r="N19" s="107"/>
      <c r="O19" s="767"/>
      <c r="P19" s="107"/>
      <c r="Q19" s="107"/>
      <c r="R19" s="107"/>
      <c r="AA19" s="3482"/>
      <c r="AB19" s="3482"/>
      <c r="AC19" s="3482"/>
      <c r="AD19" s="3482"/>
    </row>
    <row r="20" spans="1:30" s="1040" customFormat="1" ht="15" customHeight="1">
      <c r="A20" s="121"/>
      <c r="B20" s="207" t="s">
        <v>285</v>
      </c>
      <c r="C20" s="245">
        <f>COUNTIF(C14:C18,"&lt;=200")</f>
        <v>0</v>
      </c>
      <c r="D20" s="245">
        <f t="shared" ref="D20:X20" si="0">COUNTIF(D14:D18,"&lt;=200")</f>
        <v>0</v>
      </c>
      <c r="E20" s="245">
        <f t="shared" si="0"/>
        <v>0</v>
      </c>
      <c r="F20" s="245">
        <f t="shared" si="0"/>
        <v>0</v>
      </c>
      <c r="G20" s="245">
        <f t="shared" si="0"/>
        <v>0</v>
      </c>
      <c r="H20" s="245">
        <f t="shared" si="0"/>
        <v>0</v>
      </c>
      <c r="I20" s="245">
        <f t="shared" si="0"/>
        <v>0</v>
      </c>
      <c r="J20" s="245">
        <f t="shared" si="0"/>
        <v>0</v>
      </c>
      <c r="K20" s="245">
        <f t="shared" si="0"/>
        <v>0</v>
      </c>
      <c r="L20" s="245">
        <f t="shared" si="0"/>
        <v>0</v>
      </c>
      <c r="M20" s="245">
        <f t="shared" si="0"/>
        <v>0</v>
      </c>
      <c r="N20" s="245">
        <f t="shared" si="0"/>
        <v>0</v>
      </c>
      <c r="O20" s="245">
        <f t="shared" si="0"/>
        <v>0</v>
      </c>
      <c r="P20" s="245">
        <f t="shared" si="0"/>
        <v>0</v>
      </c>
      <c r="Q20" s="245">
        <f t="shared" si="0"/>
        <v>0</v>
      </c>
      <c r="R20" s="245">
        <f t="shared" si="0"/>
        <v>0</v>
      </c>
      <c r="S20" s="245">
        <f t="shared" si="0"/>
        <v>0</v>
      </c>
      <c r="T20" s="245">
        <f t="shared" si="0"/>
        <v>0</v>
      </c>
      <c r="U20" s="245">
        <f t="shared" si="0"/>
        <v>0</v>
      </c>
      <c r="V20" s="245">
        <f t="shared" si="0"/>
        <v>0</v>
      </c>
      <c r="W20" s="245">
        <f t="shared" si="0"/>
        <v>0</v>
      </c>
      <c r="X20" s="245">
        <f t="shared" si="0"/>
        <v>0</v>
      </c>
      <c r="Y20" s="245">
        <f>COUNTIF(Y14:Y18,"&lt;=100")</f>
        <v>0</v>
      </c>
      <c r="Z20" s="245">
        <f>COUNTIF(Z14:Z18,"&lt;=100")</f>
        <v>0</v>
      </c>
      <c r="AA20" s="245">
        <f t="shared" ref="AA20:AD20" si="1">COUNTIF(AA14:AA18,"&lt;=100")</f>
        <v>0</v>
      </c>
      <c r="AB20" s="245">
        <f t="shared" si="1"/>
        <v>0</v>
      </c>
      <c r="AC20" s="245">
        <f t="shared" si="1"/>
        <v>0</v>
      </c>
      <c r="AD20" s="245">
        <f t="shared" si="1"/>
        <v>0</v>
      </c>
    </row>
    <row r="21" spans="1:30" s="1040" customFormat="1" ht="15" customHeight="1">
      <c r="A21" s="121"/>
      <c r="B21" s="207" t="s">
        <v>287</v>
      </c>
      <c r="C21" s="245">
        <f>COUNT(C14:C18)</f>
        <v>2</v>
      </c>
      <c r="D21" s="245">
        <f t="shared" ref="D21:X21" si="2">COUNT(D14:D18)</f>
        <v>2</v>
      </c>
      <c r="E21" s="245">
        <f t="shared" si="2"/>
        <v>2</v>
      </c>
      <c r="F21" s="245">
        <f t="shared" si="2"/>
        <v>0</v>
      </c>
      <c r="G21" s="245">
        <f t="shared" si="2"/>
        <v>2</v>
      </c>
      <c r="H21" s="245">
        <f t="shared" si="2"/>
        <v>5</v>
      </c>
      <c r="I21" s="245">
        <f t="shared" si="2"/>
        <v>0</v>
      </c>
      <c r="J21" s="245">
        <f t="shared" si="2"/>
        <v>0</v>
      </c>
      <c r="K21" s="245">
        <f t="shared" si="2"/>
        <v>0</v>
      </c>
      <c r="L21" s="245">
        <f t="shared" si="2"/>
        <v>5</v>
      </c>
      <c r="M21" s="245">
        <f t="shared" si="2"/>
        <v>0</v>
      </c>
      <c r="N21" s="245">
        <f t="shared" si="2"/>
        <v>0</v>
      </c>
      <c r="O21" s="245">
        <f t="shared" si="2"/>
        <v>0</v>
      </c>
      <c r="P21" s="245">
        <f t="shared" si="2"/>
        <v>5</v>
      </c>
      <c r="Q21" s="245">
        <f t="shared" si="2"/>
        <v>5</v>
      </c>
      <c r="R21" s="245">
        <f t="shared" si="2"/>
        <v>5</v>
      </c>
      <c r="S21" s="245">
        <f t="shared" si="2"/>
        <v>0</v>
      </c>
      <c r="T21" s="245">
        <f t="shared" si="2"/>
        <v>5</v>
      </c>
      <c r="U21" s="245">
        <f t="shared" si="2"/>
        <v>0</v>
      </c>
      <c r="V21" s="245">
        <f t="shared" si="2"/>
        <v>5</v>
      </c>
      <c r="W21" s="245">
        <f t="shared" si="2"/>
        <v>5</v>
      </c>
      <c r="X21" s="245">
        <f t="shared" si="2"/>
        <v>5</v>
      </c>
      <c r="Y21" s="245">
        <f t="shared" ref="Y21:Z21" si="3">COUNT(Y14:Y18)</f>
        <v>5</v>
      </c>
      <c r="Z21" s="245">
        <f t="shared" si="3"/>
        <v>5</v>
      </c>
      <c r="AA21" s="245">
        <f t="shared" ref="AA21:AD21" si="4">COUNT(AA14:AA18)</f>
        <v>5</v>
      </c>
      <c r="AB21" s="245">
        <f t="shared" si="4"/>
        <v>0</v>
      </c>
      <c r="AC21" s="245">
        <f t="shared" si="4"/>
        <v>0</v>
      </c>
      <c r="AD21" s="245">
        <f t="shared" si="4"/>
        <v>0</v>
      </c>
    </row>
    <row r="22" spans="1:30" ht="15" customHeight="1">
      <c r="A22" s="121"/>
      <c r="B22" s="207" t="s">
        <v>202</v>
      </c>
      <c r="C22" s="1054">
        <f>C20/C21</f>
        <v>0</v>
      </c>
      <c r="D22" s="1054">
        <f t="shared" ref="D22:X22" si="5">D20/D21</f>
        <v>0</v>
      </c>
      <c r="E22" s="1054">
        <f t="shared" si="5"/>
        <v>0</v>
      </c>
      <c r="F22" s="1054" t="e">
        <f t="shared" si="5"/>
        <v>#DIV/0!</v>
      </c>
      <c r="G22" s="1054">
        <f t="shared" si="5"/>
        <v>0</v>
      </c>
      <c r="H22" s="1054">
        <f t="shared" si="5"/>
        <v>0</v>
      </c>
      <c r="I22" s="1054" t="e">
        <f t="shared" si="5"/>
        <v>#DIV/0!</v>
      </c>
      <c r="J22" s="1054" t="e">
        <f t="shared" si="5"/>
        <v>#DIV/0!</v>
      </c>
      <c r="K22" s="1054" t="e">
        <f t="shared" si="5"/>
        <v>#DIV/0!</v>
      </c>
      <c r="L22" s="1054">
        <f t="shared" si="5"/>
        <v>0</v>
      </c>
      <c r="M22" s="1054" t="e">
        <f t="shared" si="5"/>
        <v>#DIV/0!</v>
      </c>
      <c r="N22" s="1054" t="e">
        <f t="shared" si="5"/>
        <v>#DIV/0!</v>
      </c>
      <c r="O22" s="1054" t="e">
        <f t="shared" si="5"/>
        <v>#DIV/0!</v>
      </c>
      <c r="P22" s="1054">
        <f t="shared" si="5"/>
        <v>0</v>
      </c>
      <c r="Q22" s="1054">
        <f t="shared" si="5"/>
        <v>0</v>
      </c>
      <c r="R22" s="1054">
        <f t="shared" si="5"/>
        <v>0</v>
      </c>
      <c r="S22" s="1054" t="e">
        <f t="shared" si="5"/>
        <v>#DIV/0!</v>
      </c>
      <c r="T22" s="1054">
        <f t="shared" si="5"/>
        <v>0</v>
      </c>
      <c r="U22" s="1054" t="e">
        <f t="shared" si="5"/>
        <v>#DIV/0!</v>
      </c>
      <c r="V22" s="1054">
        <f t="shared" si="5"/>
        <v>0</v>
      </c>
      <c r="W22" s="1054">
        <f t="shared" si="5"/>
        <v>0</v>
      </c>
      <c r="X22" s="1054">
        <f t="shared" si="5"/>
        <v>0</v>
      </c>
      <c r="Y22" s="1054">
        <f t="shared" ref="Y22:Z22" si="6">Y20/Y21</f>
        <v>0</v>
      </c>
      <c r="Z22" s="1054">
        <f t="shared" si="6"/>
        <v>0</v>
      </c>
      <c r="AA22" s="1054">
        <f t="shared" ref="AA22:AD22" si="7">AA20/AA21</f>
        <v>0</v>
      </c>
      <c r="AB22" s="1054" t="e">
        <f t="shared" si="7"/>
        <v>#DIV/0!</v>
      </c>
      <c r="AC22" s="1054" t="e">
        <f t="shared" si="7"/>
        <v>#DIV/0!</v>
      </c>
      <c r="AD22" s="1054" t="e">
        <f t="shared" si="7"/>
        <v>#DIV/0!</v>
      </c>
    </row>
    <row r="23" spans="1:30" s="4" customFormat="1" ht="15" customHeight="1">
      <c r="A23" s="1058"/>
      <c r="B23" s="1055" t="s">
        <v>298</v>
      </c>
      <c r="C23" s="1094">
        <f>COUNTA(B14:B18)</f>
        <v>5</v>
      </c>
      <c r="D23" s="1057"/>
      <c r="E23" s="1057"/>
      <c r="F23" s="1057"/>
      <c r="G23" s="1057"/>
      <c r="H23" s="1057"/>
      <c r="I23" s="1057"/>
      <c r="J23" s="1057"/>
      <c r="K23" s="1057"/>
      <c r="L23" s="1057"/>
      <c r="M23" s="1057"/>
      <c r="N23" s="1057"/>
      <c r="O23" s="770"/>
      <c r="AA23" s="3667"/>
      <c r="AB23" s="3667"/>
      <c r="AC23" s="3667"/>
      <c r="AD23" s="3667"/>
    </row>
    <row r="24" spans="1:30" ht="15" customHeight="1">
      <c r="A24" s="116"/>
      <c r="B24" s="116"/>
      <c r="C24" s="107"/>
      <c r="D24" s="107"/>
      <c r="E24" s="107"/>
      <c r="F24" s="3652" t="s">
        <v>234</v>
      </c>
      <c r="G24" s="3652"/>
      <c r="H24" s="107"/>
      <c r="I24" s="107"/>
      <c r="J24" s="107"/>
      <c r="K24" s="107"/>
      <c r="L24" s="107"/>
      <c r="M24" s="107"/>
      <c r="N24" s="3652" t="s">
        <v>234</v>
      </c>
      <c r="O24" s="3654"/>
      <c r="AA24" s="3668"/>
      <c r="AB24" s="3668"/>
      <c r="AC24" s="3669"/>
      <c r="AD24" s="3669"/>
    </row>
    <row r="25" spans="1:30" ht="15" customHeight="1" thickBot="1">
      <c r="A25" s="116"/>
      <c r="B25" s="116"/>
      <c r="C25" s="107"/>
      <c r="D25" s="107"/>
      <c r="E25" s="107"/>
      <c r="F25" s="3653"/>
      <c r="G25" s="3653"/>
      <c r="H25" s="107"/>
      <c r="I25" s="107"/>
      <c r="J25" s="107"/>
      <c r="K25" s="107"/>
      <c r="L25" s="107"/>
      <c r="M25" s="107"/>
      <c r="N25" s="3653"/>
      <c r="O25" s="3654"/>
      <c r="P25" s="2561"/>
      <c r="Q25" s="2561"/>
      <c r="R25" s="2561"/>
      <c r="AA25" s="3668"/>
      <c r="AB25" s="3668"/>
      <c r="AC25" s="3669"/>
      <c r="AD25" s="3669"/>
    </row>
    <row r="26" spans="1:30" ht="15" customHeight="1" thickBot="1">
      <c r="A26" s="121"/>
      <c r="B26" s="266" t="s">
        <v>168</v>
      </c>
      <c r="C26" s="268">
        <v>200</v>
      </c>
      <c r="D26" s="268">
        <v>200</v>
      </c>
      <c r="E26" s="268">
        <v>200</v>
      </c>
      <c r="F26" s="345">
        <v>200</v>
      </c>
      <c r="G26" s="346">
        <v>200</v>
      </c>
      <c r="H26" s="268">
        <v>200</v>
      </c>
      <c r="I26" s="268">
        <v>200</v>
      </c>
      <c r="J26" s="274">
        <v>200</v>
      </c>
      <c r="K26" s="360">
        <v>200</v>
      </c>
      <c r="L26" s="355">
        <v>200</v>
      </c>
      <c r="M26" s="355">
        <v>200</v>
      </c>
      <c r="N26" s="428">
        <v>200</v>
      </c>
      <c r="O26" s="918"/>
      <c r="P26" s="428">
        <v>200</v>
      </c>
      <c r="Q26" s="428">
        <v>200</v>
      </c>
      <c r="R26" s="428">
        <v>200</v>
      </c>
      <c r="S26" s="2888">
        <v>200</v>
      </c>
      <c r="T26" s="274">
        <v>200</v>
      </c>
      <c r="U26" s="274">
        <v>200</v>
      </c>
      <c r="V26" s="274">
        <v>200</v>
      </c>
      <c r="W26" s="274">
        <v>200</v>
      </c>
      <c r="X26" s="274">
        <v>200</v>
      </c>
      <c r="Y26" s="3307">
        <v>100</v>
      </c>
      <c r="Z26" s="3307">
        <v>100</v>
      </c>
      <c r="AA26" s="3307">
        <v>100</v>
      </c>
      <c r="AB26" s="3307">
        <v>100</v>
      </c>
      <c r="AC26" s="3307">
        <v>100</v>
      </c>
      <c r="AD26" s="3307">
        <v>100</v>
      </c>
    </row>
    <row r="27" spans="1:30" ht="15" customHeight="1">
      <c r="A27" s="121"/>
      <c r="B27" s="249" t="s">
        <v>178</v>
      </c>
      <c r="C27" s="283"/>
      <c r="D27" s="283"/>
      <c r="E27" s="283"/>
      <c r="F27" s="335"/>
      <c r="G27" s="342"/>
      <c r="H27" s="281">
        <v>2400</v>
      </c>
      <c r="I27" s="285"/>
      <c r="J27" s="802"/>
      <c r="K27" s="922"/>
      <c r="L27" s="692"/>
      <c r="M27" s="692"/>
      <c r="N27" s="693"/>
      <c r="O27" s="804"/>
      <c r="P27" s="2562"/>
      <c r="Q27" s="319"/>
      <c r="R27" s="319"/>
      <c r="W27" s="3100"/>
    </row>
    <row r="28" spans="1:30" ht="15" customHeight="1">
      <c r="A28" s="121"/>
      <c r="B28" s="202" t="s">
        <v>137</v>
      </c>
      <c r="C28" s="280">
        <v>2366.19</v>
      </c>
      <c r="D28" s="280">
        <v>10604</v>
      </c>
      <c r="E28" s="280">
        <v>1213</v>
      </c>
      <c r="F28" s="337">
        <v>1064</v>
      </c>
      <c r="G28" s="341">
        <v>14859</v>
      </c>
      <c r="H28" s="281">
        <v>14500</v>
      </c>
      <c r="I28" s="281">
        <v>42594.713799999998</v>
      </c>
      <c r="J28" s="802">
        <v>813.82</v>
      </c>
      <c r="K28" s="923">
        <v>350</v>
      </c>
      <c r="L28" s="304">
        <v>950.04</v>
      </c>
      <c r="M28" s="304">
        <v>23664</v>
      </c>
      <c r="N28" s="319"/>
      <c r="O28" s="804"/>
      <c r="P28" s="2562">
        <v>650</v>
      </c>
      <c r="Q28" s="319">
        <v>1869</v>
      </c>
      <c r="R28" s="319">
        <v>768</v>
      </c>
      <c r="S28" s="2367">
        <v>847.3</v>
      </c>
      <c r="T28" s="2367">
        <v>212</v>
      </c>
      <c r="V28">
        <v>3226.67</v>
      </c>
      <c r="W28" s="3100">
        <v>1183</v>
      </c>
      <c r="X28" s="3100">
        <v>24.65</v>
      </c>
      <c r="Y28">
        <v>2513.33</v>
      </c>
      <c r="Z28">
        <v>2766.67</v>
      </c>
      <c r="AA28" s="3482">
        <v>6110</v>
      </c>
      <c r="AB28" s="3482"/>
      <c r="AC28" s="3482"/>
      <c r="AD28" s="3482"/>
    </row>
    <row r="29" spans="1:30" ht="15" customHeight="1">
      <c r="A29" s="121"/>
      <c r="B29" s="202" t="s">
        <v>138</v>
      </c>
      <c r="C29" s="280">
        <v>224.38</v>
      </c>
      <c r="D29" s="280">
        <v>6849</v>
      </c>
      <c r="E29" s="280">
        <v>1708</v>
      </c>
      <c r="F29" s="337">
        <v>422</v>
      </c>
      <c r="G29" s="341">
        <v>253</v>
      </c>
      <c r="H29" s="281">
        <v>6833</v>
      </c>
      <c r="I29" s="281">
        <v>66493.997610000006</v>
      </c>
      <c r="J29" s="802">
        <v>1055.52</v>
      </c>
      <c r="K29" s="923">
        <v>154.18</v>
      </c>
      <c r="L29" s="304">
        <v>6480.49</v>
      </c>
      <c r="M29" s="304">
        <v>12652</v>
      </c>
      <c r="N29" s="319"/>
      <c r="O29" s="804"/>
      <c r="P29" s="2562">
        <v>1116.5999999999999</v>
      </c>
      <c r="Q29" s="319">
        <v>4026</v>
      </c>
      <c r="R29" s="319">
        <v>266</v>
      </c>
      <c r="S29" s="2367">
        <v>260</v>
      </c>
      <c r="T29" s="2367">
        <v>537</v>
      </c>
      <c r="V29">
        <v>3410</v>
      </c>
      <c r="W29" s="3100">
        <v>30926.67</v>
      </c>
      <c r="X29" s="3100">
        <v>10.75</v>
      </c>
      <c r="Y29">
        <v>2680</v>
      </c>
      <c r="Z29">
        <v>4867.2700000000004</v>
      </c>
      <c r="AA29" s="3482">
        <v>12196.67</v>
      </c>
      <c r="AB29" s="3482"/>
      <c r="AC29" s="3482"/>
      <c r="AD29" s="3482"/>
    </row>
    <row r="30" spans="1:30" ht="15" customHeight="1">
      <c r="A30" s="121"/>
      <c r="B30" s="202" t="s">
        <v>139</v>
      </c>
      <c r="C30" s="280">
        <v>4299.66</v>
      </c>
      <c r="D30" s="280">
        <v>198</v>
      </c>
      <c r="E30" s="280">
        <v>28983</v>
      </c>
      <c r="F30" s="337">
        <v>5400</v>
      </c>
      <c r="G30" s="341">
        <v>1327</v>
      </c>
      <c r="H30" s="281">
        <v>4310</v>
      </c>
      <c r="I30" s="281">
        <v>7683.4749899999997</v>
      </c>
      <c r="J30" s="802">
        <v>2643.83</v>
      </c>
      <c r="K30" s="923">
        <v>23835.919999999998</v>
      </c>
      <c r="L30" s="304">
        <v>1743.42</v>
      </c>
      <c r="M30" s="304">
        <v>4699</v>
      </c>
      <c r="N30" s="319"/>
      <c r="O30" s="767"/>
      <c r="P30" s="2562">
        <v>5603.3</v>
      </c>
      <c r="Q30" s="541">
        <v>2980</v>
      </c>
      <c r="R30" s="541">
        <v>693</v>
      </c>
      <c r="S30" s="2367">
        <v>2096.6</v>
      </c>
      <c r="T30" s="2367">
        <v>2462</v>
      </c>
      <c r="V30">
        <v>2166.67</v>
      </c>
      <c r="W30" s="3100">
        <v>3604.67</v>
      </c>
      <c r="X30" s="3100">
        <v>2850</v>
      </c>
      <c r="Y30">
        <v>13500</v>
      </c>
      <c r="Z30">
        <v>2333.33</v>
      </c>
      <c r="AA30" s="61">
        <v>11500</v>
      </c>
      <c r="AB30" s="3482"/>
      <c r="AC30" s="3482"/>
      <c r="AD30" s="3482"/>
    </row>
    <row r="31" spans="1:30" ht="15" customHeight="1">
      <c r="A31" s="121"/>
      <c r="B31" s="202" t="s">
        <v>136</v>
      </c>
      <c r="C31" s="280">
        <v>12439.71</v>
      </c>
      <c r="D31" s="280">
        <v>1098</v>
      </c>
      <c r="E31" s="280">
        <v>61968</v>
      </c>
      <c r="F31" s="337">
        <v>8774</v>
      </c>
      <c r="G31" s="341">
        <v>3447</v>
      </c>
      <c r="H31" s="281">
        <v>22300</v>
      </c>
      <c r="I31" s="281">
        <v>157737.96230000001</v>
      </c>
      <c r="J31" s="802">
        <v>1743.95</v>
      </c>
      <c r="K31" s="924">
        <v>16553.55</v>
      </c>
      <c r="L31" s="870">
        <v>22185.759999999998</v>
      </c>
      <c r="M31" s="870">
        <v>11068</v>
      </c>
      <c r="N31" s="319"/>
      <c r="O31" s="767"/>
      <c r="P31" s="2562">
        <v>705.6</v>
      </c>
      <c r="Q31" s="2559">
        <v>12752</v>
      </c>
      <c r="R31" s="2560">
        <v>256</v>
      </c>
      <c r="S31" s="2367">
        <v>5400</v>
      </c>
      <c r="T31" s="2367">
        <v>5581</v>
      </c>
      <c r="V31">
        <v>3400</v>
      </c>
      <c r="W31" s="3100">
        <v>4838</v>
      </c>
      <c r="X31" s="3100">
        <v>970</v>
      </c>
      <c r="Y31">
        <v>62166.67</v>
      </c>
      <c r="Z31">
        <v>7566.67</v>
      </c>
      <c r="AA31" s="61">
        <v>47666.7</v>
      </c>
      <c r="AB31" s="3482"/>
      <c r="AC31" s="3482"/>
      <c r="AD31" s="3482"/>
    </row>
    <row r="32" spans="1:30" ht="15" customHeight="1">
      <c r="A32" s="121"/>
      <c r="B32" s="249" t="s">
        <v>176</v>
      </c>
      <c r="C32" s="283"/>
      <c r="D32" s="283"/>
      <c r="E32" s="283"/>
      <c r="F32" s="335"/>
      <c r="G32" s="342"/>
      <c r="H32" s="281">
        <v>79</v>
      </c>
      <c r="I32" s="283"/>
      <c r="J32" s="867"/>
      <c r="K32" s="924"/>
      <c r="L32" s="870"/>
      <c r="M32" s="870"/>
      <c r="N32" s="319"/>
      <c r="O32" s="767"/>
      <c r="P32" s="2562"/>
      <c r="Q32" s="2191"/>
      <c r="R32" s="2191"/>
      <c r="W32" s="3100"/>
    </row>
    <row r="33" spans="1:30" ht="15" customHeight="1" thickBot="1">
      <c r="A33" s="121"/>
      <c r="B33" s="262" t="s">
        <v>177</v>
      </c>
      <c r="C33" s="296"/>
      <c r="D33" s="296"/>
      <c r="E33" s="296"/>
      <c r="F33" s="338"/>
      <c r="G33" s="350"/>
      <c r="H33" s="289">
        <v>350</v>
      </c>
      <c r="I33" s="288"/>
      <c r="J33" s="868"/>
      <c r="K33" s="925"/>
      <c r="L33" s="872"/>
      <c r="M33" s="872"/>
      <c r="N33" s="322"/>
      <c r="O33" s="767"/>
      <c r="P33" s="2562"/>
      <c r="Q33" s="319"/>
      <c r="R33" s="319"/>
      <c r="W33" s="3100"/>
      <c r="AA33" s="3482"/>
      <c r="AB33" s="3482"/>
      <c r="AC33" s="3482"/>
      <c r="AD33" s="3482"/>
    </row>
    <row r="34" spans="1:30" ht="15" customHeight="1">
      <c r="A34" s="1095"/>
      <c r="B34" s="207" t="s">
        <v>285</v>
      </c>
      <c r="C34" s="245">
        <f>COUNTIF(C27:C33,"&lt;=200")</f>
        <v>0</v>
      </c>
      <c r="D34" s="245">
        <f t="shared" ref="D34:R34" si="8">COUNTIF(D27:D33,"&lt;=200")</f>
        <v>1</v>
      </c>
      <c r="E34" s="245">
        <f t="shared" si="8"/>
        <v>0</v>
      </c>
      <c r="F34" s="245">
        <f t="shared" si="8"/>
        <v>0</v>
      </c>
      <c r="G34" s="245">
        <f>COUNTIF(G27:G33,"&lt;=200")</f>
        <v>0</v>
      </c>
      <c r="H34" s="245">
        <f t="shared" si="8"/>
        <v>1</v>
      </c>
      <c r="I34" s="245">
        <f t="shared" si="8"/>
        <v>0</v>
      </c>
      <c r="J34" s="245">
        <f t="shared" si="8"/>
        <v>0</v>
      </c>
      <c r="K34" s="245">
        <f t="shared" si="8"/>
        <v>1</v>
      </c>
      <c r="L34" s="245">
        <f t="shared" si="8"/>
        <v>0</v>
      </c>
      <c r="M34" s="245">
        <f t="shared" si="8"/>
        <v>0</v>
      </c>
      <c r="N34" s="245">
        <f t="shared" si="8"/>
        <v>0</v>
      </c>
      <c r="O34" s="767"/>
      <c r="P34" s="245">
        <f t="shared" si="8"/>
        <v>0</v>
      </c>
      <c r="Q34" s="245">
        <f t="shared" si="8"/>
        <v>0</v>
      </c>
      <c r="R34" s="245">
        <f t="shared" si="8"/>
        <v>0</v>
      </c>
      <c r="S34" s="245">
        <f t="shared" ref="S34:T34" si="9">COUNTIF(S27:S33,"&lt;=200")</f>
        <v>0</v>
      </c>
      <c r="T34" s="245">
        <f t="shared" si="9"/>
        <v>0</v>
      </c>
      <c r="U34" s="245">
        <f t="shared" ref="U34:X34" si="10">COUNTIF(U27:U33,"&lt;=200")</f>
        <v>0</v>
      </c>
      <c r="V34" s="245">
        <f t="shared" si="10"/>
        <v>0</v>
      </c>
      <c r="W34" s="245">
        <f t="shared" si="10"/>
        <v>0</v>
      </c>
      <c r="X34" s="245">
        <f t="shared" si="10"/>
        <v>2</v>
      </c>
      <c r="Y34" s="245">
        <f>COUNTIF(Y27:Y33,"&lt;=100")</f>
        <v>0</v>
      </c>
      <c r="Z34" s="245">
        <f>COUNTIF(Z27:Z33,"&lt;=100")</f>
        <v>0</v>
      </c>
      <c r="AA34" s="245">
        <f t="shared" ref="AA34:AD34" si="11">COUNTIF(AA27:AA33,"&lt;=100")</f>
        <v>0</v>
      </c>
      <c r="AB34" s="245">
        <f t="shared" si="11"/>
        <v>0</v>
      </c>
      <c r="AC34" s="245">
        <f t="shared" si="11"/>
        <v>0</v>
      </c>
      <c r="AD34" s="245">
        <f t="shared" si="11"/>
        <v>0</v>
      </c>
    </row>
    <row r="35" spans="1:30" s="1040" customFormat="1" ht="15" customHeight="1">
      <c r="A35" s="1095"/>
      <c r="B35" s="207" t="s">
        <v>287</v>
      </c>
      <c r="C35" s="245">
        <f t="shared" ref="C35:R35" si="12">COUNTA(C27:C33)</f>
        <v>4</v>
      </c>
      <c r="D35" s="245">
        <f t="shared" si="12"/>
        <v>4</v>
      </c>
      <c r="E35" s="245">
        <f t="shared" si="12"/>
        <v>4</v>
      </c>
      <c r="F35" s="245">
        <f t="shared" si="12"/>
        <v>4</v>
      </c>
      <c r="G35" s="245">
        <f t="shared" si="12"/>
        <v>4</v>
      </c>
      <c r="H35" s="245">
        <f t="shared" si="12"/>
        <v>7</v>
      </c>
      <c r="I35" s="245">
        <f t="shared" si="12"/>
        <v>4</v>
      </c>
      <c r="J35" s="245">
        <f t="shared" si="12"/>
        <v>4</v>
      </c>
      <c r="K35" s="245">
        <f t="shared" si="12"/>
        <v>4</v>
      </c>
      <c r="L35" s="245">
        <f t="shared" si="12"/>
        <v>4</v>
      </c>
      <c r="M35" s="245">
        <f t="shared" si="12"/>
        <v>4</v>
      </c>
      <c r="N35" s="245">
        <f t="shared" si="12"/>
        <v>0</v>
      </c>
      <c r="O35" s="767"/>
      <c r="P35" s="245">
        <f t="shared" si="12"/>
        <v>4</v>
      </c>
      <c r="Q35" s="245">
        <f t="shared" si="12"/>
        <v>4</v>
      </c>
      <c r="R35" s="245">
        <f t="shared" si="12"/>
        <v>4</v>
      </c>
      <c r="S35" s="245">
        <f t="shared" ref="S35:T35" si="13">COUNTA(S27:S33)</f>
        <v>4</v>
      </c>
      <c r="T35" s="245">
        <f t="shared" si="13"/>
        <v>4</v>
      </c>
      <c r="U35" s="245">
        <f t="shared" ref="U35:Z35" si="14">COUNTA(U27:U33)</f>
        <v>0</v>
      </c>
      <c r="V35" s="245">
        <f t="shared" si="14"/>
        <v>4</v>
      </c>
      <c r="W35" s="245">
        <f t="shared" si="14"/>
        <v>4</v>
      </c>
      <c r="X35" s="245">
        <f t="shared" si="14"/>
        <v>4</v>
      </c>
      <c r="Y35" s="245">
        <f t="shared" si="14"/>
        <v>4</v>
      </c>
      <c r="Z35" s="245">
        <f t="shared" si="14"/>
        <v>4</v>
      </c>
      <c r="AA35" s="245">
        <f t="shared" ref="AA35:AD35" si="15">COUNTA(AA27:AA33)</f>
        <v>4</v>
      </c>
      <c r="AB35" s="245">
        <f t="shared" si="15"/>
        <v>0</v>
      </c>
      <c r="AC35" s="245">
        <f t="shared" si="15"/>
        <v>0</v>
      </c>
      <c r="AD35" s="245">
        <f t="shared" si="15"/>
        <v>0</v>
      </c>
    </row>
    <row r="36" spans="1:30" s="1040" customFormat="1" ht="15" customHeight="1">
      <c r="A36" s="1095"/>
      <c r="B36" s="207" t="s">
        <v>202</v>
      </c>
      <c r="C36" s="1054">
        <f t="shared" ref="C36:T36" si="16">C34/C35</f>
        <v>0</v>
      </c>
      <c r="D36" s="1054">
        <f t="shared" si="16"/>
        <v>0.25</v>
      </c>
      <c r="E36" s="1054">
        <f t="shared" si="16"/>
        <v>0</v>
      </c>
      <c r="F36" s="1054">
        <f t="shared" si="16"/>
        <v>0</v>
      </c>
      <c r="G36" s="1054">
        <f t="shared" si="16"/>
        <v>0</v>
      </c>
      <c r="H36" s="1054">
        <f t="shared" si="16"/>
        <v>0.14285714285714285</v>
      </c>
      <c r="I36" s="1054">
        <f t="shared" si="16"/>
        <v>0</v>
      </c>
      <c r="J36" s="1054">
        <f t="shared" si="16"/>
        <v>0</v>
      </c>
      <c r="K36" s="1054">
        <f t="shared" si="16"/>
        <v>0.25</v>
      </c>
      <c r="L36" s="1054">
        <f t="shared" si="16"/>
        <v>0</v>
      </c>
      <c r="M36" s="1054">
        <f t="shared" si="16"/>
        <v>0</v>
      </c>
      <c r="N36" s="1054"/>
      <c r="O36" s="1054"/>
      <c r="P36" s="1054">
        <f t="shared" si="16"/>
        <v>0</v>
      </c>
      <c r="Q36" s="1054">
        <f t="shared" si="16"/>
        <v>0</v>
      </c>
      <c r="R36" s="1054">
        <f t="shared" si="16"/>
        <v>0</v>
      </c>
      <c r="S36" s="1054">
        <f t="shared" si="16"/>
        <v>0</v>
      </c>
      <c r="T36" s="1054">
        <f t="shared" si="16"/>
        <v>0</v>
      </c>
      <c r="U36" s="1054" t="e">
        <f t="shared" ref="U36:Z36" si="17">U34/U35</f>
        <v>#DIV/0!</v>
      </c>
      <c r="V36" s="1054">
        <f t="shared" si="17"/>
        <v>0</v>
      </c>
      <c r="W36" s="1054">
        <f t="shared" si="17"/>
        <v>0</v>
      </c>
      <c r="X36" s="1054">
        <f t="shared" si="17"/>
        <v>0.5</v>
      </c>
      <c r="Y36" s="1054">
        <f t="shared" si="17"/>
        <v>0</v>
      </c>
      <c r="Z36" s="1054">
        <f t="shared" si="17"/>
        <v>0</v>
      </c>
      <c r="AA36" s="1054">
        <f t="shared" ref="AA36:AD36" si="18">AA34/AA35</f>
        <v>0</v>
      </c>
      <c r="AB36" s="1054" t="e">
        <f t="shared" si="18"/>
        <v>#DIV/0!</v>
      </c>
      <c r="AC36" s="1054" t="e">
        <f t="shared" si="18"/>
        <v>#DIV/0!</v>
      </c>
      <c r="AD36" s="1054" t="e">
        <f t="shared" si="18"/>
        <v>#DIV/0!</v>
      </c>
    </row>
    <row r="37" spans="1:30" ht="15" customHeight="1">
      <c r="A37" s="121"/>
      <c r="B37" s="1055" t="s">
        <v>298</v>
      </c>
      <c r="C37" s="1094">
        <f>COUNTA(B27:B33)</f>
        <v>7</v>
      </c>
      <c r="D37" s="110"/>
      <c r="E37" s="110"/>
      <c r="F37" s="110"/>
      <c r="G37" s="107"/>
      <c r="H37" s="107"/>
      <c r="I37" s="120"/>
      <c r="J37" s="120"/>
      <c r="K37" s="221"/>
      <c r="L37" s="221"/>
      <c r="M37" s="221"/>
      <c r="N37" s="107"/>
      <c r="O37" s="767"/>
      <c r="W37" s="3100"/>
      <c r="AA37" s="3667"/>
      <c r="AB37" s="3667"/>
      <c r="AC37" s="3667"/>
      <c r="AD37" s="3667"/>
    </row>
    <row r="38" spans="1:30" ht="15" customHeight="1">
      <c r="A38" s="116"/>
      <c r="B38" s="116"/>
      <c r="C38" s="110"/>
      <c r="D38" s="110"/>
      <c r="E38" s="116"/>
      <c r="F38" s="3652" t="s">
        <v>235</v>
      </c>
      <c r="G38" s="3652"/>
      <c r="H38" s="107"/>
      <c r="I38" s="120"/>
      <c r="J38" s="120"/>
      <c r="K38" s="221"/>
      <c r="L38" s="221"/>
      <c r="M38" s="107"/>
      <c r="N38" s="3652" t="s">
        <v>235</v>
      </c>
      <c r="O38" s="3654"/>
      <c r="W38" s="3100"/>
      <c r="AA38" s="3668"/>
      <c r="AB38" s="3668"/>
      <c r="AC38" s="3669"/>
      <c r="AD38" s="3669"/>
    </row>
    <row r="39" spans="1:30" ht="15" customHeight="1" thickBot="1">
      <c r="A39" s="116"/>
      <c r="B39" s="116"/>
      <c r="C39" s="245"/>
      <c r="D39" s="246"/>
      <c r="E39" s="116"/>
      <c r="F39" s="3653"/>
      <c r="G39" s="3653"/>
      <c r="H39" s="107"/>
      <c r="I39" s="120"/>
      <c r="J39" s="120"/>
      <c r="K39" s="221"/>
      <c r="L39" s="221"/>
      <c r="M39" s="107"/>
      <c r="N39" s="3653"/>
      <c r="O39" s="3654"/>
      <c r="W39" s="3100"/>
      <c r="AA39" s="3668"/>
      <c r="AB39" s="3668"/>
      <c r="AC39" s="3669"/>
      <c r="AD39" s="3669"/>
    </row>
    <row r="40" spans="1:30" ht="15" customHeight="1" thickBot="1">
      <c r="A40" s="116"/>
      <c r="B40" s="266" t="s">
        <v>168</v>
      </c>
      <c r="C40" s="268">
        <v>200</v>
      </c>
      <c r="D40" s="268">
        <v>200</v>
      </c>
      <c r="E40" s="268">
        <v>200</v>
      </c>
      <c r="F40" s="345">
        <v>200</v>
      </c>
      <c r="G40" s="346">
        <v>200</v>
      </c>
      <c r="H40" s="268">
        <v>200</v>
      </c>
      <c r="I40" s="268">
        <v>200</v>
      </c>
      <c r="J40" s="274">
        <v>200</v>
      </c>
      <c r="K40" s="346">
        <v>200</v>
      </c>
      <c r="L40" s="268">
        <v>200</v>
      </c>
      <c r="M40" s="268">
        <v>200</v>
      </c>
      <c r="N40" s="274">
        <v>200</v>
      </c>
      <c r="O40" s="3122"/>
      <c r="P40" s="2888">
        <v>200</v>
      </c>
      <c r="Q40" s="274">
        <v>200</v>
      </c>
      <c r="R40" s="274">
        <v>200</v>
      </c>
      <c r="S40" s="274">
        <v>200</v>
      </c>
      <c r="T40" s="274">
        <v>200</v>
      </c>
      <c r="U40" s="274">
        <v>200</v>
      </c>
      <c r="V40" s="2888">
        <v>200</v>
      </c>
      <c r="W40" s="274">
        <v>200</v>
      </c>
      <c r="X40" s="274">
        <v>200</v>
      </c>
      <c r="Y40" s="3307">
        <v>100</v>
      </c>
      <c r="Z40" s="3307">
        <v>100</v>
      </c>
      <c r="AA40" s="3307">
        <v>100</v>
      </c>
      <c r="AB40" s="3307">
        <v>100</v>
      </c>
      <c r="AC40" s="3307">
        <v>100</v>
      </c>
      <c r="AD40" s="3307">
        <v>100</v>
      </c>
    </row>
    <row r="41" spans="1:30" ht="15" customHeight="1">
      <c r="A41" s="116"/>
      <c r="B41" s="264" t="s">
        <v>183</v>
      </c>
      <c r="C41" s="277"/>
      <c r="D41" s="277"/>
      <c r="E41" s="277"/>
      <c r="F41" s="348"/>
      <c r="G41" s="340">
        <v>66.5</v>
      </c>
      <c r="H41" s="278">
        <v>1750</v>
      </c>
      <c r="I41" s="278">
        <v>500</v>
      </c>
      <c r="J41" s="531">
        <v>85.08</v>
      </c>
      <c r="K41" s="926">
        <v>704.72299999999996</v>
      </c>
      <c r="L41" s="953">
        <v>455.48</v>
      </c>
      <c r="M41" s="873">
        <v>1357.64</v>
      </c>
      <c r="N41" s="2184">
        <v>539</v>
      </c>
      <c r="O41" s="767"/>
      <c r="P41" s="3123">
        <v>353.3</v>
      </c>
      <c r="Q41" s="2852">
        <v>2266</v>
      </c>
      <c r="R41" s="2852">
        <v>776</v>
      </c>
      <c r="S41" s="2151">
        <v>353.33</v>
      </c>
      <c r="T41" s="2367">
        <v>216.67</v>
      </c>
      <c r="W41" s="3100">
        <v>87.763000000000005</v>
      </c>
      <c r="X41" s="3100">
        <v>634.13260000000002</v>
      </c>
      <c r="Y41">
        <v>3872.9830000000002</v>
      </c>
      <c r="Z41">
        <v>1087.7</v>
      </c>
      <c r="AA41" s="3482">
        <v>234.77</v>
      </c>
      <c r="AB41" s="3482"/>
      <c r="AC41" s="3482"/>
      <c r="AD41" s="3482"/>
    </row>
    <row r="42" spans="1:30" ht="15" customHeight="1">
      <c r="A42" s="121"/>
      <c r="B42" s="202" t="s">
        <v>140</v>
      </c>
      <c r="C42" s="279">
        <v>10857.67</v>
      </c>
      <c r="D42" s="280">
        <v>37947</v>
      </c>
      <c r="E42" s="280">
        <v>3000</v>
      </c>
      <c r="F42" s="337">
        <v>45150</v>
      </c>
      <c r="G42" s="341">
        <v>46200</v>
      </c>
      <c r="H42" s="281">
        <v>49500</v>
      </c>
      <c r="I42" s="281">
        <v>160000</v>
      </c>
      <c r="J42" s="282">
        <v>16655.099999999999</v>
      </c>
      <c r="K42" s="927">
        <v>21074.560000000001</v>
      </c>
      <c r="L42" s="951">
        <v>7862.22</v>
      </c>
      <c r="M42" s="875">
        <v>18331.310000000001</v>
      </c>
      <c r="N42" s="2185">
        <v>15000</v>
      </c>
      <c r="O42" s="767"/>
      <c r="P42" s="2889">
        <v>16000</v>
      </c>
      <c r="Q42" s="361">
        <v>586666</v>
      </c>
      <c r="R42" s="361">
        <v>34666</v>
      </c>
      <c r="S42" s="2151">
        <v>115666.67</v>
      </c>
      <c r="T42" s="2367">
        <v>271000</v>
      </c>
      <c r="W42" s="3100">
        <v>23822.769</v>
      </c>
      <c r="X42" s="3100">
        <v>4016.598</v>
      </c>
      <c r="Y42">
        <v>2795.23</v>
      </c>
      <c r="Z42" s="3100">
        <v>165227</v>
      </c>
      <c r="AA42" s="3100">
        <v>85240.84</v>
      </c>
      <c r="AB42" s="3100"/>
      <c r="AC42" s="3100"/>
      <c r="AD42" s="3100"/>
    </row>
    <row r="43" spans="1:30" ht="15" customHeight="1">
      <c r="A43" s="121"/>
      <c r="B43" s="250" t="s">
        <v>182</v>
      </c>
      <c r="C43" s="280"/>
      <c r="D43" s="280"/>
      <c r="E43" s="280"/>
      <c r="F43" s="337"/>
      <c r="G43" s="343">
        <v>65</v>
      </c>
      <c r="H43" s="281">
        <v>2540</v>
      </c>
      <c r="I43" s="281">
        <v>9000</v>
      </c>
      <c r="J43" s="282">
        <v>106.96</v>
      </c>
      <c r="K43" s="928">
        <v>384.17</v>
      </c>
      <c r="L43" s="877">
        <v>279.52</v>
      </c>
      <c r="M43" s="877">
        <v>393.28</v>
      </c>
      <c r="N43" s="2185"/>
      <c r="O43" s="767"/>
      <c r="P43" s="2889">
        <v>205.7</v>
      </c>
      <c r="Q43" s="361">
        <v>1600</v>
      </c>
      <c r="R43" s="361">
        <v>1540</v>
      </c>
      <c r="S43" s="2151">
        <v>116.67</v>
      </c>
      <c r="T43" s="2367">
        <v>233.33</v>
      </c>
      <c r="W43" s="3100">
        <v>68.753</v>
      </c>
      <c r="X43" s="3100">
        <v>164.85140000000001</v>
      </c>
      <c r="Y43">
        <v>357.0018</v>
      </c>
      <c r="Z43" s="3100">
        <v>428.88</v>
      </c>
      <c r="AA43" s="3100">
        <v>476.65</v>
      </c>
      <c r="AB43" s="3100"/>
      <c r="AC43" s="3100"/>
      <c r="AD43" s="3100"/>
    </row>
    <row r="44" spans="1:30" ht="15" customHeight="1">
      <c r="A44" s="121"/>
      <c r="B44" s="202" t="s">
        <v>142</v>
      </c>
      <c r="C44" s="279">
        <v>4160.17</v>
      </c>
      <c r="D44" s="280">
        <v>574</v>
      </c>
      <c r="E44" s="280">
        <v>1600</v>
      </c>
      <c r="F44" s="337">
        <v>4555</v>
      </c>
      <c r="G44" s="341">
        <v>4585</v>
      </c>
      <c r="H44" s="281">
        <v>1610</v>
      </c>
      <c r="I44" s="281">
        <v>16000</v>
      </c>
      <c r="J44" s="282">
        <v>184.69</v>
      </c>
      <c r="K44" s="929">
        <v>1184.99</v>
      </c>
      <c r="L44" s="1061">
        <v>803.31</v>
      </c>
      <c r="M44" s="884">
        <v>6719.23</v>
      </c>
      <c r="N44" s="2185">
        <v>6150</v>
      </c>
      <c r="O44" s="767"/>
      <c r="P44" s="2889">
        <v>30</v>
      </c>
      <c r="Q44" s="397">
        <v>90666</v>
      </c>
      <c r="R44" s="397">
        <v>12666.66</v>
      </c>
      <c r="S44" s="2151">
        <v>286.67</v>
      </c>
      <c r="T44" s="2367">
        <v>10490</v>
      </c>
      <c r="W44" s="3100">
        <v>5870.3675999999996</v>
      </c>
      <c r="X44" s="3100">
        <v>5398.125</v>
      </c>
      <c r="Y44">
        <v>4081.6550000000002</v>
      </c>
      <c r="Z44" s="3100">
        <v>25925</v>
      </c>
      <c r="AA44" s="3100">
        <v>255.6</v>
      </c>
      <c r="AB44" s="3100"/>
      <c r="AC44" s="3100"/>
      <c r="AD44" s="3100"/>
    </row>
    <row r="45" spans="1:30" ht="15" customHeight="1">
      <c r="A45" s="121"/>
      <c r="B45" s="202" t="s">
        <v>141</v>
      </c>
      <c r="C45" s="279">
        <v>4177.43</v>
      </c>
      <c r="D45" s="280">
        <v>458</v>
      </c>
      <c r="E45" s="280">
        <v>3000</v>
      </c>
      <c r="F45" s="337">
        <v>1585</v>
      </c>
      <c r="G45" s="341">
        <v>4750</v>
      </c>
      <c r="H45" s="281">
        <v>700</v>
      </c>
      <c r="I45" s="281">
        <v>3000</v>
      </c>
      <c r="J45" s="282">
        <v>391.48</v>
      </c>
      <c r="K45" s="923">
        <v>151.97</v>
      </c>
      <c r="L45" s="952">
        <v>842.49</v>
      </c>
      <c r="M45" s="304">
        <v>19381.04</v>
      </c>
      <c r="N45" s="319">
        <v>3733.33</v>
      </c>
      <c r="O45" s="767"/>
      <c r="P45" s="2889">
        <v>22.33</v>
      </c>
      <c r="Q45" s="2890">
        <v>86333</v>
      </c>
      <c r="R45" s="2891">
        <v>1126.6600000000001</v>
      </c>
      <c r="S45" s="2151">
        <v>330</v>
      </c>
      <c r="T45" s="2367">
        <v>7543.33</v>
      </c>
      <c r="W45" s="3100">
        <v>9535.4169999999995</v>
      </c>
      <c r="X45" s="3100">
        <v>1422.7570000000001</v>
      </c>
      <c r="Y45">
        <v>3207.5340000000001</v>
      </c>
      <c r="Z45" s="3100">
        <v>24917</v>
      </c>
      <c r="AA45" s="3100">
        <v>399.37</v>
      </c>
      <c r="AB45" s="3100"/>
      <c r="AC45" s="3100"/>
      <c r="AD45" s="3100"/>
    </row>
    <row r="46" spans="1:30" ht="15" customHeight="1">
      <c r="A46" s="121"/>
      <c r="B46" s="202" t="s">
        <v>147</v>
      </c>
      <c r="C46" s="279">
        <v>1941</v>
      </c>
      <c r="D46" s="280">
        <v>949</v>
      </c>
      <c r="E46" s="280">
        <v>1600</v>
      </c>
      <c r="F46" s="337">
        <v>860</v>
      </c>
      <c r="G46" s="341">
        <v>454</v>
      </c>
      <c r="H46" s="281">
        <v>285</v>
      </c>
      <c r="I46" s="281">
        <v>16000</v>
      </c>
      <c r="J46" s="282">
        <v>22.8</v>
      </c>
      <c r="K46" s="923">
        <v>1846.91</v>
      </c>
      <c r="L46" s="952">
        <v>131.52000000000001</v>
      </c>
      <c r="M46" s="304">
        <v>9813.2000000000007</v>
      </c>
      <c r="N46" s="1911">
        <v>11100</v>
      </c>
      <c r="O46" s="767"/>
      <c r="P46" s="2889">
        <v>256.7</v>
      </c>
      <c r="Q46" s="2892">
        <v>91000</v>
      </c>
      <c r="R46" s="2892">
        <v>11833</v>
      </c>
      <c r="S46" s="2151">
        <v>1093.33</v>
      </c>
      <c r="T46" s="2367">
        <v>16756.669999999998</v>
      </c>
      <c r="W46" s="3100">
        <v>683.99</v>
      </c>
      <c r="X46" s="3100">
        <v>3301.92</v>
      </c>
      <c r="Y46">
        <v>2585.3220000000001</v>
      </c>
      <c r="Z46" s="3100">
        <v>2537.3000000000002</v>
      </c>
      <c r="AA46" s="3100">
        <v>900.12</v>
      </c>
      <c r="AB46" s="3100"/>
      <c r="AC46" s="3100"/>
      <c r="AD46" s="3100"/>
    </row>
    <row r="47" spans="1:30" ht="15" customHeight="1">
      <c r="A47" s="121"/>
      <c r="B47" s="202" t="s">
        <v>146</v>
      </c>
      <c r="C47" s="279">
        <v>932.17</v>
      </c>
      <c r="D47" s="280">
        <v>219</v>
      </c>
      <c r="E47" s="280">
        <v>2400</v>
      </c>
      <c r="F47" s="337">
        <v>390</v>
      </c>
      <c r="G47" s="341">
        <v>185</v>
      </c>
      <c r="H47" s="281">
        <v>485</v>
      </c>
      <c r="I47" s="281">
        <v>17000</v>
      </c>
      <c r="J47" s="282">
        <v>269.16000000000003</v>
      </c>
      <c r="K47" s="923">
        <v>2377.56</v>
      </c>
      <c r="L47" s="952">
        <v>353.46</v>
      </c>
      <c r="M47" s="304">
        <v>10300.73</v>
      </c>
      <c r="N47" s="319">
        <v>2066.67</v>
      </c>
      <c r="O47" s="767"/>
      <c r="P47" s="2889">
        <v>133.30000000000001</v>
      </c>
      <c r="Q47" s="361">
        <v>30833</v>
      </c>
      <c r="R47" s="361">
        <v>1860</v>
      </c>
      <c r="S47" s="2151">
        <v>273.33</v>
      </c>
      <c r="T47" s="2367">
        <v>7483.33</v>
      </c>
      <c r="W47" s="3100">
        <v>3387.44</v>
      </c>
      <c r="X47" s="3100">
        <v>416.01679999999999</v>
      </c>
      <c r="Y47">
        <v>1232.009</v>
      </c>
      <c r="Z47" s="3100">
        <v>912.78</v>
      </c>
      <c r="AA47" s="3100">
        <v>328.89</v>
      </c>
      <c r="AB47" s="3100"/>
      <c r="AC47" s="3100"/>
      <c r="AD47" s="3100"/>
    </row>
    <row r="48" spans="1:30" ht="15" customHeight="1">
      <c r="A48" s="121"/>
      <c r="B48" s="202" t="s">
        <v>145</v>
      </c>
      <c r="C48" s="279">
        <v>5060.6000000000004</v>
      </c>
      <c r="D48" s="280">
        <v>520</v>
      </c>
      <c r="E48" s="280">
        <v>9000</v>
      </c>
      <c r="F48" s="337">
        <v>5850</v>
      </c>
      <c r="G48" s="341">
        <v>600</v>
      </c>
      <c r="H48" s="281">
        <v>600</v>
      </c>
      <c r="I48" s="281">
        <v>50000</v>
      </c>
      <c r="J48" s="287">
        <v>8674.81</v>
      </c>
      <c r="K48" s="923">
        <v>28844.99</v>
      </c>
      <c r="L48" s="952">
        <v>1693.58</v>
      </c>
      <c r="M48" s="304">
        <v>19205.53</v>
      </c>
      <c r="N48" s="1911">
        <v>4100</v>
      </c>
      <c r="O48" s="767"/>
      <c r="P48" s="2889">
        <v>9867</v>
      </c>
      <c r="Q48" s="2890">
        <v>65000</v>
      </c>
      <c r="R48" s="2891">
        <v>20100</v>
      </c>
      <c r="S48" s="2151">
        <v>14466.67</v>
      </c>
      <c r="T48" s="2367">
        <v>34000</v>
      </c>
      <c r="W48" s="3100">
        <v>57689.983</v>
      </c>
      <c r="X48" s="3100">
        <v>6928.2030000000004</v>
      </c>
      <c r="Y48">
        <v>22830.51</v>
      </c>
      <c r="Z48" s="3100">
        <v>9949.9</v>
      </c>
      <c r="AA48" s="3100" t="s">
        <v>336</v>
      </c>
      <c r="AB48" s="3100"/>
      <c r="AC48" s="3100"/>
      <c r="AD48" s="3100"/>
    </row>
    <row r="49" spans="1:30" ht="15" customHeight="1">
      <c r="A49" s="121"/>
      <c r="B49" s="202" t="s">
        <v>144</v>
      </c>
      <c r="C49" s="279">
        <v>11292.43</v>
      </c>
      <c r="D49" s="280">
        <v>1095</v>
      </c>
      <c r="E49" s="280">
        <v>900</v>
      </c>
      <c r="F49" s="337">
        <v>5600</v>
      </c>
      <c r="G49" s="341">
        <v>1650</v>
      </c>
      <c r="H49" s="281">
        <v>1050</v>
      </c>
      <c r="I49" s="281">
        <v>30000</v>
      </c>
      <c r="J49" s="287">
        <v>2943.38</v>
      </c>
      <c r="K49" s="923">
        <v>1767.31</v>
      </c>
      <c r="L49" s="952">
        <v>10969.61</v>
      </c>
      <c r="M49" s="304">
        <v>10720.22</v>
      </c>
      <c r="N49" s="319">
        <v>3733.33</v>
      </c>
      <c r="O49" s="767"/>
      <c r="P49" s="2889">
        <v>6933</v>
      </c>
      <c r="Q49" s="2892">
        <v>114666</v>
      </c>
      <c r="R49" s="2892">
        <v>34666.660000000003</v>
      </c>
      <c r="S49" s="2151">
        <v>17000</v>
      </c>
      <c r="T49" s="2367">
        <v>196666.67</v>
      </c>
      <c r="W49" s="3100">
        <v>31912.521000000001</v>
      </c>
      <c r="X49" s="3100">
        <v>25530.02</v>
      </c>
      <c r="Y49">
        <v>43817.8</v>
      </c>
      <c r="Z49" s="3100">
        <v>76563</v>
      </c>
      <c r="AA49" s="3100">
        <v>20271.3</v>
      </c>
      <c r="AB49" s="3100"/>
      <c r="AC49" s="3100"/>
      <c r="AD49" s="3100"/>
    </row>
    <row r="50" spans="1:30" ht="15" customHeight="1" thickBot="1">
      <c r="A50" s="121"/>
      <c r="B50" s="215" t="s">
        <v>143</v>
      </c>
      <c r="C50" s="703">
        <v>3257.3</v>
      </c>
      <c r="D50" s="704">
        <v>922</v>
      </c>
      <c r="E50" s="704">
        <v>500</v>
      </c>
      <c r="F50" s="705">
        <v>570</v>
      </c>
      <c r="G50" s="341">
        <v>5</v>
      </c>
      <c r="H50" s="281">
        <v>1565</v>
      </c>
      <c r="I50" s="281">
        <v>3500</v>
      </c>
      <c r="J50" s="287">
        <v>230.45</v>
      </c>
      <c r="K50" s="930">
        <v>1013.15</v>
      </c>
      <c r="L50" s="955">
        <v>194.37</v>
      </c>
      <c r="M50" s="321">
        <v>3179.1</v>
      </c>
      <c r="N50" s="322">
        <v>376.67</v>
      </c>
      <c r="O50" s="767"/>
      <c r="P50" s="2889">
        <v>600</v>
      </c>
      <c r="Q50" s="361">
        <v>13433</v>
      </c>
      <c r="R50" s="361">
        <v>17410</v>
      </c>
      <c r="S50" s="2151">
        <v>980</v>
      </c>
      <c r="T50" s="2367">
        <v>680</v>
      </c>
      <c r="W50" s="3100">
        <v>1053.7280000000001</v>
      </c>
      <c r="X50" s="3100">
        <v>337.37310000000002</v>
      </c>
      <c r="Y50">
        <v>4538.76</v>
      </c>
      <c r="Z50" s="3100">
        <v>2286.9</v>
      </c>
      <c r="AA50" s="3100">
        <v>550.66999999999996</v>
      </c>
      <c r="AB50" s="3100"/>
      <c r="AC50" s="3100"/>
      <c r="AD50" s="3100"/>
    </row>
    <row r="51" spans="1:30" s="1040" customFormat="1" ht="15" customHeight="1">
      <c r="A51" s="1095"/>
      <c r="B51" s="207" t="s">
        <v>285</v>
      </c>
      <c r="C51" s="245">
        <f>COUNTIF(C41:C50,"&lt;=200")</f>
        <v>0</v>
      </c>
      <c r="D51" s="245">
        <f t="shared" ref="D51:S51" si="19">COUNTIF(D41:D50,"&lt;=200")</f>
        <v>0</v>
      </c>
      <c r="E51" s="245">
        <f t="shared" si="19"/>
        <v>0</v>
      </c>
      <c r="F51" s="245">
        <f t="shared" si="19"/>
        <v>0</v>
      </c>
      <c r="G51" s="245">
        <f t="shared" si="19"/>
        <v>4</v>
      </c>
      <c r="H51" s="245">
        <f t="shared" si="19"/>
        <v>0</v>
      </c>
      <c r="I51" s="245">
        <f t="shared" si="19"/>
        <v>0</v>
      </c>
      <c r="J51" s="245">
        <f t="shared" si="19"/>
        <v>4</v>
      </c>
      <c r="K51" s="245">
        <f t="shared" si="19"/>
        <v>1</v>
      </c>
      <c r="L51" s="245">
        <f t="shared" si="19"/>
        <v>2</v>
      </c>
      <c r="M51" s="245">
        <f t="shared" si="19"/>
        <v>0</v>
      </c>
      <c r="N51" s="245">
        <f t="shared" si="19"/>
        <v>0</v>
      </c>
      <c r="O51" s="767"/>
      <c r="P51" s="245">
        <f t="shared" si="19"/>
        <v>3</v>
      </c>
      <c r="Q51" s="245">
        <f t="shared" si="19"/>
        <v>0</v>
      </c>
      <c r="R51" s="245">
        <f t="shared" si="19"/>
        <v>0</v>
      </c>
      <c r="S51" s="245">
        <f t="shared" si="19"/>
        <v>1</v>
      </c>
      <c r="T51" s="245">
        <f t="shared" ref="T51:AA51" si="20">COUNTIF(T41:T50,"&lt;=200")</f>
        <v>0</v>
      </c>
      <c r="U51" s="245">
        <f t="shared" si="20"/>
        <v>0</v>
      </c>
      <c r="V51" s="245">
        <f t="shared" si="20"/>
        <v>0</v>
      </c>
      <c r="W51" s="245">
        <f t="shared" si="20"/>
        <v>2</v>
      </c>
      <c r="X51" s="245">
        <f t="shared" si="20"/>
        <v>1</v>
      </c>
      <c r="Y51" s="245">
        <f>COUNTIF(Y41:Y50,"&lt;=100")</f>
        <v>0</v>
      </c>
      <c r="Z51" s="245">
        <f>COUNTIF(Z41:Z50,"&lt;=100")</f>
        <v>0</v>
      </c>
      <c r="AA51" s="245">
        <f t="shared" si="20"/>
        <v>0</v>
      </c>
      <c r="AB51" s="245">
        <f t="shared" ref="AB51:AD51" si="21">COUNTIF(AB41:AB50,"&lt;=200")</f>
        <v>0</v>
      </c>
      <c r="AC51" s="245">
        <f t="shared" si="21"/>
        <v>0</v>
      </c>
      <c r="AD51" s="245">
        <f t="shared" si="21"/>
        <v>0</v>
      </c>
    </row>
    <row r="52" spans="1:30" s="1040" customFormat="1" ht="15" customHeight="1">
      <c r="A52" s="1095"/>
      <c r="B52" s="207" t="s">
        <v>287</v>
      </c>
      <c r="C52" s="245">
        <f>COUNTA(C41:C50)</f>
        <v>8</v>
      </c>
      <c r="D52" s="245">
        <f t="shared" ref="D52:S52" si="22">COUNTA(D41:D50)</f>
        <v>8</v>
      </c>
      <c r="E52" s="245">
        <f t="shared" si="22"/>
        <v>8</v>
      </c>
      <c r="F52" s="245">
        <f t="shared" si="22"/>
        <v>8</v>
      </c>
      <c r="G52" s="245">
        <f t="shared" si="22"/>
        <v>10</v>
      </c>
      <c r="H52" s="245">
        <f>COUNTA(H41:H50)</f>
        <v>10</v>
      </c>
      <c r="I52" s="245">
        <f t="shared" si="22"/>
        <v>10</v>
      </c>
      <c r="J52" s="245">
        <f t="shared" si="22"/>
        <v>10</v>
      </c>
      <c r="K52" s="245">
        <f t="shared" si="22"/>
        <v>10</v>
      </c>
      <c r="L52" s="245">
        <f t="shared" si="22"/>
        <v>10</v>
      </c>
      <c r="M52" s="245">
        <f t="shared" si="22"/>
        <v>10</v>
      </c>
      <c r="N52" s="245">
        <f t="shared" si="22"/>
        <v>9</v>
      </c>
      <c r="O52" s="767"/>
      <c r="P52" s="245">
        <f t="shared" si="22"/>
        <v>10</v>
      </c>
      <c r="Q52" s="245">
        <f t="shared" si="22"/>
        <v>10</v>
      </c>
      <c r="R52" s="245">
        <f t="shared" si="22"/>
        <v>10</v>
      </c>
      <c r="S52" s="245">
        <f t="shared" si="22"/>
        <v>10</v>
      </c>
      <c r="T52" s="245">
        <f t="shared" ref="T52:AA52" si="23">COUNTA(T41:T50)</f>
        <v>10</v>
      </c>
      <c r="U52" s="245">
        <f t="shared" si="23"/>
        <v>0</v>
      </c>
      <c r="V52" s="245">
        <f t="shared" si="23"/>
        <v>0</v>
      </c>
      <c r="W52" s="245">
        <f t="shared" si="23"/>
        <v>10</v>
      </c>
      <c r="X52" s="245">
        <f t="shared" si="23"/>
        <v>10</v>
      </c>
      <c r="Y52" s="245">
        <f t="shared" si="23"/>
        <v>10</v>
      </c>
      <c r="Z52" s="245">
        <f t="shared" si="23"/>
        <v>10</v>
      </c>
      <c r="AA52" s="245">
        <f t="shared" si="23"/>
        <v>10</v>
      </c>
      <c r="AB52" s="245">
        <f t="shared" ref="AB52:AD52" si="24">COUNTA(AB41:AB50)</f>
        <v>0</v>
      </c>
      <c r="AC52" s="245">
        <f t="shared" si="24"/>
        <v>0</v>
      </c>
      <c r="AD52" s="245">
        <f t="shared" si="24"/>
        <v>0</v>
      </c>
    </row>
    <row r="53" spans="1:30" s="1040" customFormat="1" ht="15" customHeight="1">
      <c r="A53" s="1095"/>
      <c r="B53" s="207" t="s">
        <v>202</v>
      </c>
      <c r="C53" s="1054">
        <f t="shared" ref="C53:S53" si="25">C51/C52</f>
        <v>0</v>
      </c>
      <c r="D53" s="1054">
        <f t="shared" si="25"/>
        <v>0</v>
      </c>
      <c r="E53" s="1054">
        <f t="shared" si="25"/>
        <v>0</v>
      </c>
      <c r="F53" s="1054">
        <f t="shared" si="25"/>
        <v>0</v>
      </c>
      <c r="G53" s="1054">
        <f t="shared" si="25"/>
        <v>0.4</v>
      </c>
      <c r="H53" s="1054">
        <f t="shared" si="25"/>
        <v>0</v>
      </c>
      <c r="I53" s="1054">
        <f t="shared" si="25"/>
        <v>0</v>
      </c>
      <c r="J53" s="1054">
        <f t="shared" si="25"/>
        <v>0.4</v>
      </c>
      <c r="K53" s="1054">
        <f t="shared" si="25"/>
        <v>0.1</v>
      </c>
      <c r="L53" s="1054">
        <f t="shared" si="25"/>
        <v>0.2</v>
      </c>
      <c r="M53" s="1054">
        <f t="shared" si="25"/>
        <v>0</v>
      </c>
      <c r="N53" s="1054">
        <f t="shared" si="25"/>
        <v>0</v>
      </c>
      <c r="O53" s="1054" t="e">
        <f t="shared" si="25"/>
        <v>#DIV/0!</v>
      </c>
      <c r="P53" s="1054">
        <f t="shared" si="25"/>
        <v>0.3</v>
      </c>
      <c r="Q53" s="1054">
        <f t="shared" si="25"/>
        <v>0</v>
      </c>
      <c r="R53" s="1054">
        <f t="shared" si="25"/>
        <v>0</v>
      </c>
      <c r="S53" s="1054">
        <f t="shared" si="25"/>
        <v>0.1</v>
      </c>
      <c r="T53" s="1054">
        <f t="shared" ref="T53:AA53" si="26">T51/T52</f>
        <v>0</v>
      </c>
      <c r="U53" s="1054" t="e">
        <f t="shared" si="26"/>
        <v>#DIV/0!</v>
      </c>
      <c r="V53" s="1054" t="e">
        <f t="shared" si="26"/>
        <v>#DIV/0!</v>
      </c>
      <c r="W53" s="1054">
        <f t="shared" si="26"/>
        <v>0.2</v>
      </c>
      <c r="X53" s="1054">
        <f t="shared" si="26"/>
        <v>0.1</v>
      </c>
      <c r="Y53" s="1054">
        <f t="shared" si="26"/>
        <v>0</v>
      </c>
      <c r="Z53" s="1054">
        <f t="shared" si="26"/>
        <v>0</v>
      </c>
      <c r="AA53" s="1054">
        <f t="shared" si="26"/>
        <v>0</v>
      </c>
      <c r="AB53" s="1054" t="e">
        <f t="shared" ref="AB53:AD53" si="27">AB51/AB52</f>
        <v>#DIV/0!</v>
      </c>
      <c r="AC53" s="1054" t="e">
        <f t="shared" si="27"/>
        <v>#DIV/0!</v>
      </c>
      <c r="AD53" s="1054" t="e">
        <f t="shared" si="27"/>
        <v>#DIV/0!</v>
      </c>
    </row>
    <row r="54" spans="1:30" s="1064" customFormat="1" ht="15" customHeight="1">
      <c r="A54" s="1095"/>
      <c r="B54" s="1055" t="s">
        <v>298</v>
      </c>
      <c r="C54" s="1094">
        <f>COUNTA(B41:B50)</f>
        <v>10</v>
      </c>
      <c r="D54" s="1054"/>
      <c r="E54" s="1054"/>
      <c r="F54" s="1054"/>
      <c r="G54" s="1054"/>
      <c r="H54" s="1054"/>
      <c r="I54" s="1054"/>
      <c r="J54" s="1054"/>
      <c r="K54" s="1054"/>
      <c r="L54" s="1054"/>
      <c r="M54" s="1054"/>
      <c r="N54" s="107"/>
      <c r="O54" s="767"/>
    </row>
    <row r="55" spans="1:30" s="1064" customFormat="1" ht="15" customHeight="1">
      <c r="A55" s="1095"/>
      <c r="B55" s="207"/>
      <c r="C55" s="1054"/>
      <c r="D55" s="1054"/>
      <c r="E55" s="1054"/>
      <c r="F55" s="1054"/>
      <c r="G55" s="1054"/>
      <c r="H55" s="1054"/>
      <c r="I55" s="1054"/>
      <c r="J55" s="1054"/>
      <c r="K55" s="1054"/>
      <c r="L55" s="1054"/>
      <c r="M55" s="1054"/>
      <c r="N55" s="107"/>
      <c r="O55" s="767"/>
    </row>
    <row r="56" spans="1:30" ht="15" customHeight="1">
      <c r="A56" s="121"/>
      <c r="B56" s="107"/>
      <c r="C56" s="107"/>
      <c r="D56" s="110"/>
      <c r="E56" s="110"/>
      <c r="F56" s="110"/>
      <c r="G56" s="107"/>
      <c r="H56" s="107"/>
      <c r="I56" s="120"/>
      <c r="J56" s="120"/>
      <c r="K56" s="120"/>
      <c r="L56" s="120"/>
      <c r="M56" s="120"/>
      <c r="N56" s="107"/>
      <c r="O56" s="767"/>
    </row>
    <row r="57" spans="1:30" s="4" customFormat="1" ht="15" customHeight="1">
      <c r="A57" s="1058" t="s">
        <v>291</v>
      </c>
      <c r="B57" s="1055" t="s">
        <v>285</v>
      </c>
      <c r="C57" s="1059">
        <f>SUM(C20,C34,C51)</f>
        <v>0</v>
      </c>
      <c r="D57" s="1059">
        <f t="shared" ref="D57:P57" si="28">SUM(D20,D34,D51)</f>
        <v>1</v>
      </c>
      <c r="E57" s="1059">
        <f t="shared" si="28"/>
        <v>0</v>
      </c>
      <c r="F57" s="1059">
        <f t="shared" si="28"/>
        <v>0</v>
      </c>
      <c r="G57" s="1059">
        <f t="shared" si="28"/>
        <v>4</v>
      </c>
      <c r="H57" s="1059">
        <f t="shared" si="28"/>
        <v>1</v>
      </c>
      <c r="I57" s="1059">
        <f t="shared" si="28"/>
        <v>0</v>
      </c>
      <c r="J57" s="1059">
        <f t="shared" si="28"/>
        <v>4</v>
      </c>
      <c r="K57" s="1059">
        <f t="shared" si="28"/>
        <v>2</v>
      </c>
      <c r="L57" s="1059">
        <f t="shared" si="28"/>
        <v>2</v>
      </c>
      <c r="M57" s="1059">
        <f t="shared" si="28"/>
        <v>0</v>
      </c>
      <c r="N57" s="1059">
        <f t="shared" si="28"/>
        <v>0</v>
      </c>
      <c r="O57" s="1059">
        <f t="shared" si="28"/>
        <v>0</v>
      </c>
      <c r="P57" s="1059">
        <f t="shared" si="28"/>
        <v>3</v>
      </c>
      <c r="Q57" s="1059">
        <f t="shared" ref="Q57:S58" si="29">SUM(Q20,Q34,Q51)</f>
        <v>0</v>
      </c>
      <c r="R57" s="1059">
        <f t="shared" si="29"/>
        <v>0</v>
      </c>
      <c r="S57" s="1059">
        <f t="shared" si="29"/>
        <v>1</v>
      </c>
      <c r="T57" s="1059">
        <f t="shared" ref="T57:Z57" si="30">SUM(T20,T34,T51)</f>
        <v>0</v>
      </c>
      <c r="U57" s="1059">
        <f t="shared" si="30"/>
        <v>0</v>
      </c>
      <c r="V57" s="1059">
        <f t="shared" si="30"/>
        <v>0</v>
      </c>
      <c r="W57" s="1059">
        <f t="shared" si="30"/>
        <v>2</v>
      </c>
      <c r="X57" s="1059">
        <f t="shared" si="30"/>
        <v>3</v>
      </c>
      <c r="Y57" s="1059">
        <f t="shared" si="30"/>
        <v>0</v>
      </c>
      <c r="Z57" s="1059">
        <f t="shared" si="30"/>
        <v>0</v>
      </c>
      <c r="AA57" s="1059">
        <f t="shared" ref="AA57:AD57" si="31">SUM(AA20,AA34,AA51)</f>
        <v>0</v>
      </c>
      <c r="AB57" s="1059">
        <f t="shared" si="31"/>
        <v>0</v>
      </c>
      <c r="AC57" s="1059">
        <f t="shared" si="31"/>
        <v>0</v>
      </c>
      <c r="AD57" s="1059">
        <f t="shared" si="31"/>
        <v>0</v>
      </c>
    </row>
    <row r="58" spans="1:30" s="4" customFormat="1" ht="15" customHeight="1">
      <c r="A58" s="1058"/>
      <c r="B58" s="1055" t="s">
        <v>287</v>
      </c>
      <c r="C58" s="1059">
        <f>SUM(C21,C35,C52)</f>
        <v>14</v>
      </c>
      <c r="D58" s="1059">
        <f t="shared" ref="D58:P58" si="32">SUM(D21,D35,D52)</f>
        <v>14</v>
      </c>
      <c r="E58" s="1059">
        <f t="shared" si="32"/>
        <v>14</v>
      </c>
      <c r="F58" s="1059">
        <f t="shared" si="32"/>
        <v>12</v>
      </c>
      <c r="G58" s="1059">
        <f t="shared" si="32"/>
        <v>16</v>
      </c>
      <c r="H58" s="1059">
        <f>SUM(H21,H35,H52)</f>
        <v>22</v>
      </c>
      <c r="I58" s="1059">
        <f t="shared" si="32"/>
        <v>14</v>
      </c>
      <c r="J58" s="1059">
        <f t="shared" si="32"/>
        <v>14</v>
      </c>
      <c r="K58" s="1059">
        <f t="shared" si="32"/>
        <v>14</v>
      </c>
      <c r="L58" s="1059">
        <f t="shared" si="32"/>
        <v>19</v>
      </c>
      <c r="M58" s="1059">
        <f t="shared" si="32"/>
        <v>14</v>
      </c>
      <c r="N58" s="1059">
        <f t="shared" si="32"/>
        <v>9</v>
      </c>
      <c r="O58" s="1059">
        <f t="shared" si="32"/>
        <v>0</v>
      </c>
      <c r="P58" s="1059">
        <f t="shared" si="32"/>
        <v>19</v>
      </c>
      <c r="Q58" s="1059">
        <f t="shared" si="29"/>
        <v>19</v>
      </c>
      <c r="R58" s="1059">
        <f t="shared" si="29"/>
        <v>19</v>
      </c>
      <c r="S58" s="1059">
        <f t="shared" si="29"/>
        <v>14</v>
      </c>
      <c r="T58" s="1059">
        <f t="shared" ref="T58:Z58" si="33">SUM(T21,T35,T52)</f>
        <v>19</v>
      </c>
      <c r="U58" s="1059">
        <f t="shared" si="33"/>
        <v>0</v>
      </c>
      <c r="V58" s="1059">
        <f t="shared" si="33"/>
        <v>9</v>
      </c>
      <c r="W58" s="1059">
        <f t="shared" si="33"/>
        <v>19</v>
      </c>
      <c r="X58" s="1059">
        <f t="shared" si="33"/>
        <v>19</v>
      </c>
      <c r="Y58" s="1059">
        <f t="shared" si="33"/>
        <v>19</v>
      </c>
      <c r="Z58" s="1059">
        <f t="shared" si="33"/>
        <v>19</v>
      </c>
      <c r="AA58" s="1059">
        <f t="shared" ref="AA58:AD58" si="34">SUM(AA21,AA35,AA52)</f>
        <v>19</v>
      </c>
      <c r="AB58" s="1059">
        <f t="shared" si="34"/>
        <v>0</v>
      </c>
      <c r="AC58" s="1059">
        <f t="shared" si="34"/>
        <v>0</v>
      </c>
      <c r="AD58" s="1059">
        <f t="shared" si="34"/>
        <v>0</v>
      </c>
    </row>
    <row r="59" spans="1:30" s="4" customFormat="1" ht="15" customHeight="1">
      <c r="A59" s="1058"/>
      <c r="B59" s="1055" t="s">
        <v>202</v>
      </c>
      <c r="C59" s="1060">
        <f>C57/C58</f>
        <v>0</v>
      </c>
      <c r="D59" s="1060">
        <f t="shared" ref="D59:S59" si="35">D57/D58</f>
        <v>7.1428571428571425E-2</v>
      </c>
      <c r="E59" s="1060">
        <f t="shared" si="35"/>
        <v>0</v>
      </c>
      <c r="F59" s="1060">
        <f t="shared" si="35"/>
        <v>0</v>
      </c>
      <c r="G59" s="1060">
        <f t="shared" si="35"/>
        <v>0.25</v>
      </c>
      <c r="H59" s="1060">
        <f t="shared" si="35"/>
        <v>4.5454545454545456E-2</v>
      </c>
      <c r="I59" s="1060">
        <f t="shared" si="35"/>
        <v>0</v>
      </c>
      <c r="J59" s="1060">
        <f t="shared" si="35"/>
        <v>0.2857142857142857</v>
      </c>
      <c r="K59" s="1060">
        <f t="shared" si="35"/>
        <v>0.14285714285714285</v>
      </c>
      <c r="L59" s="1060">
        <f t="shared" si="35"/>
        <v>0.10526315789473684</v>
      </c>
      <c r="M59" s="1060">
        <f t="shared" si="35"/>
        <v>0</v>
      </c>
      <c r="N59" s="1060">
        <f t="shared" si="35"/>
        <v>0</v>
      </c>
      <c r="O59" s="1060" t="e">
        <f t="shared" si="35"/>
        <v>#DIV/0!</v>
      </c>
      <c r="P59" s="1060">
        <f t="shared" si="35"/>
        <v>0.15789473684210525</v>
      </c>
      <c r="Q59" s="1060">
        <f t="shared" si="35"/>
        <v>0</v>
      </c>
      <c r="R59" s="1060">
        <f t="shared" si="35"/>
        <v>0</v>
      </c>
      <c r="S59" s="1060">
        <f t="shared" si="35"/>
        <v>7.1428571428571425E-2</v>
      </c>
      <c r="T59" s="1060">
        <f t="shared" ref="T59:Z59" si="36">T57/T58</f>
        <v>0</v>
      </c>
      <c r="U59" s="1060" t="e">
        <f t="shared" si="36"/>
        <v>#DIV/0!</v>
      </c>
      <c r="V59" s="1060">
        <f t="shared" si="36"/>
        <v>0</v>
      </c>
      <c r="W59" s="1060">
        <f t="shared" si="36"/>
        <v>0.10526315789473684</v>
      </c>
      <c r="X59" s="1060">
        <f t="shared" si="36"/>
        <v>0.15789473684210525</v>
      </c>
      <c r="Y59" s="1060">
        <f t="shared" si="36"/>
        <v>0</v>
      </c>
      <c r="Z59" s="1060">
        <f t="shared" si="36"/>
        <v>0</v>
      </c>
      <c r="AA59" s="1060">
        <f t="shared" ref="AA59:AD59" si="37">AA57/AA58</f>
        <v>0</v>
      </c>
      <c r="AB59" s="1060" t="e">
        <f t="shared" si="37"/>
        <v>#DIV/0!</v>
      </c>
      <c r="AC59" s="1060" t="e">
        <f t="shared" si="37"/>
        <v>#DIV/0!</v>
      </c>
      <c r="AD59" s="1060" t="e">
        <f t="shared" si="37"/>
        <v>#DIV/0!</v>
      </c>
    </row>
    <row r="60" spans="1:30" ht="15" customHeight="1">
      <c r="A60" s="121"/>
      <c r="B60" s="1055" t="s">
        <v>298</v>
      </c>
      <c r="C60" s="1094">
        <f>SUM(C23,C37,C54)</f>
        <v>22</v>
      </c>
      <c r="D60" s="110"/>
      <c r="E60" s="110"/>
      <c r="F60" s="110"/>
      <c r="G60" s="107"/>
      <c r="H60" s="107"/>
      <c r="I60" s="120"/>
      <c r="J60" s="120"/>
      <c r="K60" s="120"/>
      <c r="L60" s="120"/>
      <c r="M60" s="120"/>
      <c r="N60" s="107"/>
      <c r="O60" s="767"/>
    </row>
    <row r="61" spans="1:30" s="1064" customFormat="1" ht="15" customHeight="1">
      <c r="A61" s="121"/>
      <c r="B61" s="1055"/>
      <c r="C61" s="1094"/>
      <c r="D61" s="110"/>
      <c r="E61" s="110"/>
      <c r="F61" s="110"/>
      <c r="G61" s="107"/>
      <c r="H61" s="107"/>
      <c r="I61" s="120"/>
      <c r="J61" s="120"/>
      <c r="K61" s="120"/>
      <c r="L61" s="120"/>
      <c r="M61" s="120"/>
      <c r="N61" s="107"/>
      <c r="O61" s="767"/>
    </row>
    <row r="62" spans="1:30" s="1064" customFormat="1" ht="15" customHeight="1">
      <c r="A62" s="121"/>
      <c r="B62" s="1055"/>
      <c r="C62" s="1094"/>
      <c r="D62" s="110"/>
      <c r="E62" s="110"/>
      <c r="F62" s="110"/>
      <c r="G62" s="107"/>
      <c r="H62" s="107"/>
      <c r="I62" s="120"/>
      <c r="J62" s="120"/>
      <c r="K62" s="120"/>
      <c r="L62" s="120"/>
      <c r="M62" s="120"/>
      <c r="N62" s="107"/>
      <c r="O62" s="767"/>
    </row>
    <row r="63" spans="1:30" s="1064" customFormat="1" ht="15" customHeight="1">
      <c r="A63" s="121"/>
      <c r="B63" s="1055"/>
      <c r="C63" s="1094"/>
      <c r="D63" s="110"/>
      <c r="E63" s="110"/>
      <c r="F63" s="110"/>
      <c r="G63" s="107"/>
      <c r="H63" s="107"/>
      <c r="I63" s="120"/>
      <c r="J63" s="120"/>
      <c r="K63" s="120"/>
      <c r="L63" s="120"/>
      <c r="M63" s="120"/>
      <c r="N63" s="107"/>
      <c r="O63" s="767"/>
    </row>
    <row r="64" spans="1:30" ht="15" customHeight="1">
      <c r="A64" s="116"/>
      <c r="B64" s="116"/>
      <c r="C64" s="110"/>
      <c r="D64" s="110"/>
      <c r="E64" s="116"/>
      <c r="F64" s="3642" t="s">
        <v>148</v>
      </c>
      <c r="G64" s="3642"/>
      <c r="H64" s="107"/>
      <c r="I64" s="120"/>
      <c r="J64" s="120"/>
      <c r="K64" s="120"/>
      <c r="L64" s="120"/>
      <c r="M64" s="107"/>
      <c r="N64" s="3642" t="s">
        <v>148</v>
      </c>
      <c r="O64" s="3655"/>
    </row>
    <row r="65" spans="1:15" ht="15" customHeight="1" thickBot="1">
      <c r="A65" s="116"/>
      <c r="B65" s="116"/>
      <c r="C65" s="247"/>
      <c r="D65" s="246"/>
      <c r="E65" s="116"/>
      <c r="F65" s="3643"/>
      <c r="G65" s="3643"/>
      <c r="H65" s="107"/>
      <c r="I65" s="120"/>
      <c r="J65" s="120"/>
      <c r="K65" s="120"/>
      <c r="L65" s="120"/>
      <c r="M65" s="107"/>
      <c r="N65" s="3643"/>
      <c r="O65" s="3655"/>
    </row>
    <row r="66" spans="1:15" ht="15.75" thickBot="1">
      <c r="A66" s="116"/>
      <c r="B66" s="542" t="s">
        <v>168</v>
      </c>
      <c r="C66" s="355">
        <v>200</v>
      </c>
      <c r="D66" s="355">
        <v>200</v>
      </c>
      <c r="E66" s="355">
        <v>200</v>
      </c>
      <c r="F66" s="543">
        <v>200</v>
      </c>
      <c r="G66" s="346">
        <v>200</v>
      </c>
      <c r="H66" s="268">
        <v>200</v>
      </c>
      <c r="I66" s="268">
        <v>200</v>
      </c>
      <c r="J66" s="274">
        <v>200</v>
      </c>
      <c r="K66" s="346">
        <v>200</v>
      </c>
      <c r="L66" s="268">
        <v>200</v>
      </c>
      <c r="M66" s="268">
        <v>200</v>
      </c>
      <c r="N66" s="274">
        <v>200</v>
      </c>
      <c r="O66" s="912"/>
    </row>
    <row r="67" spans="1:15">
      <c r="A67" s="107"/>
      <c r="B67" s="105" t="s">
        <v>152</v>
      </c>
      <c r="C67" s="654"/>
      <c r="D67" s="654"/>
      <c r="E67" s="654"/>
      <c r="F67" s="679"/>
      <c r="G67" s="652"/>
      <c r="H67" s="653"/>
      <c r="I67" s="654"/>
      <c r="J67" s="680"/>
      <c r="K67" s="380"/>
      <c r="L67" s="387"/>
      <c r="M67" s="387"/>
      <c r="N67" s="388"/>
      <c r="O67" s="767"/>
    </row>
    <row r="68" spans="1:15">
      <c r="A68" s="107"/>
      <c r="B68" s="106" t="s">
        <v>153</v>
      </c>
      <c r="C68" s="281"/>
      <c r="D68" s="281"/>
      <c r="E68" s="281"/>
      <c r="F68" s="659"/>
      <c r="G68" s="343"/>
      <c r="H68" s="283"/>
      <c r="I68" s="281"/>
      <c r="J68" s="665"/>
      <c r="K68" s="318"/>
      <c r="L68" s="304"/>
      <c r="M68" s="304"/>
      <c r="N68" s="319"/>
      <c r="O68" s="767"/>
    </row>
    <row r="69" spans="1:15">
      <c r="A69" s="107"/>
      <c r="B69" s="75" t="s">
        <v>150</v>
      </c>
      <c r="C69" s="281"/>
      <c r="D69" s="281"/>
      <c r="E69" s="281"/>
      <c r="F69" s="659"/>
      <c r="G69" s="343"/>
      <c r="H69" s="283"/>
      <c r="I69" s="281"/>
      <c r="J69" s="665"/>
      <c r="K69" s="318"/>
      <c r="L69" s="304"/>
      <c r="M69" s="304"/>
      <c r="N69" s="319"/>
      <c r="O69" s="767"/>
    </row>
    <row r="70" spans="1:15">
      <c r="A70" s="107"/>
      <c r="B70" s="75" t="s">
        <v>149</v>
      </c>
      <c r="C70" s="281"/>
      <c r="D70" s="281"/>
      <c r="E70" s="281"/>
      <c r="F70" s="337"/>
      <c r="G70" s="343"/>
      <c r="H70" s="283"/>
      <c r="I70" s="281"/>
      <c r="J70" s="665"/>
      <c r="K70" s="318"/>
      <c r="L70" s="304"/>
      <c r="M70" s="304"/>
      <c r="N70" s="319"/>
      <c r="O70" s="767"/>
    </row>
    <row r="71" spans="1:15">
      <c r="A71" s="107"/>
      <c r="B71" s="75" t="s">
        <v>151</v>
      </c>
      <c r="C71" s="281"/>
      <c r="D71" s="281"/>
      <c r="E71" s="281"/>
      <c r="F71" s="659"/>
      <c r="G71" s="343"/>
      <c r="H71" s="283"/>
      <c r="I71" s="281"/>
      <c r="J71" s="665"/>
      <c r="K71" s="318"/>
      <c r="L71" s="304"/>
      <c r="M71" s="304"/>
      <c r="N71" s="319"/>
      <c r="O71" s="767"/>
    </row>
    <row r="72" spans="1:15">
      <c r="A72" s="107"/>
      <c r="B72" s="106" t="s">
        <v>354</v>
      </c>
      <c r="C72" s="285"/>
      <c r="D72" s="283"/>
      <c r="E72" s="281"/>
      <c r="F72" s="351"/>
      <c r="G72" s="343"/>
      <c r="H72" s="283"/>
      <c r="I72" s="281"/>
      <c r="J72" s="665"/>
      <c r="K72" s="318"/>
      <c r="L72" s="304"/>
      <c r="M72" s="304"/>
      <c r="N72" s="319"/>
      <c r="O72" s="767"/>
    </row>
    <row r="73" spans="1:15">
      <c r="A73" s="107"/>
      <c r="B73" s="106" t="s">
        <v>355</v>
      </c>
      <c r="C73" s="285"/>
      <c r="D73" s="283"/>
      <c r="E73" s="281"/>
      <c r="F73" s="351"/>
      <c r="G73" s="343"/>
      <c r="H73" s="283"/>
      <c r="I73" s="281"/>
      <c r="J73" s="665"/>
      <c r="K73" s="318"/>
      <c r="L73" s="304"/>
      <c r="M73" s="304"/>
      <c r="N73" s="319"/>
      <c r="O73" s="767"/>
    </row>
    <row r="74" spans="1:15">
      <c r="A74" s="107"/>
      <c r="B74" s="75" t="s">
        <v>356</v>
      </c>
      <c r="C74" s="285"/>
      <c r="D74" s="283"/>
      <c r="E74" s="281"/>
      <c r="F74" s="351"/>
      <c r="G74" s="343"/>
      <c r="H74" s="283"/>
      <c r="I74" s="281"/>
      <c r="J74" s="665"/>
      <c r="K74" s="318"/>
      <c r="L74" s="304"/>
      <c r="M74" s="304"/>
      <c r="N74" s="319"/>
      <c r="O74" s="767"/>
    </row>
    <row r="75" spans="1:15" ht="15.75" thickBot="1">
      <c r="A75" s="107"/>
      <c r="B75" s="99" t="s">
        <v>357</v>
      </c>
      <c r="C75" s="706"/>
      <c r="D75" s="296"/>
      <c r="E75" s="297"/>
      <c r="F75" s="352"/>
      <c r="G75" s="657"/>
      <c r="H75" s="288"/>
      <c r="I75" s="289"/>
      <c r="J75" s="666"/>
      <c r="K75" s="320"/>
      <c r="L75" s="321"/>
      <c r="M75" s="321"/>
      <c r="N75" s="322"/>
      <c r="O75" s="767"/>
    </row>
    <row r="76" spans="1:15">
      <c r="A76" s="107"/>
      <c r="B76" s="117"/>
      <c r="C76" s="110"/>
      <c r="D76" s="110"/>
      <c r="E76" s="110"/>
      <c r="F76" s="110"/>
      <c r="G76" s="107"/>
      <c r="H76" s="107"/>
      <c r="I76" s="120"/>
      <c r="J76" s="120"/>
      <c r="K76" s="120"/>
      <c r="L76" s="120"/>
      <c r="M76" s="120"/>
      <c r="N76" s="107"/>
      <c r="O76" s="767"/>
    </row>
    <row r="77" spans="1:15">
      <c r="A77" s="107"/>
      <c r="B77" s="117"/>
      <c r="C77" s="110"/>
      <c r="D77" s="110"/>
      <c r="E77" s="110"/>
      <c r="F77" s="110"/>
      <c r="G77" s="107"/>
      <c r="H77" s="107"/>
      <c r="I77" s="120"/>
      <c r="J77" s="120"/>
      <c r="K77" s="120"/>
      <c r="L77" s="120"/>
      <c r="M77" s="120"/>
      <c r="N77" s="107"/>
      <c r="O77" s="767"/>
    </row>
    <row r="78" spans="1:15">
      <c r="A78" s="107"/>
      <c r="B78" s="116"/>
      <c r="C78" s="110"/>
      <c r="D78" s="110"/>
      <c r="E78" s="116"/>
      <c r="F78" s="3642" t="s">
        <v>154</v>
      </c>
      <c r="G78" s="3642"/>
      <c r="H78" s="107"/>
      <c r="I78" s="120"/>
      <c r="J78" s="120"/>
      <c r="K78" s="120"/>
      <c r="L78" s="120"/>
      <c r="M78" s="107"/>
      <c r="N78" s="3642" t="s">
        <v>154</v>
      </c>
      <c r="O78" s="3655"/>
    </row>
    <row r="79" spans="1:15" ht="15.75" thickBot="1">
      <c r="A79" s="107"/>
      <c r="B79" s="116"/>
      <c r="C79" s="244"/>
      <c r="D79" s="248"/>
      <c r="E79" s="116"/>
      <c r="F79" s="3643"/>
      <c r="G79" s="3643"/>
      <c r="H79" s="107"/>
      <c r="I79" s="120"/>
      <c r="J79" s="120"/>
      <c r="K79" s="120"/>
      <c r="L79" s="120"/>
      <c r="M79" s="107"/>
      <c r="N79" s="3643"/>
      <c r="O79" s="3655"/>
    </row>
    <row r="80" spans="1:15" ht="15.75" thickBot="1">
      <c r="A80" s="107"/>
      <c r="B80" s="266" t="s">
        <v>168</v>
      </c>
      <c r="C80" s="268">
        <v>200</v>
      </c>
      <c r="D80" s="268">
        <v>200</v>
      </c>
      <c r="E80" s="268">
        <v>200</v>
      </c>
      <c r="F80" s="274">
        <v>200</v>
      </c>
      <c r="G80" s="346">
        <v>200</v>
      </c>
      <c r="H80" s="268">
        <v>200</v>
      </c>
      <c r="I80" s="268">
        <v>200</v>
      </c>
      <c r="J80" s="274">
        <v>200</v>
      </c>
      <c r="K80" s="346">
        <v>200</v>
      </c>
      <c r="L80" s="268">
        <v>200</v>
      </c>
      <c r="M80" s="268">
        <v>200</v>
      </c>
      <c r="N80" s="274">
        <v>200</v>
      </c>
      <c r="O80" s="912"/>
    </row>
    <row r="81" spans="1:15">
      <c r="A81" s="107"/>
      <c r="B81" s="100" t="s">
        <v>105</v>
      </c>
      <c r="C81" s="278"/>
      <c r="D81" s="278"/>
      <c r="E81" s="278"/>
      <c r="F81" s="658"/>
      <c r="G81" s="652"/>
      <c r="H81" s="653"/>
      <c r="I81" s="654"/>
      <c r="J81" s="655"/>
      <c r="K81" s="380"/>
      <c r="L81" s="387"/>
      <c r="M81" s="387"/>
      <c r="N81" s="388"/>
      <c r="O81" s="767"/>
    </row>
    <row r="82" spans="1:15">
      <c r="A82" s="107"/>
      <c r="B82" s="75" t="s">
        <v>94</v>
      </c>
      <c r="C82" s="281"/>
      <c r="D82" s="281"/>
      <c r="E82" s="281"/>
      <c r="F82" s="659"/>
      <c r="G82" s="343"/>
      <c r="H82" s="283"/>
      <c r="I82" s="281"/>
      <c r="J82" s="656"/>
      <c r="K82" s="318"/>
      <c r="L82" s="304"/>
      <c r="M82" s="304"/>
      <c r="N82" s="319"/>
      <c r="O82" s="767"/>
    </row>
    <row r="83" spans="1:15">
      <c r="A83" s="107"/>
      <c r="B83" s="106" t="s">
        <v>96</v>
      </c>
      <c r="C83" s="285"/>
      <c r="D83" s="283"/>
      <c r="E83" s="281"/>
      <c r="F83" s="353"/>
      <c r="G83" s="343"/>
      <c r="H83" s="283"/>
      <c r="I83" s="281"/>
      <c r="J83" s="656"/>
      <c r="K83" s="318"/>
      <c r="L83" s="304"/>
      <c r="M83" s="304"/>
      <c r="N83" s="319"/>
      <c r="O83" s="767"/>
    </row>
    <row r="84" spans="1:15">
      <c r="A84" s="107"/>
      <c r="B84" s="75" t="s">
        <v>85</v>
      </c>
      <c r="C84" s="281"/>
      <c r="D84" s="281"/>
      <c r="E84" s="281"/>
      <c r="F84" s="659"/>
      <c r="G84" s="343"/>
      <c r="H84" s="283"/>
      <c r="I84" s="281"/>
      <c r="J84" s="656"/>
      <c r="K84" s="871"/>
      <c r="L84" s="870"/>
      <c r="M84" s="870"/>
      <c r="N84" s="319"/>
      <c r="O84" s="767"/>
    </row>
    <row r="85" spans="1:15">
      <c r="A85" s="107"/>
      <c r="B85" s="75" t="s">
        <v>101</v>
      </c>
      <c r="C85" s="281"/>
      <c r="D85" s="281"/>
      <c r="E85" s="337"/>
      <c r="F85" s="659"/>
      <c r="G85" s="343"/>
      <c r="H85" s="283"/>
      <c r="I85" s="281"/>
      <c r="J85" s="656"/>
      <c r="K85" s="913"/>
      <c r="L85" s="879"/>
      <c r="M85" s="880"/>
      <c r="N85" s="842"/>
      <c r="O85" s="767"/>
    </row>
    <row r="86" spans="1:15">
      <c r="A86" s="107"/>
      <c r="B86" s="75" t="s">
        <v>107</v>
      </c>
      <c r="C86" s="281"/>
      <c r="D86" s="281"/>
      <c r="E86" s="281"/>
      <c r="F86" s="659"/>
      <c r="G86" s="343"/>
      <c r="H86" s="283"/>
      <c r="I86" s="281"/>
      <c r="J86" s="656"/>
      <c r="K86" s="914"/>
      <c r="L86" s="881"/>
      <c r="M86" s="881"/>
      <c r="N86" s="825"/>
      <c r="O86" s="767"/>
    </row>
    <row r="87" spans="1:15">
      <c r="A87" s="107"/>
      <c r="B87" s="75" t="s">
        <v>97</v>
      </c>
      <c r="C87" s="281"/>
      <c r="D87" s="281"/>
      <c r="E87" s="281"/>
      <c r="F87" s="659"/>
      <c r="G87" s="343"/>
      <c r="H87" s="283"/>
      <c r="I87" s="281"/>
      <c r="J87" s="656"/>
      <c r="K87" s="915"/>
      <c r="L87" s="882"/>
      <c r="M87" s="882"/>
      <c r="N87" s="825"/>
      <c r="O87" s="767"/>
    </row>
    <row r="88" spans="1:15">
      <c r="A88" s="107"/>
      <c r="B88" s="75" t="s">
        <v>98</v>
      </c>
      <c r="C88" s="281"/>
      <c r="D88" s="281"/>
      <c r="E88" s="281"/>
      <c r="F88" s="659"/>
      <c r="G88" s="342"/>
      <c r="H88" s="283"/>
      <c r="I88" s="281"/>
      <c r="J88" s="656"/>
      <c r="K88" s="916"/>
      <c r="L88" s="883"/>
      <c r="M88" s="883"/>
      <c r="N88" s="876"/>
      <c r="O88" s="767"/>
    </row>
    <row r="89" spans="1:15">
      <c r="A89" s="107"/>
      <c r="B89" s="106" t="s">
        <v>110</v>
      </c>
      <c r="C89" s="285"/>
      <c r="D89" s="285"/>
      <c r="E89" s="281"/>
      <c r="F89" s="353"/>
      <c r="G89" s="343"/>
      <c r="H89" s="285"/>
      <c r="I89" s="281"/>
      <c r="J89" s="656"/>
      <c r="K89" s="917"/>
      <c r="L89" s="884"/>
      <c r="M89" s="884"/>
      <c r="N89" s="876"/>
      <c r="O89" s="767"/>
    </row>
    <row r="90" spans="1:15">
      <c r="A90" s="107"/>
      <c r="B90" s="75" t="s">
        <v>87</v>
      </c>
      <c r="C90" s="281"/>
      <c r="D90" s="281"/>
      <c r="E90" s="281"/>
      <c r="F90" s="659"/>
      <c r="G90" s="343"/>
      <c r="H90" s="283"/>
      <c r="I90" s="281"/>
      <c r="J90" s="656"/>
      <c r="K90" s="318"/>
      <c r="L90" s="304"/>
      <c r="M90" s="304"/>
      <c r="N90" s="319"/>
      <c r="O90" s="767"/>
    </row>
    <row r="91" spans="1:15">
      <c r="A91" s="107"/>
      <c r="B91" s="75" t="s">
        <v>103</v>
      </c>
      <c r="C91" s="281"/>
      <c r="D91" s="281"/>
      <c r="E91" s="281"/>
      <c r="F91" s="659"/>
      <c r="G91" s="343"/>
      <c r="H91" s="283"/>
      <c r="I91" s="281"/>
      <c r="J91" s="656"/>
      <c r="K91" s="318"/>
      <c r="L91" s="304"/>
      <c r="M91" s="304"/>
      <c r="N91" s="319"/>
      <c r="O91" s="767"/>
    </row>
    <row r="92" spans="1:15">
      <c r="A92" s="107"/>
      <c r="B92" s="75" t="s">
        <v>95</v>
      </c>
      <c r="C92" s="281"/>
      <c r="D92" s="281"/>
      <c r="E92" s="281"/>
      <c r="F92" s="659"/>
      <c r="G92" s="343"/>
      <c r="H92" s="283"/>
      <c r="I92" s="281"/>
      <c r="J92" s="656"/>
      <c r="K92" s="318"/>
      <c r="L92" s="304"/>
      <c r="M92" s="304"/>
      <c r="N92" s="319"/>
      <c r="O92" s="767"/>
    </row>
    <row r="93" spans="1:15">
      <c r="A93" s="107"/>
      <c r="B93" s="75" t="s">
        <v>102</v>
      </c>
      <c r="C93" s="281"/>
      <c r="D93" s="281"/>
      <c r="E93" s="281"/>
      <c r="F93" s="659"/>
      <c r="G93" s="343"/>
      <c r="H93" s="283"/>
      <c r="I93" s="281"/>
      <c r="J93" s="656"/>
      <c r="K93" s="318"/>
      <c r="L93" s="304"/>
      <c r="M93" s="304"/>
      <c r="N93" s="319"/>
      <c r="O93" s="767"/>
    </row>
    <row r="94" spans="1:15">
      <c r="A94" s="107"/>
      <c r="B94" s="75" t="s">
        <v>83</v>
      </c>
      <c r="C94" s="281"/>
      <c r="D94" s="281"/>
      <c r="E94" s="281"/>
      <c r="F94" s="659"/>
      <c r="G94" s="343"/>
      <c r="H94" s="283"/>
      <c r="I94" s="281"/>
      <c r="J94" s="656"/>
      <c r="K94" s="318"/>
      <c r="L94" s="304"/>
      <c r="M94" s="304"/>
      <c r="N94" s="319"/>
      <c r="O94" s="767"/>
    </row>
    <row r="95" spans="1:15">
      <c r="A95" s="107"/>
      <c r="B95" s="75" t="s">
        <v>84</v>
      </c>
      <c r="C95" s="281"/>
      <c r="D95" s="281"/>
      <c r="E95" s="281"/>
      <c r="F95" s="659"/>
      <c r="G95" s="343"/>
      <c r="H95" s="283"/>
      <c r="I95" s="281"/>
      <c r="J95" s="656"/>
      <c r="K95" s="318"/>
      <c r="L95" s="304"/>
      <c r="M95" s="304"/>
      <c r="N95" s="319"/>
      <c r="O95" s="767"/>
    </row>
    <row r="96" spans="1:15">
      <c r="A96" s="107"/>
      <c r="B96" s="75" t="s">
        <v>90</v>
      </c>
      <c r="C96" s="281"/>
      <c r="D96" s="281"/>
      <c r="E96" s="281"/>
      <c r="F96" s="659"/>
      <c r="G96" s="343"/>
      <c r="H96" s="283"/>
      <c r="I96" s="281"/>
      <c r="J96" s="656"/>
      <c r="K96" s="318"/>
      <c r="L96" s="304"/>
      <c r="M96" s="304"/>
      <c r="N96" s="319"/>
      <c r="O96" s="767"/>
    </row>
    <row r="97" spans="1:17">
      <c r="A97" s="107"/>
      <c r="B97" s="75" t="s">
        <v>92</v>
      </c>
      <c r="C97" s="281"/>
      <c r="D97" s="281"/>
      <c r="E97" s="281"/>
      <c r="F97" s="659"/>
      <c r="G97" s="343"/>
      <c r="H97" s="283"/>
      <c r="I97" s="281"/>
      <c r="J97" s="656"/>
      <c r="K97" s="318"/>
      <c r="L97" s="304"/>
      <c r="M97" s="304"/>
      <c r="N97" s="319"/>
      <c r="O97" s="767"/>
    </row>
    <row r="98" spans="1:17">
      <c r="A98" s="107"/>
      <c r="B98" s="75" t="s">
        <v>104</v>
      </c>
      <c r="C98" s="281"/>
      <c r="D98" s="281"/>
      <c r="E98" s="281"/>
      <c r="F98" s="659"/>
      <c r="G98" s="343"/>
      <c r="H98" s="283"/>
      <c r="I98" s="281"/>
      <c r="J98" s="656"/>
      <c r="K98" s="318"/>
      <c r="L98" s="304"/>
      <c r="M98" s="304"/>
      <c r="N98" s="319"/>
      <c r="O98" s="767"/>
    </row>
    <row r="99" spans="1:17">
      <c r="A99" s="107"/>
      <c r="B99" s="75" t="s">
        <v>93</v>
      </c>
      <c r="C99" s="281"/>
      <c r="D99" s="281"/>
      <c r="E99" s="281"/>
      <c r="F99" s="659"/>
      <c r="G99" s="343"/>
      <c r="H99" s="283"/>
      <c r="I99" s="281"/>
      <c r="J99" s="656"/>
      <c r="K99" s="318"/>
      <c r="L99" s="304"/>
      <c r="M99" s="304"/>
      <c r="N99" s="319"/>
      <c r="O99" s="767"/>
    </row>
    <row r="100" spans="1:17">
      <c r="A100" s="107"/>
      <c r="B100" s="75" t="s">
        <v>99</v>
      </c>
      <c r="C100" s="281"/>
      <c r="D100" s="281"/>
      <c r="E100" s="281"/>
      <c r="F100" s="659"/>
      <c r="G100" s="343"/>
      <c r="H100" s="283"/>
      <c r="I100" s="281"/>
      <c r="J100" s="656"/>
      <c r="K100" s="318"/>
      <c r="L100" s="304"/>
      <c r="M100" s="304"/>
      <c r="N100" s="319"/>
      <c r="O100" s="767"/>
    </row>
    <row r="101" spans="1:17">
      <c r="A101" s="107"/>
      <c r="B101" s="75" t="s">
        <v>89</v>
      </c>
      <c r="C101" s="281"/>
      <c r="D101" s="281"/>
      <c r="E101" s="281"/>
      <c r="F101" s="659"/>
      <c r="G101" s="343"/>
      <c r="H101" s="283"/>
      <c r="I101" s="281"/>
      <c r="J101" s="656"/>
      <c r="K101" s="318"/>
      <c r="L101" s="304"/>
      <c r="M101" s="304"/>
      <c r="N101" s="319"/>
      <c r="O101" s="767"/>
    </row>
    <row r="102" spans="1:17">
      <c r="A102" s="107"/>
      <c r="B102" s="75" t="s">
        <v>88</v>
      </c>
      <c r="C102" s="281"/>
      <c r="D102" s="281"/>
      <c r="E102" s="281"/>
      <c r="F102" s="659"/>
      <c r="G102" s="343"/>
      <c r="H102" s="283"/>
      <c r="I102" s="281"/>
      <c r="J102" s="656"/>
      <c r="K102" s="318"/>
      <c r="L102" s="304"/>
      <c r="M102" s="304"/>
      <c r="N102" s="319"/>
      <c r="O102" s="767"/>
    </row>
    <row r="103" spans="1:17">
      <c r="A103" s="107"/>
      <c r="B103" s="75" t="s">
        <v>86</v>
      </c>
      <c r="C103" s="281"/>
      <c r="D103" s="281"/>
      <c r="E103" s="281"/>
      <c r="F103" s="659"/>
      <c r="G103" s="343"/>
      <c r="H103" s="283"/>
      <c r="I103" s="281"/>
      <c r="J103" s="656"/>
      <c r="K103" s="318"/>
      <c r="L103" s="304"/>
      <c r="M103" s="304"/>
      <c r="N103" s="319"/>
      <c r="O103" s="767"/>
    </row>
    <row r="104" spans="1:17">
      <c r="A104" s="107"/>
      <c r="B104" s="75" t="s">
        <v>100</v>
      </c>
      <c r="C104" s="281"/>
      <c r="D104" s="281"/>
      <c r="E104" s="281"/>
      <c r="F104" s="659"/>
      <c r="G104" s="343"/>
      <c r="H104" s="283"/>
      <c r="I104" s="281"/>
      <c r="J104" s="656"/>
      <c r="K104" s="318"/>
      <c r="L104" s="304"/>
      <c r="M104" s="304"/>
      <c r="N104" s="319"/>
      <c r="O104" s="767"/>
    </row>
    <row r="105" spans="1:17">
      <c r="A105" s="107"/>
      <c r="B105" s="75" t="s">
        <v>91</v>
      </c>
      <c r="C105" s="281"/>
      <c r="D105" s="281"/>
      <c r="E105" s="281"/>
      <c r="F105" s="659"/>
      <c r="G105" s="343"/>
      <c r="H105" s="283"/>
      <c r="I105" s="281"/>
      <c r="J105" s="656"/>
      <c r="K105" s="318"/>
      <c r="L105" s="304"/>
      <c r="M105" s="304"/>
      <c r="N105" s="319"/>
      <c r="O105" s="767"/>
    </row>
    <row r="106" spans="1:17">
      <c r="A106" s="107"/>
      <c r="B106" s="75" t="s">
        <v>108</v>
      </c>
      <c r="C106" s="281"/>
      <c r="D106" s="281"/>
      <c r="E106" s="281"/>
      <c r="F106" s="659"/>
      <c r="G106" s="342"/>
      <c r="H106" s="285"/>
      <c r="I106" s="283"/>
      <c r="J106" s="656"/>
      <c r="K106" s="318"/>
      <c r="L106" s="304"/>
      <c r="M106" s="304"/>
      <c r="N106" s="319"/>
      <c r="O106" s="767"/>
      <c r="P106" s="2151"/>
      <c r="Q106" s="2964"/>
    </row>
    <row r="107" spans="1:17" ht="15.75" thickBot="1">
      <c r="A107" s="107"/>
      <c r="B107" s="99" t="s">
        <v>106</v>
      </c>
      <c r="C107" s="297"/>
      <c r="D107" s="297"/>
      <c r="E107" s="297"/>
      <c r="F107" s="660"/>
      <c r="G107" s="701"/>
      <c r="H107" s="296"/>
      <c r="I107" s="297"/>
      <c r="J107" s="702"/>
      <c r="K107" s="320"/>
      <c r="L107" s="321"/>
      <c r="M107" s="321"/>
      <c r="N107" s="322"/>
      <c r="O107" s="767"/>
    </row>
    <row r="108" spans="1:17" ht="15.75" thickBot="1">
      <c r="A108" s="107"/>
      <c r="B108" s="265" t="s">
        <v>200</v>
      </c>
      <c r="C108" s="275" t="e">
        <f>COUNTIF(C81:C107,"&lt;=200")/COUNT(C81:C107)</f>
        <v>#DIV/0!</v>
      </c>
      <c r="D108" s="275" t="e">
        <f t="shared" ref="D108:N108" si="38">COUNTIF(D81:D107,"&lt;=200")/COUNT(D81:D107)</f>
        <v>#DIV/0!</v>
      </c>
      <c r="E108" s="275" t="e">
        <f t="shared" si="38"/>
        <v>#DIV/0!</v>
      </c>
      <c r="F108" s="427" t="e">
        <f t="shared" si="38"/>
        <v>#DIV/0!</v>
      </c>
      <c r="G108" s="623" t="e">
        <f t="shared" si="38"/>
        <v>#DIV/0!</v>
      </c>
      <c r="H108" s="275" t="e">
        <f t="shared" si="38"/>
        <v>#DIV/0!</v>
      </c>
      <c r="I108" s="275" t="e">
        <f t="shared" si="38"/>
        <v>#DIV/0!</v>
      </c>
      <c r="J108" s="425" t="e">
        <f t="shared" si="38"/>
        <v>#DIV/0!</v>
      </c>
      <c r="K108" s="426" t="e">
        <f t="shared" si="38"/>
        <v>#DIV/0!</v>
      </c>
      <c r="L108" s="275" t="e">
        <f t="shared" si="38"/>
        <v>#DIV/0!</v>
      </c>
      <c r="M108" s="275" t="e">
        <f t="shared" si="38"/>
        <v>#DIV/0!</v>
      </c>
      <c r="N108" s="427" t="e">
        <f t="shared" si="38"/>
        <v>#DIV/0!</v>
      </c>
      <c r="O108" s="767"/>
      <c r="Q108" s="2965"/>
    </row>
    <row r="109" spans="1:17">
      <c r="A109" s="107"/>
      <c r="B109" s="117"/>
      <c r="C109" s="110"/>
      <c r="D109" s="110"/>
      <c r="E109" s="110"/>
      <c r="F109" s="110"/>
      <c r="G109" s="107"/>
      <c r="H109" s="107"/>
      <c r="I109" s="120"/>
      <c r="J109" s="120"/>
      <c r="K109" s="120"/>
      <c r="L109" s="120"/>
      <c r="M109" s="120"/>
      <c r="N109" s="107"/>
      <c r="O109" s="767"/>
    </row>
    <row r="110" spans="1:17">
      <c r="A110" s="107"/>
      <c r="B110" s="117"/>
      <c r="C110" s="110"/>
      <c r="D110" s="110"/>
      <c r="E110" s="110"/>
      <c r="F110" s="110"/>
      <c r="G110" s="107"/>
      <c r="H110" s="107"/>
      <c r="I110" s="120"/>
      <c r="J110" s="120"/>
      <c r="K110" s="120"/>
      <c r="L110" s="120"/>
      <c r="M110" s="120"/>
      <c r="N110" s="107"/>
      <c r="O110" s="767"/>
    </row>
    <row r="111" spans="1:17">
      <c r="A111" s="107"/>
      <c r="B111" s="117"/>
      <c r="C111" s="110"/>
      <c r="D111" s="110"/>
      <c r="E111" s="116"/>
      <c r="F111" s="3650" t="s">
        <v>111</v>
      </c>
      <c r="G111" s="3650"/>
      <c r="H111" s="107"/>
      <c r="I111" s="120"/>
      <c r="J111" s="120"/>
      <c r="K111" s="120"/>
      <c r="L111" s="120"/>
      <c r="M111" s="107"/>
      <c r="N111" s="3650" t="s">
        <v>111</v>
      </c>
      <c r="O111" s="3656"/>
    </row>
    <row r="112" spans="1:17" ht="15.75" thickBot="1">
      <c r="A112" s="107"/>
      <c r="B112" s="109"/>
      <c r="C112" s="244"/>
      <c r="D112" s="248"/>
      <c r="E112" s="116"/>
      <c r="F112" s="3651"/>
      <c r="G112" s="3651"/>
      <c r="H112" s="107"/>
      <c r="I112" s="120"/>
      <c r="J112" s="120"/>
      <c r="K112" s="120"/>
      <c r="L112" s="120"/>
      <c r="M112" s="107"/>
      <c r="N112" s="3651"/>
      <c r="O112" s="3656"/>
    </row>
    <row r="113" spans="1:22" ht="15.75" thickBot="1">
      <c r="A113" s="107"/>
      <c r="B113" s="542" t="s">
        <v>168</v>
      </c>
      <c r="C113" s="355">
        <v>200</v>
      </c>
      <c r="D113" s="355">
        <v>200</v>
      </c>
      <c r="E113" s="355">
        <v>200</v>
      </c>
      <c r="F113" s="543">
        <v>200</v>
      </c>
      <c r="G113" s="346">
        <v>200</v>
      </c>
      <c r="H113" s="268">
        <v>200</v>
      </c>
      <c r="I113" s="268">
        <v>200</v>
      </c>
      <c r="J113" s="274">
        <v>200</v>
      </c>
      <c r="K113" s="360">
        <v>200</v>
      </c>
      <c r="L113" s="355">
        <v>200</v>
      </c>
      <c r="M113" s="355">
        <v>200</v>
      </c>
      <c r="N113" s="428">
        <v>200</v>
      </c>
      <c r="O113" s="360">
        <v>200</v>
      </c>
      <c r="P113" s="355">
        <v>200</v>
      </c>
      <c r="Q113" s="355">
        <v>200</v>
      </c>
      <c r="R113" s="543">
        <v>200</v>
      </c>
      <c r="S113" s="543">
        <v>200</v>
      </c>
      <c r="T113" s="543">
        <v>200</v>
      </c>
      <c r="U113" s="543">
        <v>200</v>
      </c>
      <c r="V113" s="543">
        <v>200</v>
      </c>
    </row>
    <row r="114" spans="1:22">
      <c r="A114" s="107"/>
      <c r="B114" s="688" t="s">
        <v>116</v>
      </c>
      <c r="C114" s="683">
        <v>3100000</v>
      </c>
      <c r="D114" s="683">
        <v>133865604.24545203</v>
      </c>
      <c r="E114" s="683">
        <v>2231181.3135491093</v>
      </c>
      <c r="F114" s="684">
        <v>57982.951786892758</v>
      </c>
      <c r="G114" s="980">
        <v>82462.112512353255</v>
      </c>
      <c r="H114" s="981">
        <v>2056237.2005497881</v>
      </c>
      <c r="I114" s="981">
        <v>71101.620007886595</v>
      </c>
      <c r="J114" s="982">
        <v>136458.80225673929</v>
      </c>
      <c r="K114" s="1687">
        <v>23930000</v>
      </c>
      <c r="L114" s="1691">
        <v>3166667</v>
      </c>
      <c r="M114" s="1693">
        <v>613333</v>
      </c>
      <c r="N114" s="2380"/>
      <c r="O114" s="2386">
        <v>30777807.705107257</v>
      </c>
      <c r="P114" s="2375"/>
      <c r="Q114" s="2387">
        <v>567000</v>
      </c>
      <c r="R114" s="2380">
        <v>94300</v>
      </c>
      <c r="S114" s="2966">
        <v>1470000</v>
      </c>
      <c r="T114" s="2975">
        <v>129000000</v>
      </c>
      <c r="U114" s="2975">
        <v>10700000</v>
      </c>
      <c r="V114" s="3087">
        <v>5720000</v>
      </c>
    </row>
    <row r="115" spans="1:22">
      <c r="A115" s="107"/>
      <c r="B115" s="681" t="s">
        <v>124</v>
      </c>
      <c r="C115" s="667">
        <v>2250000</v>
      </c>
      <c r="D115" s="667">
        <v>223718573.21197125</v>
      </c>
      <c r="E115" s="667">
        <v>55981924.438344836</v>
      </c>
      <c r="F115" s="685">
        <v>9676052.4509048983</v>
      </c>
      <c r="G115" s="983">
        <v>20493901.531919178</v>
      </c>
      <c r="H115" s="984">
        <v>32812527.437618766</v>
      </c>
      <c r="I115" s="984">
        <v>16416164.906317631</v>
      </c>
      <c r="J115" s="982">
        <v>586707699.1502502</v>
      </c>
      <c r="K115" s="1688">
        <v>18071333333.333332</v>
      </c>
      <c r="L115" s="1690">
        <v>18900000</v>
      </c>
      <c r="M115" s="1694">
        <v>25333333</v>
      </c>
      <c r="N115" s="2381"/>
      <c r="O115" s="2388">
        <v>1479483627.9912126</v>
      </c>
      <c r="P115" s="2376"/>
      <c r="Q115" s="2383">
        <v>20200000</v>
      </c>
      <c r="R115" s="2381">
        <v>84300000</v>
      </c>
      <c r="S115" s="2967">
        <v>14600000</v>
      </c>
      <c r="T115" s="2975">
        <v>16700000</v>
      </c>
      <c r="U115" s="2975">
        <v>47800000</v>
      </c>
      <c r="V115" s="3087">
        <v>1650000000</v>
      </c>
    </row>
    <row r="116" spans="1:22">
      <c r="A116" s="107"/>
      <c r="B116" s="681" t="s">
        <v>118</v>
      </c>
      <c r="C116" s="686">
        <v>7150</v>
      </c>
      <c r="D116" s="686">
        <v>287280.3508769786</v>
      </c>
      <c r="E116" s="686">
        <v>17294.817296583769</v>
      </c>
      <c r="F116" s="687">
        <v>9444.1861162200748</v>
      </c>
      <c r="G116" s="983">
        <v>8246.211251235316</v>
      </c>
      <c r="H116" s="984">
        <v>1003818.7320563201</v>
      </c>
      <c r="I116" s="984">
        <v>11477.587096634321</v>
      </c>
      <c r="J116" s="982">
        <v>7213554.7128113257</v>
      </c>
      <c r="K116" s="1688">
        <v>7451800</v>
      </c>
      <c r="L116" s="1690">
        <v>13906667</v>
      </c>
      <c r="M116" s="1694">
        <v>5457</v>
      </c>
      <c r="N116" s="2381"/>
      <c r="O116" s="2388">
        <v>34898.755028755048</v>
      </c>
      <c r="P116" s="2376"/>
      <c r="Q116" s="2383">
        <v>2770</v>
      </c>
      <c r="R116" s="2381">
        <v>1630</v>
      </c>
      <c r="S116" s="2967">
        <v>3590</v>
      </c>
      <c r="T116" s="2975">
        <v>586000</v>
      </c>
      <c r="U116" s="2975">
        <v>71100</v>
      </c>
      <c r="V116" s="3087">
        <v>9000</v>
      </c>
    </row>
    <row r="117" spans="1:22">
      <c r="A117" s="107"/>
      <c r="B117" s="681" t="s">
        <v>113</v>
      </c>
      <c r="C117" s="686">
        <v>655000</v>
      </c>
      <c r="D117" s="686">
        <v>106348483.76916343</v>
      </c>
      <c r="E117" s="686">
        <v>309558.85918485862</v>
      </c>
      <c r="F117" s="687">
        <v>123669.07949882744</v>
      </c>
      <c r="G117" s="983">
        <v>514392.84598446748</v>
      </c>
      <c r="H117" s="984">
        <v>10406578.677916626</v>
      </c>
      <c r="I117" s="984">
        <v>81658.104521392292</v>
      </c>
      <c r="J117" s="982">
        <v>171927.31740670765</v>
      </c>
      <c r="K117" s="1688">
        <v>19266666.666666668</v>
      </c>
      <c r="L117" s="1690">
        <v>43566667</v>
      </c>
      <c r="M117" s="1694">
        <v>2733333</v>
      </c>
      <c r="N117" s="2381"/>
      <c r="O117" s="2388">
        <v>31844295.692400418</v>
      </c>
      <c r="P117" s="2376"/>
      <c r="Q117" s="2383">
        <v>450000</v>
      </c>
      <c r="R117" s="2381">
        <v>87300</v>
      </c>
      <c r="S117" s="2967">
        <v>279000</v>
      </c>
      <c r="T117" s="2975">
        <v>4610000</v>
      </c>
      <c r="U117" s="2975">
        <v>1830000</v>
      </c>
      <c r="V117" s="3087">
        <v>507000</v>
      </c>
    </row>
    <row r="118" spans="1:22">
      <c r="A118" s="107"/>
      <c r="B118" s="681" t="s">
        <v>156</v>
      </c>
      <c r="C118" s="686">
        <v>205000000</v>
      </c>
      <c r="D118" s="686">
        <v>2016531675.9227979</v>
      </c>
      <c r="E118" s="686">
        <v>17999074.026440069</v>
      </c>
      <c r="F118" s="687">
        <v>8964800.7861132026</v>
      </c>
      <c r="G118" s="983">
        <v>62048368.229954384</v>
      </c>
      <c r="H118" s="984">
        <v>10406578.677916626</v>
      </c>
      <c r="I118" s="984">
        <v>6688373.6885130536</v>
      </c>
      <c r="J118" s="982">
        <v>208561598.69318688</v>
      </c>
      <c r="K118" s="1688">
        <v>88500000</v>
      </c>
      <c r="L118" s="1690">
        <v>213333333</v>
      </c>
      <c r="M118" s="1695">
        <v>77000000</v>
      </c>
      <c r="N118" s="2381"/>
      <c r="O118" s="2388">
        <v>2284533914.3559637</v>
      </c>
      <c r="P118" s="2376"/>
      <c r="Q118" s="2383">
        <v>62100000</v>
      </c>
      <c r="R118" s="2381">
        <v>22400000</v>
      </c>
      <c r="S118" s="2967">
        <v>12600000</v>
      </c>
      <c r="T118" s="2975">
        <v>127000000</v>
      </c>
      <c r="U118" s="2975">
        <v>1790000000</v>
      </c>
      <c r="V118" s="3087">
        <v>128000000000</v>
      </c>
    </row>
    <row r="119" spans="1:22">
      <c r="A119" s="107"/>
      <c r="B119" s="681" t="s">
        <v>157</v>
      </c>
      <c r="C119" s="686">
        <v>210000000</v>
      </c>
      <c r="D119" s="686">
        <v>227288363.09850937</v>
      </c>
      <c r="E119" s="686">
        <v>18923720.019972529</v>
      </c>
      <c r="F119" s="687">
        <v>6439678.62290389</v>
      </c>
      <c r="G119" s="983">
        <v>3029851.4815086257</v>
      </c>
      <c r="H119" s="984">
        <v>2089745.9303647822</v>
      </c>
      <c r="I119" s="984">
        <v>3906498.0429158555</v>
      </c>
      <c r="J119" s="982">
        <v>401212984.61931926</v>
      </c>
      <c r="K119" s="1688">
        <v>135666666.66666666</v>
      </c>
      <c r="L119" s="1690">
        <v>12066667</v>
      </c>
      <c r="M119" s="1694">
        <v>89666667</v>
      </c>
      <c r="N119" s="2381"/>
      <c r="O119" s="2388">
        <v>1102846621.541115</v>
      </c>
      <c r="P119" s="2376"/>
      <c r="Q119" s="2383">
        <v>9060000</v>
      </c>
      <c r="R119" s="2381">
        <v>4200000</v>
      </c>
      <c r="S119" s="2968">
        <v>8140000</v>
      </c>
      <c r="T119" s="2975">
        <v>54000000</v>
      </c>
      <c r="U119" s="2975">
        <v>242000000</v>
      </c>
      <c r="V119" s="3087">
        <v>124000000000</v>
      </c>
    </row>
    <row r="120" spans="1:22">
      <c r="A120" s="107"/>
      <c r="B120" s="681" t="s">
        <v>122</v>
      </c>
      <c r="C120" s="686">
        <v>42000000</v>
      </c>
      <c r="D120" s="686">
        <v>2027510789.1204951</v>
      </c>
      <c r="E120" s="686">
        <v>36930964.527516112</v>
      </c>
      <c r="F120" s="687">
        <v>7574458.3477026392</v>
      </c>
      <c r="G120" s="983">
        <v>8377718.7282400467</v>
      </c>
      <c r="H120" s="984">
        <v>138949967.32850939</v>
      </c>
      <c r="I120" s="984">
        <v>76562766.207598656</v>
      </c>
      <c r="J120" s="982">
        <v>126327191.95312734</v>
      </c>
      <c r="K120" s="1688">
        <v>563333333.33333337</v>
      </c>
      <c r="L120" s="1690">
        <v>380666667</v>
      </c>
      <c r="M120" s="1696">
        <v>117333333</v>
      </c>
      <c r="N120" s="2381"/>
      <c r="O120" s="2388">
        <v>162455609.17644724</v>
      </c>
      <c r="P120" s="2376"/>
      <c r="Q120" s="2383">
        <v>26000000</v>
      </c>
      <c r="R120" s="2381">
        <v>16100000</v>
      </c>
      <c r="S120" s="2967">
        <v>27100000</v>
      </c>
      <c r="T120" s="2975">
        <v>89700000</v>
      </c>
      <c r="U120" s="2975">
        <v>452000000</v>
      </c>
      <c r="V120" s="3087">
        <v>5630000000</v>
      </c>
    </row>
    <row r="121" spans="1:22">
      <c r="A121" s="107"/>
      <c r="B121" s="681" t="s">
        <v>114</v>
      </c>
      <c r="C121" s="686">
        <v>855000</v>
      </c>
      <c r="D121" s="686">
        <v>8653323.0611135717</v>
      </c>
      <c r="E121" s="686">
        <v>506176.71550070844</v>
      </c>
      <c r="F121" s="687">
        <v>360177.381720684</v>
      </c>
      <c r="G121" s="983">
        <v>339711.40447205823</v>
      </c>
      <c r="H121" s="984">
        <v>2274062.7302811909</v>
      </c>
      <c r="I121" s="984">
        <v>465931.38176839572</v>
      </c>
      <c r="J121" s="982">
        <v>718189.89760421205</v>
      </c>
      <c r="K121" s="1688">
        <v>11633333.333333334</v>
      </c>
      <c r="L121" s="1690">
        <v>159166667</v>
      </c>
      <c r="M121" s="1694">
        <v>8240000</v>
      </c>
      <c r="N121" s="2381"/>
      <c r="O121" s="2388">
        <v>5880217.1854312206</v>
      </c>
      <c r="P121" s="2376"/>
      <c r="Q121" s="2383">
        <v>590000</v>
      </c>
      <c r="R121" s="2381">
        <v>152000</v>
      </c>
      <c r="S121" s="2967">
        <v>65900</v>
      </c>
      <c r="T121" s="2975">
        <v>504000</v>
      </c>
      <c r="U121" s="2975">
        <v>439000</v>
      </c>
      <c r="V121" s="3087">
        <v>8700000</v>
      </c>
    </row>
    <row r="122" spans="1:22">
      <c r="A122" s="107"/>
      <c r="B122" s="682" t="s">
        <v>115</v>
      </c>
      <c r="C122" s="686">
        <v>1100000</v>
      </c>
      <c r="D122" s="686">
        <v>114498908.29173891</v>
      </c>
      <c r="E122" s="686">
        <v>360480.6465693051</v>
      </c>
      <c r="F122" s="687">
        <v>505120.71094072709</v>
      </c>
      <c r="G122" s="983">
        <v>340472.23882637545</v>
      </c>
      <c r="H122" s="984">
        <v>564956.00983635604</v>
      </c>
      <c r="I122" s="984">
        <v>242229.22978476656</v>
      </c>
      <c r="J122" s="982">
        <v>235674.83707317163</v>
      </c>
      <c r="K122" s="1688">
        <v>454000</v>
      </c>
      <c r="L122" s="1690">
        <v>60333333</v>
      </c>
      <c r="M122" s="1697">
        <v>620000</v>
      </c>
      <c r="N122" s="2381"/>
      <c r="O122" s="2388">
        <v>4834160.2495868709</v>
      </c>
      <c r="P122" s="2376"/>
      <c r="Q122" s="2384">
        <v>233000</v>
      </c>
      <c r="R122" s="2381">
        <v>78000</v>
      </c>
      <c r="S122" s="2967">
        <v>131000</v>
      </c>
      <c r="T122" s="2975">
        <v>53700000</v>
      </c>
      <c r="U122" s="2975">
        <v>397000</v>
      </c>
      <c r="V122" s="3087">
        <v>520000</v>
      </c>
    </row>
    <row r="123" spans="1:22">
      <c r="A123" s="107"/>
      <c r="B123" s="681" t="s">
        <v>112</v>
      </c>
      <c r="C123" s="686">
        <v>595000</v>
      </c>
      <c r="D123" s="686">
        <v>3038091.5061926609</v>
      </c>
      <c r="E123" s="686">
        <v>390177.43405541562</v>
      </c>
      <c r="F123" s="687">
        <v>1402169.2561172361</v>
      </c>
      <c r="G123" s="983">
        <v>7855963.931735564</v>
      </c>
      <c r="H123" s="984">
        <v>3720990.9873800878</v>
      </c>
      <c r="I123" s="984">
        <v>288129.05738503003</v>
      </c>
      <c r="J123" s="985">
        <v>940910.54067726247</v>
      </c>
      <c r="K123" s="1688">
        <v>4026666.6666666665</v>
      </c>
      <c r="L123" s="1690">
        <v>9050000</v>
      </c>
      <c r="M123" s="1698">
        <v>310000</v>
      </c>
      <c r="N123" s="2381"/>
      <c r="O123" s="2388">
        <v>6585459.2646256778</v>
      </c>
      <c r="P123" s="2376"/>
      <c r="Q123" s="2385">
        <v>463000</v>
      </c>
      <c r="R123" s="2381">
        <v>122000</v>
      </c>
      <c r="S123" s="2967">
        <v>540000</v>
      </c>
      <c r="T123" s="2975">
        <v>877000</v>
      </c>
      <c r="U123" s="2975">
        <v>3810000</v>
      </c>
      <c r="V123" s="3087">
        <v>6450000</v>
      </c>
    </row>
    <row r="124" spans="1:22">
      <c r="A124" s="107"/>
      <c r="B124" s="681" t="s">
        <v>187</v>
      </c>
      <c r="C124" s="686">
        <v>3800000</v>
      </c>
      <c r="D124" s="686">
        <v>12318279.100588664</v>
      </c>
      <c r="E124" s="686">
        <v>2233025.1796310968</v>
      </c>
      <c r="F124" s="687">
        <v>272163.68463813496</v>
      </c>
      <c r="G124" s="983">
        <v>491934.95504995406</v>
      </c>
      <c r="H124" s="984">
        <v>1275190.2830191324</v>
      </c>
      <c r="I124" s="984">
        <v>264216.26753682649</v>
      </c>
      <c r="J124" s="982">
        <v>281450.80310123373</v>
      </c>
      <c r="K124" s="1688">
        <v>6396666.666666667</v>
      </c>
      <c r="L124" s="1690">
        <v>231666667</v>
      </c>
      <c r="M124" s="1694">
        <v>1083333</v>
      </c>
      <c r="N124" s="2381"/>
      <c r="O124" s="2388">
        <v>227406273.02811885</v>
      </c>
      <c r="P124" s="2376"/>
      <c r="Q124" s="2383">
        <v>149000</v>
      </c>
      <c r="R124" s="2381">
        <v>183000</v>
      </c>
      <c r="S124" s="2967">
        <v>462000</v>
      </c>
      <c r="T124" s="2975">
        <v>3680000</v>
      </c>
      <c r="U124" s="2975">
        <v>604000</v>
      </c>
      <c r="V124" s="3087">
        <v>12500000</v>
      </c>
    </row>
    <row r="125" spans="1:22">
      <c r="A125" s="107"/>
      <c r="B125" s="681" t="s">
        <v>117</v>
      </c>
      <c r="C125" s="686">
        <v>1750000</v>
      </c>
      <c r="D125" s="686">
        <v>1453272.1699667955</v>
      </c>
      <c r="E125" s="686">
        <v>1289034.9932912248</v>
      </c>
      <c r="F125" s="687">
        <v>2240655.8984876447</v>
      </c>
      <c r="G125" s="983">
        <v>1976559.6823583608</v>
      </c>
      <c r="H125" s="984">
        <v>1252209.425782606</v>
      </c>
      <c r="I125" s="984">
        <v>1753327.0042067287</v>
      </c>
      <c r="J125" s="982">
        <v>4199470.8328027604</v>
      </c>
      <c r="K125" s="1688">
        <v>5406666.666666667</v>
      </c>
      <c r="L125" s="1690">
        <v>3233333</v>
      </c>
      <c r="M125" s="1694">
        <v>12663333</v>
      </c>
      <c r="N125" s="2381"/>
      <c r="O125" s="2388">
        <v>23118231.766524978</v>
      </c>
      <c r="P125" s="2376"/>
      <c r="Q125" s="2383">
        <v>222000</v>
      </c>
      <c r="R125" s="2381">
        <v>80900000</v>
      </c>
      <c r="S125" s="2967">
        <v>825000</v>
      </c>
      <c r="T125" s="2975">
        <v>13100000</v>
      </c>
      <c r="U125" s="2975">
        <v>545000</v>
      </c>
      <c r="V125" s="3087">
        <v>7600000</v>
      </c>
    </row>
    <row r="126" spans="1:22">
      <c r="A126" s="107"/>
      <c r="B126" s="681" t="s">
        <v>121</v>
      </c>
      <c r="C126" s="686">
        <v>35000000</v>
      </c>
      <c r="D126" s="686">
        <v>3604344600.6174321</v>
      </c>
      <c r="E126" s="686">
        <v>22370615.434571408</v>
      </c>
      <c r="F126" s="687">
        <v>31568022.985400427</v>
      </c>
      <c r="G126" s="983">
        <v>12024948.096761461</v>
      </c>
      <c r="H126" s="984">
        <v>17439519.106903695</v>
      </c>
      <c r="I126" s="984">
        <v>67614893.489111602</v>
      </c>
      <c r="J126" s="982">
        <v>54036098.405531302</v>
      </c>
      <c r="K126" s="1688">
        <v>22666666.666666668</v>
      </c>
      <c r="L126" s="1690">
        <v>2673333</v>
      </c>
      <c r="M126" s="1694">
        <v>49233333</v>
      </c>
      <c r="N126" s="2381"/>
      <c r="O126" s="2388">
        <v>378981575.85938275</v>
      </c>
      <c r="P126" s="2376"/>
      <c r="Q126" s="2383">
        <v>9330000</v>
      </c>
      <c r="R126" s="2381">
        <v>4200000</v>
      </c>
      <c r="S126" s="2967">
        <v>4680000</v>
      </c>
      <c r="T126" s="2975">
        <v>3290000</v>
      </c>
      <c r="U126" s="2975">
        <v>62300000</v>
      </c>
      <c r="V126" s="3087">
        <v>41300000</v>
      </c>
    </row>
    <row r="127" spans="1:22" ht="15.75" thickBot="1">
      <c r="A127" s="107"/>
      <c r="B127" s="707" t="s">
        <v>119</v>
      </c>
      <c r="C127" s="708">
        <v>7850000</v>
      </c>
      <c r="D127" s="708">
        <v>5974947.6985158632</v>
      </c>
      <c r="E127" s="708">
        <v>124869.19650464169</v>
      </c>
      <c r="F127" s="709">
        <v>813129.18522845581</v>
      </c>
      <c r="G127" s="986">
        <v>3346640.1061363025</v>
      </c>
      <c r="H127" s="987">
        <v>566123.27763798367</v>
      </c>
      <c r="I127" s="987">
        <v>130216.60143052845</v>
      </c>
      <c r="J127" s="982">
        <v>483416.02495868719</v>
      </c>
      <c r="K127" s="1689">
        <v>203666666.66666666</v>
      </c>
      <c r="L127" s="1692">
        <v>111833</v>
      </c>
      <c r="M127" s="1699">
        <v>783333</v>
      </c>
      <c r="N127" s="2382"/>
      <c r="O127" s="2389">
        <v>38411050.060648225</v>
      </c>
      <c r="P127" s="2377"/>
      <c r="Q127" s="2390">
        <v>1780000</v>
      </c>
      <c r="R127" s="2382">
        <v>1830000</v>
      </c>
      <c r="S127" s="2967">
        <v>1810000</v>
      </c>
      <c r="T127" s="2975">
        <v>2370000</v>
      </c>
      <c r="U127" s="2975">
        <v>1130000</v>
      </c>
      <c r="V127" s="3087">
        <v>5210000</v>
      </c>
    </row>
    <row r="128" spans="1:22" ht="15.75" thickBot="1">
      <c r="A128" s="107"/>
      <c r="B128" s="265" t="s">
        <v>200</v>
      </c>
      <c r="C128" s="275">
        <f>COUNTIF(C114:C127,"&lt;=200")/COUNT(C114:C127)</f>
        <v>0</v>
      </c>
      <c r="D128" s="275">
        <f>COUNTIF(D114:D127,"&lt;=200")/COUNT(D114:D127)</f>
        <v>0</v>
      </c>
      <c r="E128" s="275">
        <f t="shared" ref="E128:L128" si="39">COUNTIF(E114:E127,"&lt;=200")/COUNT(E114:E127)</f>
        <v>0</v>
      </c>
      <c r="F128" s="427">
        <f t="shared" si="39"/>
        <v>0</v>
      </c>
      <c r="G128" s="623">
        <f t="shared" si="39"/>
        <v>0</v>
      </c>
      <c r="H128" s="275">
        <f t="shared" si="39"/>
        <v>0</v>
      </c>
      <c r="I128" s="275">
        <f t="shared" si="39"/>
        <v>0</v>
      </c>
      <c r="J128" s="425">
        <f t="shared" si="39"/>
        <v>0</v>
      </c>
      <c r="K128" s="546">
        <f t="shared" si="39"/>
        <v>0</v>
      </c>
      <c r="L128" s="544">
        <f t="shared" si="39"/>
        <v>0</v>
      </c>
      <c r="M128" s="544">
        <f t="shared" ref="M128:U128" si="40">COUNTIF(M114:M127,"&lt;=200")/COUNT(M114:M127)</f>
        <v>0</v>
      </c>
      <c r="N128" s="533" t="e">
        <f t="shared" si="40"/>
        <v>#DIV/0!</v>
      </c>
      <c r="O128" s="546">
        <f t="shared" si="40"/>
        <v>0</v>
      </c>
      <c r="P128" s="544" t="e">
        <f t="shared" si="40"/>
        <v>#DIV/0!</v>
      </c>
      <c r="Q128" s="544">
        <f t="shared" si="40"/>
        <v>0</v>
      </c>
      <c r="R128" s="545">
        <f t="shared" si="40"/>
        <v>0</v>
      </c>
      <c r="S128" s="545">
        <f t="shared" si="40"/>
        <v>0</v>
      </c>
      <c r="T128" s="545">
        <f t="shared" si="40"/>
        <v>0</v>
      </c>
      <c r="U128" s="545">
        <f t="shared" si="40"/>
        <v>0</v>
      </c>
      <c r="V128" s="3097" t="s">
        <v>278</v>
      </c>
    </row>
    <row r="129" spans="1:23">
      <c r="A129" s="107"/>
      <c r="B129" s="116"/>
      <c r="C129" s="116"/>
      <c r="D129" s="116"/>
      <c r="E129" s="116"/>
      <c r="F129" s="107"/>
      <c r="G129" s="107"/>
      <c r="H129" s="107"/>
      <c r="I129" s="120"/>
      <c r="J129" s="120"/>
      <c r="K129" s="120"/>
      <c r="L129" s="120"/>
      <c r="M129" s="120"/>
      <c r="N129" s="120"/>
      <c r="O129" s="767"/>
      <c r="U129" s="3083"/>
    </row>
    <row r="130" spans="1:23" s="1560" customFormat="1">
      <c r="A130" s="107"/>
      <c r="B130" s="207" t="s">
        <v>285</v>
      </c>
      <c r="C130" s="245">
        <f>COUNTIF(C114:C127,"&lt;=200")</f>
        <v>0</v>
      </c>
      <c r="D130" s="245">
        <f t="shared" ref="D130:R130" si="41">COUNTIF(D114:D127,"&lt;=200")</f>
        <v>0</v>
      </c>
      <c r="E130" s="245">
        <f t="shared" si="41"/>
        <v>0</v>
      </c>
      <c r="F130" s="245">
        <f t="shared" si="41"/>
        <v>0</v>
      </c>
      <c r="G130" s="245">
        <f t="shared" si="41"/>
        <v>0</v>
      </c>
      <c r="H130" s="245">
        <f t="shared" si="41"/>
        <v>0</v>
      </c>
      <c r="I130" s="245">
        <f t="shared" si="41"/>
        <v>0</v>
      </c>
      <c r="J130" s="245">
        <f t="shared" si="41"/>
        <v>0</v>
      </c>
      <c r="K130" s="245">
        <f t="shared" si="41"/>
        <v>0</v>
      </c>
      <c r="L130" s="245">
        <f t="shared" si="41"/>
        <v>0</v>
      </c>
      <c r="M130" s="245">
        <f t="shared" si="41"/>
        <v>0</v>
      </c>
      <c r="N130" s="245">
        <f t="shared" si="41"/>
        <v>0</v>
      </c>
      <c r="O130" s="245">
        <f t="shared" si="41"/>
        <v>0</v>
      </c>
      <c r="P130" s="245">
        <f t="shared" si="41"/>
        <v>0</v>
      </c>
      <c r="Q130" s="245">
        <f t="shared" si="41"/>
        <v>0</v>
      </c>
      <c r="R130" s="245">
        <f t="shared" si="41"/>
        <v>0</v>
      </c>
      <c r="S130" s="245">
        <f t="shared" ref="S130:T130" si="42">COUNTIF(S114:S127,"&lt;=200")</f>
        <v>0</v>
      </c>
      <c r="T130" s="245">
        <f t="shared" si="42"/>
        <v>0</v>
      </c>
      <c r="U130" s="245">
        <f t="shared" ref="U130" si="43">COUNTIF(U114:U127,"&lt;=200")</f>
        <v>0</v>
      </c>
    </row>
    <row r="131" spans="1:23" s="1560" customFormat="1">
      <c r="A131" s="107"/>
      <c r="B131" s="207" t="s">
        <v>287</v>
      </c>
      <c r="C131" s="116">
        <f>COUNT(C114:C127)</f>
        <v>14</v>
      </c>
      <c r="D131" s="116">
        <f t="shared" ref="D131:R131" si="44">COUNT(D114:D127)</f>
        <v>14</v>
      </c>
      <c r="E131" s="116">
        <f t="shared" si="44"/>
        <v>14</v>
      </c>
      <c r="F131" s="116">
        <f t="shared" si="44"/>
        <v>14</v>
      </c>
      <c r="G131" s="116">
        <f t="shared" si="44"/>
        <v>14</v>
      </c>
      <c r="H131" s="116">
        <f t="shared" si="44"/>
        <v>14</v>
      </c>
      <c r="I131" s="116">
        <f t="shared" si="44"/>
        <v>14</v>
      </c>
      <c r="J131" s="116">
        <f t="shared" si="44"/>
        <v>14</v>
      </c>
      <c r="K131" s="116">
        <f t="shared" si="44"/>
        <v>14</v>
      </c>
      <c r="L131" s="116">
        <f t="shared" si="44"/>
        <v>14</v>
      </c>
      <c r="M131" s="116">
        <f t="shared" si="44"/>
        <v>14</v>
      </c>
      <c r="N131" s="116">
        <f t="shared" si="44"/>
        <v>0</v>
      </c>
      <c r="O131" s="116">
        <f t="shared" si="44"/>
        <v>14</v>
      </c>
      <c r="P131" s="116">
        <f t="shared" si="44"/>
        <v>0</v>
      </c>
      <c r="Q131" s="116">
        <f t="shared" si="44"/>
        <v>14</v>
      </c>
      <c r="R131" s="116">
        <f t="shared" si="44"/>
        <v>14</v>
      </c>
      <c r="S131" s="116">
        <f t="shared" ref="S131:T131" si="45">COUNT(S114:S127)</f>
        <v>14</v>
      </c>
      <c r="T131" s="116">
        <f t="shared" si="45"/>
        <v>14</v>
      </c>
      <c r="U131" s="116">
        <f t="shared" ref="U131" si="46">COUNT(U114:U127)</f>
        <v>14</v>
      </c>
    </row>
    <row r="132" spans="1:23" s="1560" customFormat="1">
      <c r="A132" s="107"/>
      <c r="B132" s="207" t="s">
        <v>202</v>
      </c>
      <c r="C132" s="1564">
        <f>C130/C131</f>
        <v>0</v>
      </c>
      <c r="D132" s="1564">
        <f t="shared" ref="D132:T132" si="47">D130/D131</f>
        <v>0</v>
      </c>
      <c r="E132" s="1564">
        <f t="shared" si="47"/>
        <v>0</v>
      </c>
      <c r="F132" s="1564">
        <f t="shared" si="47"/>
        <v>0</v>
      </c>
      <c r="G132" s="1564">
        <f t="shared" si="47"/>
        <v>0</v>
      </c>
      <c r="H132" s="1564">
        <f t="shared" si="47"/>
        <v>0</v>
      </c>
      <c r="I132" s="1564">
        <f t="shared" si="47"/>
        <v>0</v>
      </c>
      <c r="J132" s="1564">
        <f t="shared" si="47"/>
        <v>0</v>
      </c>
      <c r="K132" s="1564">
        <f t="shared" si="47"/>
        <v>0</v>
      </c>
      <c r="L132" s="1564">
        <f t="shared" si="47"/>
        <v>0</v>
      </c>
      <c r="M132" s="1564">
        <f t="shared" si="47"/>
        <v>0</v>
      </c>
      <c r="N132" s="1564" t="e">
        <f t="shared" si="47"/>
        <v>#DIV/0!</v>
      </c>
      <c r="O132" s="1564">
        <f t="shared" si="47"/>
        <v>0</v>
      </c>
      <c r="P132" s="1564" t="e">
        <f t="shared" si="47"/>
        <v>#DIV/0!</v>
      </c>
      <c r="Q132" s="1564">
        <f t="shared" si="47"/>
        <v>0</v>
      </c>
      <c r="R132" s="1564">
        <f t="shared" si="47"/>
        <v>0</v>
      </c>
      <c r="S132" s="1564">
        <f t="shared" si="47"/>
        <v>0</v>
      </c>
      <c r="T132" s="1564">
        <f t="shared" si="47"/>
        <v>0</v>
      </c>
      <c r="U132" s="1564">
        <f t="shared" ref="U132" si="48">U130/U131</f>
        <v>0</v>
      </c>
    </row>
    <row r="133" spans="1:23" s="1560" customFormat="1">
      <c r="A133" s="107"/>
      <c r="B133" s="1055" t="s">
        <v>298</v>
      </c>
      <c r="C133" s="776">
        <f>COUNTA(B114:B127)</f>
        <v>14</v>
      </c>
      <c r="D133" s="116"/>
      <c r="E133" s="116"/>
      <c r="F133" s="107"/>
      <c r="G133" s="107"/>
      <c r="H133" s="107"/>
      <c r="I133" s="120"/>
      <c r="J133" s="120"/>
      <c r="K133" s="120"/>
      <c r="L133" s="120"/>
      <c r="M133" s="120"/>
      <c r="N133" s="120"/>
      <c r="O133" s="767"/>
    </row>
    <row r="134" spans="1:23">
      <c r="A134" s="771"/>
      <c r="B134" s="771"/>
      <c r="C134" s="771"/>
      <c r="D134" s="771"/>
      <c r="E134" s="771"/>
      <c r="F134" s="771"/>
      <c r="G134" s="771"/>
      <c r="H134" s="771"/>
      <c r="I134" s="771"/>
      <c r="J134" s="771"/>
      <c r="K134" s="771"/>
      <c r="L134" s="771"/>
      <c r="M134" s="771"/>
      <c r="N134" s="771"/>
      <c r="O134" s="334"/>
    </row>
    <row r="135" spans="1:23" ht="15.75" thickBot="1">
      <c r="S135" s="2366"/>
      <c r="T135" s="2368"/>
      <c r="U135" s="2368"/>
      <c r="V135" s="2379"/>
      <c r="W135" s="2367"/>
    </row>
    <row r="136" spans="1:23" ht="15.75" thickBot="1">
      <c r="E136" s="3516">
        <v>2017</v>
      </c>
      <c r="F136" s="3517"/>
      <c r="G136" s="3517"/>
      <c r="H136" s="3518"/>
      <c r="S136" s="2366"/>
      <c r="T136" s="2368"/>
      <c r="U136" s="2368"/>
      <c r="V136" s="2379"/>
      <c r="W136" s="2367"/>
    </row>
    <row r="137" spans="1:23">
      <c r="E137" s="3632" t="s">
        <v>2</v>
      </c>
      <c r="F137" s="3634" t="s">
        <v>3</v>
      </c>
      <c r="G137" s="3636" t="s">
        <v>4</v>
      </c>
      <c r="H137" s="3638" t="s">
        <v>5</v>
      </c>
      <c r="S137" s="2366"/>
      <c r="T137" s="2368"/>
      <c r="U137" s="2368"/>
      <c r="V137" s="2379"/>
      <c r="W137" s="2367"/>
    </row>
    <row r="138" spans="1:23" ht="15.75" thickBot="1">
      <c r="E138" s="3633"/>
      <c r="F138" s="3635"/>
      <c r="G138" s="3637"/>
      <c r="H138" s="3639"/>
      <c r="S138" s="2366"/>
      <c r="T138" s="2368"/>
      <c r="U138" s="2368"/>
      <c r="V138" s="2379"/>
      <c r="W138" s="2367"/>
    </row>
    <row r="139" spans="1:23" ht="15.75" thickBot="1">
      <c r="B139" s="1512" t="s">
        <v>126</v>
      </c>
      <c r="C139" s="1373" t="s">
        <v>284</v>
      </c>
      <c r="D139" s="266" t="s">
        <v>168</v>
      </c>
      <c r="E139" s="1577">
        <v>200</v>
      </c>
      <c r="F139" s="1577">
        <v>200</v>
      </c>
      <c r="G139" s="1577">
        <v>200</v>
      </c>
      <c r="H139" s="1577">
        <v>200</v>
      </c>
      <c r="S139" s="2366"/>
      <c r="T139" s="2368"/>
      <c r="U139" s="2368"/>
      <c r="V139" s="2379"/>
      <c r="W139" s="2367"/>
    </row>
    <row r="140" spans="1:23">
      <c r="B140" s="1023" t="s">
        <v>42</v>
      </c>
      <c r="C140" s="995">
        <f>COUNTA(D140:D146)</f>
        <v>7</v>
      </c>
      <c r="D140" s="1161" t="s">
        <v>53</v>
      </c>
      <c r="E140" s="3506">
        <v>4040000000</v>
      </c>
      <c r="F140" s="3505"/>
      <c r="G140" s="3505"/>
      <c r="H140" s="3503"/>
      <c r="S140" s="2378"/>
      <c r="T140" s="2368"/>
      <c r="U140" s="2368"/>
      <c r="V140" s="2379"/>
      <c r="W140" s="2367"/>
    </row>
    <row r="141" spans="1:23">
      <c r="B141" s="1199" t="s">
        <v>42</v>
      </c>
      <c r="C141" s="996"/>
      <c r="D141" s="1163" t="s">
        <v>378</v>
      </c>
      <c r="E141" s="3507">
        <v>2500000000000</v>
      </c>
      <c r="F141" s="3487"/>
      <c r="G141" s="3487"/>
      <c r="H141" s="2949"/>
      <c r="S141" s="2366"/>
      <c r="T141" s="2368"/>
      <c r="U141" s="2368"/>
      <c r="V141" s="2379"/>
      <c r="W141" s="2367"/>
    </row>
    <row r="142" spans="1:23">
      <c r="B142" s="1199" t="s">
        <v>42</v>
      </c>
      <c r="C142" s="996"/>
      <c r="D142" s="1163" t="s">
        <v>64</v>
      </c>
      <c r="E142" s="3507">
        <v>1250000000</v>
      </c>
      <c r="F142" s="3487"/>
      <c r="G142" s="3487"/>
      <c r="H142" s="2949"/>
      <c r="S142" s="2366"/>
      <c r="T142" s="2368"/>
      <c r="U142" s="2368"/>
      <c r="V142" s="2379"/>
      <c r="W142" s="2367"/>
    </row>
    <row r="143" spans="1:23">
      <c r="B143" s="1199" t="s">
        <v>42</v>
      </c>
      <c r="C143" s="996"/>
      <c r="D143" s="1163" t="s">
        <v>63</v>
      </c>
      <c r="E143" s="3507">
        <v>238000000000</v>
      </c>
      <c r="F143" s="3487"/>
      <c r="G143" s="3487"/>
      <c r="H143" s="2949"/>
      <c r="S143" s="2366"/>
      <c r="T143" s="2368"/>
      <c r="U143" s="2368"/>
      <c r="V143" s="2379"/>
      <c r="W143" s="2367"/>
    </row>
    <row r="144" spans="1:23">
      <c r="B144" s="1199" t="s">
        <v>42</v>
      </c>
      <c r="C144" s="996"/>
      <c r="D144" s="1163" t="s">
        <v>62</v>
      </c>
      <c r="E144" s="3507">
        <v>8960000000</v>
      </c>
      <c r="F144" s="3487"/>
      <c r="G144" s="3487"/>
      <c r="H144" s="2949"/>
      <c r="S144" s="2366"/>
      <c r="T144" s="2368"/>
      <c r="U144" s="2368"/>
      <c r="V144" s="2379"/>
      <c r="W144" s="2367"/>
    </row>
    <row r="145" spans="2:23">
      <c r="B145" s="1199" t="s">
        <v>42</v>
      </c>
      <c r="C145" s="996"/>
      <c r="D145" s="1163" t="s">
        <v>43</v>
      </c>
      <c r="E145" s="3507">
        <v>4290000000</v>
      </c>
      <c r="F145" s="3487"/>
      <c r="G145" s="3487"/>
      <c r="H145" s="2949"/>
      <c r="S145" s="2366"/>
      <c r="T145" s="2368"/>
      <c r="U145" s="2368"/>
      <c r="V145" s="2379"/>
      <c r="W145" s="2367"/>
    </row>
    <row r="146" spans="2:23" ht="15.75" thickBot="1">
      <c r="B146" s="1205" t="s">
        <v>42</v>
      </c>
      <c r="C146" s="997"/>
      <c r="D146" s="1165" t="s">
        <v>65</v>
      </c>
      <c r="E146" s="3508">
        <v>430000000000</v>
      </c>
      <c r="F146" s="3488"/>
      <c r="G146" s="3488"/>
      <c r="H146" s="3504"/>
      <c r="S146" s="2366"/>
      <c r="T146" s="2368"/>
      <c r="U146" s="2368"/>
      <c r="V146" s="2379"/>
      <c r="W146" s="2367"/>
    </row>
    <row r="147" spans="2:23">
      <c r="B147" s="1023" t="s">
        <v>49</v>
      </c>
      <c r="C147" s="995">
        <f>COUNTA(D147:D155)</f>
        <v>9</v>
      </c>
      <c r="D147" s="1161" t="s">
        <v>59</v>
      </c>
      <c r="E147" s="3506">
        <v>62300000000</v>
      </c>
      <c r="F147" s="3505"/>
      <c r="G147" s="3505"/>
      <c r="H147" s="3503"/>
      <c r="S147" s="2366"/>
      <c r="T147" s="2368"/>
      <c r="U147" s="2368"/>
      <c r="V147" s="2379"/>
      <c r="W147" s="2367"/>
    </row>
    <row r="148" spans="2:23">
      <c r="B148" s="1199" t="s">
        <v>49</v>
      </c>
      <c r="C148" s="996"/>
      <c r="D148" s="1163" t="s">
        <v>61</v>
      </c>
      <c r="E148" s="3507">
        <v>20800000000</v>
      </c>
      <c r="F148" s="3487"/>
      <c r="G148" s="3487"/>
      <c r="H148" s="2949"/>
      <c r="S148" s="2366"/>
      <c r="T148" s="2368"/>
      <c r="U148" s="2368"/>
      <c r="V148" s="2379"/>
      <c r="W148" s="2367"/>
    </row>
    <row r="149" spans="2:23">
      <c r="B149" s="1199" t="s">
        <v>49</v>
      </c>
      <c r="C149" s="996"/>
      <c r="D149" s="1163" t="s">
        <v>52</v>
      </c>
      <c r="E149" s="3507">
        <v>2800000000</v>
      </c>
      <c r="F149" s="3487"/>
      <c r="G149" s="3487"/>
      <c r="H149" s="2949"/>
    </row>
    <row r="150" spans="2:23">
      <c r="B150" s="1199" t="s">
        <v>49</v>
      </c>
      <c r="C150" s="996"/>
      <c r="D150" s="1163" t="s">
        <v>193</v>
      </c>
      <c r="E150" s="3507">
        <v>22400000000</v>
      </c>
      <c r="F150" s="3487"/>
      <c r="G150" s="3487"/>
      <c r="H150" s="2949"/>
    </row>
    <row r="151" spans="2:23">
      <c r="B151" s="1199" t="s">
        <v>49</v>
      </c>
      <c r="C151" s="996"/>
      <c r="D151" s="1163" t="s">
        <v>50</v>
      </c>
      <c r="E151" s="3507">
        <v>7700000000</v>
      </c>
      <c r="F151" s="3487"/>
      <c r="G151" s="3487"/>
      <c r="H151" s="2949"/>
    </row>
    <row r="152" spans="2:23">
      <c r="B152" s="1199" t="s">
        <v>49</v>
      </c>
      <c r="C152" s="996"/>
      <c r="D152" s="1163" t="s">
        <v>57</v>
      </c>
      <c r="E152" s="3507">
        <v>24000000000</v>
      </c>
      <c r="F152" s="3487"/>
      <c r="G152" s="3487"/>
      <c r="H152" s="2949"/>
    </row>
    <row r="153" spans="2:23">
      <c r="B153" s="1199" t="s">
        <v>49</v>
      </c>
      <c r="C153" s="996"/>
      <c r="D153" s="1163" t="s">
        <v>58</v>
      </c>
      <c r="E153" s="3507">
        <v>64500000000</v>
      </c>
      <c r="F153" s="3487"/>
      <c r="G153" s="3487"/>
      <c r="H153" s="2949"/>
    </row>
    <row r="154" spans="2:23">
      <c r="B154" s="1199" t="s">
        <v>49</v>
      </c>
      <c r="C154" s="996"/>
      <c r="D154" s="1163" t="s">
        <v>194</v>
      </c>
      <c r="E154" s="3507">
        <v>55800000000</v>
      </c>
      <c r="F154" s="3487"/>
      <c r="G154" s="3487"/>
      <c r="H154" s="2949"/>
    </row>
    <row r="155" spans="2:23" ht="15.75" thickBot="1">
      <c r="B155" s="1205" t="s">
        <v>49</v>
      </c>
      <c r="C155" s="997"/>
      <c r="D155" s="1165" t="s">
        <v>60</v>
      </c>
      <c r="E155" s="3508">
        <v>92000000</v>
      </c>
      <c r="F155" s="3488"/>
      <c r="G155" s="3488"/>
      <c r="H155" s="3504"/>
    </row>
    <row r="156" spans="2:23">
      <c r="B156" s="1023" t="s">
        <v>40</v>
      </c>
      <c r="C156" s="995">
        <f>COUNTA(D156:D165)</f>
        <v>10</v>
      </c>
      <c r="D156" s="1161" t="s">
        <v>41</v>
      </c>
      <c r="E156" s="3506">
        <v>8010000000</v>
      </c>
      <c r="F156" s="3505"/>
      <c r="G156" s="3505"/>
      <c r="H156" s="3503"/>
    </row>
    <row r="157" spans="2:23">
      <c r="B157" s="1199" t="s">
        <v>40</v>
      </c>
      <c r="C157" s="996"/>
      <c r="D157" s="1163" t="s">
        <v>48</v>
      </c>
      <c r="E157" s="3507">
        <v>7440000000</v>
      </c>
      <c r="F157" s="3487"/>
      <c r="G157" s="3487"/>
      <c r="H157" s="2949"/>
    </row>
    <row r="158" spans="2:23">
      <c r="B158" s="1199" t="s">
        <v>40</v>
      </c>
      <c r="C158" s="996"/>
      <c r="D158" s="1121" t="s">
        <v>46</v>
      </c>
      <c r="E158" s="3507">
        <v>11100000000</v>
      </c>
      <c r="F158" s="3487"/>
      <c r="G158" s="3487"/>
      <c r="H158" s="2949"/>
    </row>
    <row r="159" spans="2:23">
      <c r="B159" s="1199" t="s">
        <v>40</v>
      </c>
      <c r="C159" s="996"/>
      <c r="D159" s="1163" t="s">
        <v>45</v>
      </c>
      <c r="E159" s="3507">
        <v>139000000000</v>
      </c>
      <c r="F159" s="3487"/>
      <c r="G159" s="3487"/>
      <c r="H159" s="2949"/>
    </row>
    <row r="160" spans="2:23">
      <c r="B160" s="1199" t="s">
        <v>40</v>
      </c>
      <c r="C160" s="996"/>
      <c r="D160" s="1121" t="s">
        <v>55</v>
      </c>
      <c r="E160" s="3507">
        <v>3700000000</v>
      </c>
      <c r="F160" s="3487"/>
      <c r="G160" s="3487"/>
      <c r="H160" s="2949"/>
    </row>
    <row r="161" spans="2:8">
      <c r="B161" s="1199" t="s">
        <v>40</v>
      </c>
      <c r="C161" s="996"/>
      <c r="D161" s="1121" t="s">
        <v>54</v>
      </c>
      <c r="E161" s="3507">
        <v>55800000000</v>
      </c>
      <c r="F161" s="3487"/>
      <c r="G161" s="3487"/>
      <c r="H161" s="2949"/>
    </row>
    <row r="162" spans="2:8">
      <c r="B162" s="1199" t="s">
        <v>40</v>
      </c>
      <c r="C162" s="996"/>
      <c r="D162" s="1121" t="s">
        <v>56</v>
      </c>
      <c r="E162" s="3507">
        <v>11600000000</v>
      </c>
      <c r="F162" s="3487"/>
      <c r="G162" s="3487"/>
      <c r="H162" s="2949"/>
    </row>
    <row r="163" spans="2:8">
      <c r="B163" s="1199" t="s">
        <v>40</v>
      </c>
      <c r="C163" s="996"/>
      <c r="D163" s="1121" t="s">
        <v>44</v>
      </c>
      <c r="E163" s="3507">
        <v>134000000000</v>
      </c>
      <c r="F163" s="3487"/>
      <c r="G163" s="3487"/>
      <c r="H163" s="2949"/>
    </row>
    <row r="164" spans="2:8">
      <c r="B164" s="1199" t="s">
        <v>40</v>
      </c>
      <c r="C164" s="996"/>
      <c r="D164" s="1121" t="s">
        <v>51</v>
      </c>
      <c r="E164" s="3507">
        <v>10100000000</v>
      </c>
      <c r="F164" s="3487"/>
      <c r="G164" s="3487"/>
      <c r="H164" s="2949"/>
    </row>
    <row r="165" spans="2:8" ht="15.75" thickBot="1">
      <c r="B165" s="1205" t="s">
        <v>40</v>
      </c>
      <c r="C165" s="997"/>
      <c r="D165" s="1129" t="s">
        <v>47</v>
      </c>
      <c r="E165" s="3508">
        <v>14100000000</v>
      </c>
      <c r="F165" s="3488"/>
      <c r="G165" s="3488"/>
      <c r="H165" s="3504"/>
    </row>
    <row r="166" spans="2:8">
      <c r="E166" s="3502"/>
    </row>
    <row r="167" spans="2:8">
      <c r="B167" s="207" t="s">
        <v>285</v>
      </c>
      <c r="C167" s="3486"/>
      <c r="D167" s="3486"/>
      <c r="E167" s="245">
        <f>COUNTIF(E140:E165,"&lt;=200")</f>
        <v>0</v>
      </c>
    </row>
    <row r="168" spans="2:8">
      <c r="B168" s="207" t="s">
        <v>287</v>
      </c>
      <c r="C168" s="3486"/>
      <c r="D168" s="3486"/>
      <c r="E168" s="245">
        <f>COUNT(E140:E165)</f>
        <v>26</v>
      </c>
    </row>
    <row r="169" spans="2:8">
      <c r="B169" s="207" t="s">
        <v>202</v>
      </c>
      <c r="C169" s="3486"/>
      <c r="D169" s="3486"/>
      <c r="E169" s="1054">
        <f t="shared" ref="E169" si="49">E167/E168</f>
        <v>0</v>
      </c>
    </row>
    <row r="170" spans="2:8">
      <c r="B170" s="1055" t="s">
        <v>298</v>
      </c>
      <c r="C170" s="3486"/>
      <c r="D170" s="3486"/>
    </row>
    <row r="171" spans="2:8" ht="15.75" thickBot="1"/>
    <row r="172" spans="2:8" s="3486" customFormat="1" ht="15.75" thickBot="1">
      <c r="E172" s="3516">
        <v>2017</v>
      </c>
      <c r="F172" s="3517"/>
      <c r="G172" s="3517"/>
      <c r="H172" s="3518"/>
    </row>
    <row r="173" spans="2:8" s="3486" customFormat="1">
      <c r="E173" s="3632" t="s">
        <v>2</v>
      </c>
      <c r="F173" s="3634" t="s">
        <v>3</v>
      </c>
      <c r="G173" s="3636" t="s">
        <v>4</v>
      </c>
      <c r="H173" s="3638" t="s">
        <v>5</v>
      </c>
    </row>
    <row r="174" spans="2:8" ht="15.75" thickBot="1">
      <c r="E174" s="3633"/>
      <c r="F174" s="3635"/>
      <c r="G174" s="3637"/>
      <c r="H174" s="3639"/>
    </row>
    <row r="175" spans="2:8" ht="15.75" thickBot="1">
      <c r="B175" s="1512" t="s">
        <v>126</v>
      </c>
      <c r="C175" s="1373" t="s">
        <v>284</v>
      </c>
      <c r="D175" s="266" t="s">
        <v>168</v>
      </c>
      <c r="E175" s="1577">
        <v>200</v>
      </c>
      <c r="F175" s="1577">
        <v>200</v>
      </c>
      <c r="G175" s="1577">
        <v>200</v>
      </c>
      <c r="H175" s="1577">
        <v>200</v>
      </c>
    </row>
    <row r="176" spans="2:8">
      <c r="B176" s="1023" t="s">
        <v>16</v>
      </c>
      <c r="C176" s="995">
        <f>COUNTA(D176:D179)</f>
        <v>4</v>
      </c>
      <c r="D176" s="1111" t="s">
        <v>21</v>
      </c>
      <c r="E176" s="3087">
        <v>92000</v>
      </c>
    </row>
    <row r="177" spans="2:5">
      <c r="B177" s="1199" t="s">
        <v>16</v>
      </c>
      <c r="C177" s="996"/>
      <c r="D177" s="1121" t="s">
        <v>20</v>
      </c>
      <c r="E177" s="3087">
        <v>35000</v>
      </c>
    </row>
    <row r="178" spans="2:5">
      <c r="B178" s="1199" t="s">
        <v>16</v>
      </c>
      <c r="C178" s="996"/>
      <c r="D178" s="1121" t="s">
        <v>17</v>
      </c>
      <c r="E178" s="3087" t="s">
        <v>336</v>
      </c>
    </row>
    <row r="179" spans="2:5" ht="15.75" thickBot="1">
      <c r="B179" s="1205" t="s">
        <v>16</v>
      </c>
      <c r="C179" s="997"/>
      <c r="D179" s="1129" t="s">
        <v>18</v>
      </c>
      <c r="E179" s="3087">
        <v>54000</v>
      </c>
    </row>
    <row r="180" spans="2:5">
      <c r="B180" s="1023" t="s">
        <v>131</v>
      </c>
      <c r="C180" s="995">
        <f>COUNTA(D180:D182)</f>
        <v>3</v>
      </c>
      <c r="D180" s="1111" t="s">
        <v>25</v>
      </c>
      <c r="E180" s="3087">
        <v>492336.47</v>
      </c>
    </row>
    <row r="181" spans="2:5">
      <c r="B181" s="1199" t="s">
        <v>131</v>
      </c>
      <c r="C181" s="996"/>
      <c r="D181" s="1121" t="s">
        <v>33</v>
      </c>
      <c r="E181" s="3087">
        <v>417674.22</v>
      </c>
    </row>
    <row r="182" spans="2:5" ht="15.75" thickBot="1">
      <c r="B182" s="1205" t="s">
        <v>131</v>
      </c>
      <c r="C182" s="997"/>
      <c r="D182" s="1129" t="s">
        <v>31</v>
      </c>
      <c r="E182" s="3087">
        <v>626327.84</v>
      </c>
    </row>
    <row r="183" spans="2:5" ht="30">
      <c r="B183" s="1023" t="s">
        <v>185</v>
      </c>
      <c r="C183" s="995">
        <f>COUNTA(D183:D185)</f>
        <v>3</v>
      </c>
      <c r="D183" s="1111" t="s">
        <v>19</v>
      </c>
      <c r="E183" s="3087">
        <v>3500000</v>
      </c>
    </row>
    <row r="184" spans="2:5" ht="30">
      <c r="B184" s="1199" t="s">
        <v>185</v>
      </c>
      <c r="C184" s="996"/>
      <c r="D184" s="1121" t="s">
        <v>37</v>
      </c>
      <c r="E184" s="3087">
        <v>2400000</v>
      </c>
    </row>
    <row r="185" spans="2:5" ht="30.75" thickBot="1">
      <c r="B185" s="1205" t="s">
        <v>185</v>
      </c>
      <c r="C185" s="997"/>
      <c r="D185" s="1129" t="s">
        <v>15</v>
      </c>
      <c r="E185" s="3087">
        <v>2400000</v>
      </c>
    </row>
    <row r="186" spans="2:5">
      <c r="B186" s="1023" t="s">
        <v>132</v>
      </c>
      <c r="C186" s="995">
        <f>COUNTA(D186:D190)</f>
        <v>5</v>
      </c>
      <c r="D186" s="1111" t="s">
        <v>20</v>
      </c>
      <c r="E186" s="3087">
        <v>531506.34</v>
      </c>
    </row>
    <row r="187" spans="2:5">
      <c r="B187" s="1199" t="s">
        <v>132</v>
      </c>
      <c r="C187" s="996"/>
      <c r="D187" s="1121" t="s">
        <v>30</v>
      </c>
      <c r="E187" s="3087">
        <v>2240197.69</v>
      </c>
    </row>
    <row r="188" spans="2:5">
      <c r="B188" s="1199" t="s">
        <v>132</v>
      </c>
      <c r="C188" s="996"/>
      <c r="D188" s="1121" t="s">
        <v>12</v>
      </c>
      <c r="E188" s="3087">
        <v>1263271.92</v>
      </c>
    </row>
    <row r="189" spans="2:5">
      <c r="B189" s="1199" t="s">
        <v>132</v>
      </c>
      <c r="C189" s="996"/>
      <c r="D189" s="1121" t="s">
        <v>26</v>
      </c>
      <c r="E189" s="3087">
        <v>1136102.42</v>
      </c>
    </row>
    <row r="190" spans="2:5" ht="15.75" thickBot="1">
      <c r="B190" s="1205" t="s">
        <v>132</v>
      </c>
      <c r="C190" s="997"/>
      <c r="D190" s="1129" t="s">
        <v>22</v>
      </c>
      <c r="E190" s="3087">
        <v>868542.94</v>
      </c>
    </row>
    <row r="191" spans="2:5">
      <c r="B191" s="1023" t="s">
        <v>63</v>
      </c>
      <c r="C191" s="995">
        <f>COUNTA(D191:D195)</f>
        <v>5</v>
      </c>
      <c r="D191" s="1111" t="s">
        <v>20</v>
      </c>
      <c r="E191" s="3087">
        <v>16164960.08</v>
      </c>
    </row>
    <row r="192" spans="2:5">
      <c r="B192" s="1199" t="s">
        <v>63</v>
      </c>
      <c r="C192" s="996"/>
      <c r="D192" s="1121" t="s">
        <v>26</v>
      </c>
      <c r="E192" s="3087">
        <v>11289503.92</v>
      </c>
    </row>
    <row r="193" spans="2:5">
      <c r="B193" s="1199" t="s">
        <v>63</v>
      </c>
      <c r="C193" s="996"/>
      <c r="D193" s="1121" t="s">
        <v>39</v>
      </c>
      <c r="E193" s="3087">
        <v>10051995.84</v>
      </c>
    </row>
    <row r="194" spans="2:5">
      <c r="B194" s="1199" t="s">
        <v>63</v>
      </c>
      <c r="C194" s="996"/>
      <c r="D194" s="1121" t="s">
        <v>34</v>
      </c>
      <c r="E194" s="3087">
        <v>5667777.5599999996</v>
      </c>
    </row>
    <row r="195" spans="2:5" ht="15.75" thickBot="1">
      <c r="B195" s="1205" t="s">
        <v>63</v>
      </c>
      <c r="C195" s="997"/>
      <c r="D195" s="1129" t="s">
        <v>38</v>
      </c>
      <c r="E195" s="3087">
        <v>28389124.98</v>
      </c>
    </row>
    <row r="196" spans="2:5" ht="30">
      <c r="B196" s="1023" t="s">
        <v>23</v>
      </c>
      <c r="C196" s="995">
        <f>COUNTA(D196:D198)</f>
        <v>3</v>
      </c>
      <c r="D196" s="1111" t="s">
        <v>32</v>
      </c>
      <c r="E196" s="3087">
        <v>768347.5</v>
      </c>
    </row>
    <row r="197" spans="2:5">
      <c r="B197" s="1199" t="s">
        <v>23</v>
      </c>
      <c r="C197" s="996"/>
      <c r="D197" s="1121" t="s">
        <v>24</v>
      </c>
      <c r="E197" s="3087">
        <v>112546.5</v>
      </c>
    </row>
    <row r="198" spans="2:5" ht="15.75" thickBot="1">
      <c r="B198" s="1205" t="s">
        <v>23</v>
      </c>
      <c r="C198" s="997"/>
      <c r="D198" s="1129" t="s">
        <v>27</v>
      </c>
      <c r="E198" s="3087">
        <v>126327</v>
      </c>
    </row>
    <row r="199" spans="2:5">
      <c r="B199" s="1023" t="s">
        <v>6</v>
      </c>
      <c r="C199" s="995">
        <f>COUNTA(D199:D203)</f>
        <v>5</v>
      </c>
      <c r="D199" s="1111" t="s">
        <v>10</v>
      </c>
      <c r="E199" s="3087">
        <v>35000</v>
      </c>
    </row>
    <row r="200" spans="2:5">
      <c r="B200" s="1199" t="s">
        <v>6</v>
      </c>
      <c r="C200" s="996"/>
      <c r="D200" s="1121" t="s">
        <v>20</v>
      </c>
      <c r="E200" s="3087">
        <v>70000</v>
      </c>
    </row>
    <row r="201" spans="2:5">
      <c r="B201" s="1199" t="s">
        <v>6</v>
      </c>
      <c r="C201" s="996"/>
      <c r="D201" s="1121" t="s">
        <v>11</v>
      </c>
      <c r="E201" s="3087">
        <v>92000</v>
      </c>
    </row>
    <row r="202" spans="2:5">
      <c r="B202" s="1199" t="s">
        <v>6</v>
      </c>
      <c r="C202" s="996"/>
      <c r="D202" s="1121" t="s">
        <v>14</v>
      </c>
      <c r="E202" s="3087">
        <v>54000</v>
      </c>
    </row>
    <row r="203" spans="2:5" ht="15.75" thickBot="1">
      <c r="B203" s="1205" t="s">
        <v>6</v>
      </c>
      <c r="C203" s="997"/>
      <c r="D203" s="1129" t="s">
        <v>7</v>
      </c>
      <c r="E203" s="3087">
        <v>54000</v>
      </c>
    </row>
    <row r="204" spans="2:5">
      <c r="B204" s="1024" t="s">
        <v>28</v>
      </c>
      <c r="C204" s="1065">
        <f>COUNTA(D204:D206)</f>
        <v>3</v>
      </c>
      <c r="D204" s="1111" t="s">
        <v>35</v>
      </c>
      <c r="E204" s="3087">
        <v>3500000</v>
      </c>
    </row>
    <row r="205" spans="2:5">
      <c r="B205" s="1279" t="s">
        <v>28</v>
      </c>
      <c r="C205" s="998"/>
      <c r="D205" s="1121" t="s">
        <v>29</v>
      </c>
      <c r="E205" s="3087">
        <v>1300000</v>
      </c>
    </row>
    <row r="206" spans="2:5" ht="15.75" thickBot="1">
      <c r="B206" s="1287" t="s">
        <v>28</v>
      </c>
      <c r="C206" s="1288"/>
      <c r="D206" s="1129" t="s">
        <v>36</v>
      </c>
      <c r="E206" s="3087">
        <v>3400000</v>
      </c>
    </row>
    <row r="207" spans="2:5">
      <c r="B207" s="1023" t="s">
        <v>8</v>
      </c>
      <c r="C207" s="995">
        <f>COUNTA(D207:D209)</f>
        <v>3</v>
      </c>
      <c r="D207" s="1161" t="s">
        <v>9</v>
      </c>
      <c r="E207" s="3087">
        <v>24000</v>
      </c>
    </row>
    <row r="208" spans="2:5">
      <c r="B208" s="1199" t="s">
        <v>8</v>
      </c>
      <c r="C208" s="996"/>
      <c r="D208" s="1163" t="s">
        <v>271</v>
      </c>
      <c r="E208" s="3087">
        <v>92000</v>
      </c>
    </row>
    <row r="209" spans="2:5" ht="15.75" thickBot="1">
      <c r="B209" s="1205" t="s">
        <v>8</v>
      </c>
      <c r="C209" s="997"/>
      <c r="D209" s="1165" t="s">
        <v>13</v>
      </c>
      <c r="E209" s="3087">
        <v>24000</v>
      </c>
    </row>
    <row r="210" spans="2:5">
      <c r="B210" s="3526" t="s">
        <v>386</v>
      </c>
      <c r="C210" s="1011">
        <v>4</v>
      </c>
      <c r="D210" s="3253" t="s">
        <v>391</v>
      </c>
      <c r="E210" s="3087">
        <v>24000</v>
      </c>
    </row>
    <row r="211" spans="2:5">
      <c r="B211" s="3527"/>
      <c r="C211" s="1108"/>
      <c r="D211" s="3254" t="s">
        <v>392</v>
      </c>
      <c r="E211" s="3087">
        <v>160000</v>
      </c>
    </row>
    <row r="212" spans="2:5">
      <c r="B212" s="3527"/>
      <c r="C212" s="1108"/>
      <c r="D212" s="3254" t="s">
        <v>393</v>
      </c>
      <c r="E212" s="3087">
        <v>160000</v>
      </c>
    </row>
    <row r="213" spans="2:5" ht="30.75" thickBot="1">
      <c r="B213" s="3528"/>
      <c r="C213" s="1110"/>
      <c r="D213" s="3255" t="s">
        <v>394</v>
      </c>
      <c r="E213" s="3087">
        <v>54000</v>
      </c>
    </row>
    <row r="214" spans="2:5">
      <c r="B214" s="3526" t="s">
        <v>387</v>
      </c>
      <c r="C214" s="1011">
        <v>3</v>
      </c>
      <c r="D214" s="3253" t="s">
        <v>395</v>
      </c>
      <c r="E214" s="3087"/>
    </row>
    <row r="215" spans="2:5" ht="30">
      <c r="B215" s="3527"/>
      <c r="C215" s="1108"/>
      <c r="D215" s="3254" t="s">
        <v>396</v>
      </c>
      <c r="E215" s="3087"/>
    </row>
    <row r="216" spans="2:5" ht="15.75" thickBot="1">
      <c r="B216" s="3528"/>
      <c r="C216" s="1110"/>
      <c r="D216" s="3255" t="s">
        <v>397</v>
      </c>
      <c r="E216" s="3087"/>
    </row>
    <row r="217" spans="2:5" ht="30">
      <c r="B217" s="3526" t="s">
        <v>388</v>
      </c>
      <c r="C217" s="1011">
        <v>3</v>
      </c>
      <c r="D217" s="3253" t="s">
        <v>398</v>
      </c>
      <c r="E217" s="3087">
        <v>171054.57</v>
      </c>
    </row>
    <row r="218" spans="2:5">
      <c r="B218" s="3527"/>
      <c r="C218" s="1108"/>
      <c r="D218" s="3254" t="s">
        <v>399</v>
      </c>
      <c r="E218" s="3087">
        <v>187055.24</v>
      </c>
    </row>
    <row r="219" spans="2:5" ht="15.75" thickBot="1">
      <c r="B219" s="3528"/>
      <c r="C219" s="1110"/>
      <c r="D219" s="3255" t="s">
        <v>400</v>
      </c>
      <c r="E219" s="3087">
        <v>109895.22</v>
      </c>
    </row>
    <row r="220" spans="2:5">
      <c r="B220" s="3526" t="s">
        <v>389</v>
      </c>
      <c r="C220" s="1011">
        <v>3</v>
      </c>
      <c r="D220" s="3253" t="s">
        <v>17</v>
      </c>
      <c r="E220" s="3087">
        <v>31790.959999999999</v>
      </c>
    </row>
    <row r="221" spans="2:5">
      <c r="B221" s="3527"/>
      <c r="C221" s="1108"/>
      <c r="D221" s="3254" t="s">
        <v>401</v>
      </c>
      <c r="E221" s="3087">
        <v>75096.17</v>
      </c>
    </row>
    <row r="222" spans="2:5" ht="15.75" thickBot="1">
      <c r="B222" s="3528"/>
      <c r="C222" s="1110"/>
      <c r="D222" s="3255" t="s">
        <v>402</v>
      </c>
      <c r="E222" s="3087">
        <v>94524.31</v>
      </c>
    </row>
    <row r="223" spans="2:5">
      <c r="B223" s="3526" t="s">
        <v>390</v>
      </c>
      <c r="C223" s="1108">
        <v>3</v>
      </c>
      <c r="D223" s="3254" t="s">
        <v>393</v>
      </c>
      <c r="E223" s="3087"/>
    </row>
    <row r="224" spans="2:5">
      <c r="B224" s="3527"/>
      <c r="C224" s="1108"/>
      <c r="D224" s="3254" t="s">
        <v>403</v>
      </c>
      <c r="E224" s="3087"/>
    </row>
    <row r="225" spans="2:8" ht="15.75" thickBot="1">
      <c r="B225" s="3528"/>
      <c r="C225" s="1110"/>
      <c r="D225" s="3255" t="s">
        <v>404</v>
      </c>
      <c r="E225" s="3087"/>
    </row>
    <row r="226" spans="2:8" ht="33.75" customHeight="1">
      <c r="B226" s="114"/>
      <c r="C226" s="114"/>
      <c r="D226" s="775" t="s">
        <v>285</v>
      </c>
    </row>
    <row r="227" spans="2:8" ht="27.75" customHeight="1">
      <c r="B227" s="114"/>
      <c r="C227" s="114"/>
      <c r="D227" s="775" t="s">
        <v>287</v>
      </c>
    </row>
    <row r="228" spans="2:8">
      <c r="B228" s="114"/>
      <c r="C228" s="114"/>
      <c r="D228" s="775" t="s">
        <v>286</v>
      </c>
    </row>
    <row r="229" spans="2:8" ht="15.75" thickBot="1"/>
    <row r="230" spans="2:8" ht="15.75" thickBot="1">
      <c r="E230" s="3516">
        <v>2017</v>
      </c>
      <c r="F230" s="3517"/>
      <c r="G230" s="3517"/>
      <c r="H230" s="3518"/>
    </row>
    <row r="231" spans="2:8">
      <c r="E231" s="3632" t="s">
        <v>2</v>
      </c>
      <c r="F231" s="3634" t="s">
        <v>3</v>
      </c>
      <c r="G231" s="3636" t="s">
        <v>4</v>
      </c>
      <c r="H231" s="3638" t="s">
        <v>5</v>
      </c>
    </row>
    <row r="232" spans="2:8" ht="15.75" thickBot="1">
      <c r="E232" s="3633"/>
      <c r="F232" s="3635"/>
      <c r="G232" s="3637"/>
      <c r="H232" s="3639"/>
    </row>
    <row r="233" spans="2:8" ht="15.75" thickBot="1">
      <c r="B233" s="1372" t="s">
        <v>300</v>
      </c>
      <c r="C233" s="1373" t="s">
        <v>284</v>
      </c>
      <c r="D233" s="266" t="s">
        <v>168</v>
      </c>
      <c r="E233" s="1577">
        <v>200</v>
      </c>
      <c r="F233" s="1577">
        <v>200</v>
      </c>
      <c r="G233" s="1577">
        <v>200</v>
      </c>
      <c r="H233" s="1577">
        <v>200</v>
      </c>
    </row>
    <row r="234" spans="2:8">
      <c r="B234" s="1023" t="s">
        <v>67</v>
      </c>
      <c r="C234" s="995">
        <f>COUNTA(D234:D239)</f>
        <v>6</v>
      </c>
      <c r="D234" s="1161" t="s">
        <v>190</v>
      </c>
      <c r="E234">
        <v>130000</v>
      </c>
    </row>
    <row r="235" spans="2:8">
      <c r="B235" s="1199" t="s">
        <v>67</v>
      </c>
      <c r="C235" s="996"/>
      <c r="D235" s="1163" t="s">
        <v>269</v>
      </c>
      <c r="E235">
        <v>33000</v>
      </c>
    </row>
    <row r="236" spans="2:8">
      <c r="B236" s="1199" t="s">
        <v>67</v>
      </c>
      <c r="C236" s="996"/>
      <c r="D236" s="1163" t="s">
        <v>267</v>
      </c>
      <c r="E236">
        <v>17000</v>
      </c>
    </row>
    <row r="237" spans="2:8">
      <c r="B237" s="1199" t="s">
        <v>67</v>
      </c>
      <c r="C237" s="996"/>
      <c r="D237" s="1163" t="s">
        <v>77</v>
      </c>
      <c r="E237">
        <v>2300000</v>
      </c>
    </row>
    <row r="238" spans="2:8">
      <c r="B238" s="1199" t="s">
        <v>67</v>
      </c>
      <c r="C238" s="996"/>
      <c r="D238" s="1163" t="s">
        <v>268</v>
      </c>
      <c r="E238">
        <v>23333</v>
      </c>
    </row>
    <row r="239" spans="2:8" ht="15.75" thickBot="1">
      <c r="B239" s="1205" t="s">
        <v>67</v>
      </c>
      <c r="C239" s="997"/>
      <c r="D239" s="1165" t="s">
        <v>191</v>
      </c>
      <c r="E239">
        <v>33000</v>
      </c>
    </row>
    <row r="240" spans="2:8">
      <c r="B240" s="1023" t="s">
        <v>186</v>
      </c>
      <c r="C240" s="995">
        <f>COUNTA(D240:D247)</f>
        <v>8</v>
      </c>
      <c r="D240" s="1344" t="s">
        <v>265</v>
      </c>
      <c r="E240">
        <v>4500</v>
      </c>
    </row>
    <row r="241" spans="2:5">
      <c r="B241" s="1199" t="s">
        <v>186</v>
      </c>
      <c r="C241" s="996"/>
      <c r="D241" s="1163" t="s">
        <v>79</v>
      </c>
      <c r="E241">
        <v>3300000</v>
      </c>
    </row>
    <row r="242" spans="2:5">
      <c r="B242" s="1199" t="s">
        <v>186</v>
      </c>
      <c r="C242" s="996"/>
      <c r="D242" s="1163" t="s">
        <v>188</v>
      </c>
      <c r="E242">
        <v>49000</v>
      </c>
    </row>
    <row r="243" spans="2:5">
      <c r="B243" s="1199" t="s">
        <v>186</v>
      </c>
      <c r="C243" s="996"/>
      <c r="D243" s="1163" t="s">
        <v>72</v>
      </c>
      <c r="E243">
        <v>330000</v>
      </c>
    </row>
    <row r="244" spans="2:5">
      <c r="B244" s="1199" t="s">
        <v>186</v>
      </c>
      <c r="C244" s="996"/>
      <c r="D244" s="1163" t="s">
        <v>76</v>
      </c>
      <c r="E244">
        <v>240000</v>
      </c>
    </row>
    <row r="245" spans="2:5">
      <c r="B245" s="1199" t="s">
        <v>186</v>
      </c>
      <c r="C245" s="996"/>
      <c r="D245" s="1163" t="s">
        <v>189</v>
      </c>
      <c r="E245">
        <v>460000</v>
      </c>
    </row>
    <row r="246" spans="2:5">
      <c r="B246" s="1199" t="s">
        <v>186</v>
      </c>
      <c r="C246" s="996"/>
      <c r="D246" s="1163" t="s">
        <v>266</v>
      </c>
      <c r="E246">
        <v>240000</v>
      </c>
    </row>
    <row r="247" spans="2:5" ht="15.75" thickBot="1">
      <c r="B247" s="1205" t="s">
        <v>186</v>
      </c>
      <c r="C247" s="997"/>
      <c r="D247" s="1165" t="s">
        <v>80</v>
      </c>
      <c r="E247">
        <v>490000</v>
      </c>
    </row>
    <row r="248" spans="2:5">
      <c r="B248" s="1023" t="s">
        <v>68</v>
      </c>
      <c r="C248" s="995">
        <f>COUNTA(D248:D252)</f>
        <v>5</v>
      </c>
      <c r="D248" s="1161" t="s">
        <v>74</v>
      </c>
      <c r="E248">
        <v>240000000</v>
      </c>
    </row>
    <row r="249" spans="2:5">
      <c r="B249" s="1199" t="s">
        <v>68</v>
      </c>
      <c r="C249" s="996"/>
      <c r="D249" s="1163" t="s">
        <v>78</v>
      </c>
      <c r="E249">
        <v>240000000</v>
      </c>
    </row>
    <row r="250" spans="2:5">
      <c r="B250" s="1199" t="s">
        <v>68</v>
      </c>
      <c r="C250" s="996"/>
      <c r="D250" s="1163" t="s">
        <v>69</v>
      </c>
      <c r="E250">
        <v>170000</v>
      </c>
    </row>
    <row r="251" spans="2:5">
      <c r="B251" s="1199" t="s">
        <v>68</v>
      </c>
      <c r="C251" s="996"/>
      <c r="D251" s="1163" t="s">
        <v>75</v>
      </c>
    </row>
    <row r="252" spans="2:5" ht="15.75" thickBot="1">
      <c r="B252" s="1205" t="s">
        <v>68</v>
      </c>
      <c r="C252" s="997"/>
      <c r="D252" s="1165" t="s">
        <v>73</v>
      </c>
      <c r="E252" s="3515" t="s">
        <v>336</v>
      </c>
    </row>
    <row r="253" spans="2:5">
      <c r="B253" s="1023" t="s">
        <v>70</v>
      </c>
      <c r="C253" s="995">
        <f>COUNTA(D253:D257)</f>
        <v>5</v>
      </c>
      <c r="D253" s="1286" t="s">
        <v>192</v>
      </c>
      <c r="E253">
        <v>1300000</v>
      </c>
    </row>
    <row r="254" spans="2:5">
      <c r="B254" s="1199" t="s">
        <v>70</v>
      </c>
      <c r="C254" s="996"/>
      <c r="D254" s="1197" t="s">
        <v>280</v>
      </c>
      <c r="E254">
        <v>240000000</v>
      </c>
    </row>
    <row r="255" spans="2:5">
      <c r="B255" s="1199" t="s">
        <v>70</v>
      </c>
      <c r="C255" s="996"/>
      <c r="D255" s="1197" t="s">
        <v>270</v>
      </c>
      <c r="E255">
        <v>130000000</v>
      </c>
    </row>
    <row r="256" spans="2:5">
      <c r="B256" s="1199" t="s">
        <v>70</v>
      </c>
      <c r="C256" s="996"/>
      <c r="D256" s="1197" t="s">
        <v>71</v>
      </c>
      <c r="E256">
        <v>33000</v>
      </c>
    </row>
    <row r="257" spans="2:5" ht="15.75" thickBot="1">
      <c r="B257" s="1205" t="s">
        <v>70</v>
      </c>
      <c r="C257" s="997"/>
      <c r="D257" s="1198" t="s">
        <v>81</v>
      </c>
      <c r="E257">
        <v>240000000</v>
      </c>
    </row>
    <row r="258" spans="2:5">
      <c r="D258" s="775" t="s">
        <v>285</v>
      </c>
    </row>
    <row r="259" spans="2:5">
      <c r="D259" s="775" t="s">
        <v>287</v>
      </c>
    </row>
    <row r="260" spans="2:5">
      <c r="D260" s="775" t="s">
        <v>286</v>
      </c>
    </row>
  </sheetData>
  <mergeCells count="78">
    <mergeCell ref="E230:H230"/>
    <mergeCell ref="E231:E232"/>
    <mergeCell ref="F231:F232"/>
    <mergeCell ref="G231:G232"/>
    <mergeCell ref="H231:H232"/>
    <mergeCell ref="AA37:AD37"/>
    <mergeCell ref="AA38:AA39"/>
    <mergeCell ref="AB38:AB39"/>
    <mergeCell ref="AC38:AC39"/>
    <mergeCell ref="AD38:AD39"/>
    <mergeCell ref="AA23:AD23"/>
    <mergeCell ref="AA24:AA25"/>
    <mergeCell ref="AB24:AB25"/>
    <mergeCell ref="AC24:AC25"/>
    <mergeCell ref="AD24:AD25"/>
    <mergeCell ref="AA8:AD8"/>
    <mergeCell ref="AA9:AA10"/>
    <mergeCell ref="AB9:AB10"/>
    <mergeCell ref="AC9:AC10"/>
    <mergeCell ref="AD9:AD10"/>
    <mergeCell ref="F6:J6"/>
    <mergeCell ref="E5:K5"/>
    <mergeCell ref="E2:K3"/>
    <mergeCell ref="C9:C10"/>
    <mergeCell ref="D9:D10"/>
    <mergeCell ref="E9:E10"/>
    <mergeCell ref="F9:F10"/>
    <mergeCell ref="G9:G10"/>
    <mergeCell ref="H9:H10"/>
    <mergeCell ref="I9:I10"/>
    <mergeCell ref="J9:J10"/>
    <mergeCell ref="K9:K10"/>
    <mergeCell ref="A8:A10"/>
    <mergeCell ref="B8:B10"/>
    <mergeCell ref="C8:F8"/>
    <mergeCell ref="G8:J8"/>
    <mergeCell ref="F64:G65"/>
    <mergeCell ref="A15:A16"/>
    <mergeCell ref="Y9:Y10"/>
    <mergeCell ref="F111:G112"/>
    <mergeCell ref="F38:G39"/>
    <mergeCell ref="F24:G25"/>
    <mergeCell ref="N24:O25"/>
    <mergeCell ref="N38:O39"/>
    <mergeCell ref="N64:O65"/>
    <mergeCell ref="N78:O79"/>
    <mergeCell ref="N111:O112"/>
    <mergeCell ref="Z9:Z10"/>
    <mergeCell ref="X9:X10"/>
    <mergeCell ref="W8:Z8"/>
    <mergeCell ref="V9:V10"/>
    <mergeCell ref="F78:G79"/>
    <mergeCell ref="O9:O10"/>
    <mergeCell ref="P9:P10"/>
    <mergeCell ref="Q9:Q10"/>
    <mergeCell ref="R9:R10"/>
    <mergeCell ref="L9:L10"/>
    <mergeCell ref="M9:M10"/>
    <mergeCell ref="N9:N10"/>
    <mergeCell ref="W9:W10"/>
    <mergeCell ref="S9:S10"/>
    <mergeCell ref="T9:T10"/>
    <mergeCell ref="U9:U10"/>
    <mergeCell ref="E136:H136"/>
    <mergeCell ref="E137:E138"/>
    <mergeCell ref="F137:F138"/>
    <mergeCell ref="G137:G138"/>
    <mergeCell ref="H137:H138"/>
    <mergeCell ref="E172:H172"/>
    <mergeCell ref="E173:E174"/>
    <mergeCell ref="F173:F174"/>
    <mergeCell ref="G173:G174"/>
    <mergeCell ref="H173:H174"/>
    <mergeCell ref="B223:B225"/>
    <mergeCell ref="B210:B213"/>
    <mergeCell ref="B214:B216"/>
    <mergeCell ref="B217:B219"/>
    <mergeCell ref="B220:B222"/>
  </mergeCells>
  <conditionalFormatting sqref="E108:F110 C108:D111 D108:N108 C128:N128 E56:F63 E76:F77 C76:D78 E37:F37 C38 D37:D38 D56:D64 C64 C57:AD59">
    <cfRule type="cellIs" dxfId="106" priority="32" operator="greaterThanOrEqual">
      <formula>5</formula>
    </cfRule>
  </conditionalFormatting>
  <conditionalFormatting sqref="C81:N107 C114:K127 M114:M127 C67:N75 C41:N50 C27:N33 C14:O18 Q14:R18 T14:T18">
    <cfRule type="cellIs" dxfId="105" priority="14" operator="lessThanOrEqual">
      <formula>200</formula>
    </cfRule>
  </conditionalFormatting>
  <conditionalFormatting sqref="O128:U128">
    <cfRule type="cellIs" dxfId="104" priority="10" operator="greaterThanOrEqual">
      <formula>5</formula>
    </cfRule>
  </conditionalFormatting>
  <conditionalFormatting sqref="Q114:Q127">
    <cfRule type="cellIs" dxfId="103" priority="9" operator="lessThanOrEqual">
      <formula>200</formula>
    </cfRule>
  </conditionalFormatting>
  <conditionalFormatting sqref="P114:R127">
    <cfRule type="cellIs" dxfId="102" priority="7" operator="greaterThan">
      <formula>200</formula>
    </cfRule>
    <cfRule type="cellIs" dxfId="101" priority="8" operator="lessThan">
      <formula>200</formula>
    </cfRule>
  </conditionalFormatting>
  <conditionalFormatting sqref="Q27:R30 Q32:R33">
    <cfRule type="cellIs" dxfId="100" priority="6" operator="lessThanOrEqual">
      <formula>200</formula>
    </cfRule>
  </conditionalFormatting>
  <conditionalFormatting sqref="Q41:R44 Q46:R47">
    <cfRule type="cellIs" dxfId="99" priority="5" operator="lessThanOrEqual">
      <formula>200</formula>
    </cfRule>
  </conditionalFormatting>
  <conditionalFormatting sqref="Q49:R50">
    <cfRule type="cellIs" dxfId="98" priority="4" operator="lessThanOrEqual">
      <formula>200</formula>
    </cfRule>
  </conditionalFormatting>
  <conditionalFormatting sqref="P57">
    <cfRule type="cellIs" dxfId="97" priority="3" operator="greaterThanOrEqual">
      <formula>5</formula>
    </cfRule>
  </conditionalFormatting>
  <conditionalFormatting sqref="P58:Q58">
    <cfRule type="cellIs" dxfId="96" priority="2" operator="greaterThanOrEqual">
      <formula>5</formula>
    </cfRule>
  </conditionalFormatting>
  <conditionalFormatting sqref="U128">
    <cfRule type="cellIs" dxfId="95" priority="1" operator="greaterThanOrEqual">
      <formula>5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272"/>
  <sheetViews>
    <sheetView tabSelected="1" topLeftCell="A2" zoomScale="70" zoomScaleNormal="70" workbookViewId="0">
      <pane xSplit="3" ySplit="7" topLeftCell="U9" activePane="bottomRight" state="frozen"/>
      <selection activeCell="A2" sqref="A2"/>
      <selection pane="topRight" activeCell="D2" sqref="D2"/>
      <selection pane="bottomLeft" activeCell="A9" sqref="A9"/>
      <selection pane="bottomRight" activeCell="V144" sqref="V144"/>
    </sheetView>
  </sheetViews>
  <sheetFormatPr defaultRowHeight="15"/>
  <cols>
    <col min="1" max="1" width="11.140625" style="1064" customWidth="1"/>
    <col min="2" max="2" width="30.85546875" customWidth="1"/>
    <col min="3" max="3" width="17.28515625" bestFit="1" customWidth="1"/>
    <col min="4" max="4" width="17.5703125" customWidth="1"/>
    <col min="5" max="5" width="17.85546875" customWidth="1"/>
    <col min="6" max="6" width="21" customWidth="1"/>
    <col min="7" max="7" width="16.28515625" customWidth="1"/>
    <col min="8" max="8" width="20.28515625" customWidth="1"/>
    <col min="9" max="9" width="20.42578125" customWidth="1"/>
    <col min="10" max="10" width="25.140625" customWidth="1"/>
    <col min="11" max="11" width="23.28515625" style="1849" customWidth="1"/>
    <col min="12" max="12" width="26.42578125" style="1746" customWidth="1"/>
    <col min="13" max="13" width="18.85546875" style="1746" bestFit="1" customWidth="1"/>
    <col min="14" max="14" width="22.42578125" style="1747" customWidth="1"/>
    <col min="15" max="15" width="13.5703125" customWidth="1"/>
    <col min="16" max="16" width="17.28515625" style="1866" bestFit="1" customWidth="1"/>
    <col min="17" max="17" width="18.85546875" customWidth="1"/>
    <col min="18" max="18" width="18" customWidth="1"/>
    <col min="19" max="19" width="17.28515625" customWidth="1"/>
    <col min="20" max="20" width="19.42578125" customWidth="1"/>
    <col min="21" max="21" width="15.7109375" style="2367" customWidth="1"/>
    <col min="22" max="22" width="18" customWidth="1"/>
    <col min="23" max="23" width="21" customWidth="1"/>
    <col min="24" max="24" width="18.7109375" style="1746" bestFit="1" customWidth="1"/>
    <col min="25" max="25" width="19.140625" customWidth="1"/>
    <col min="26" max="26" width="19.42578125" customWidth="1"/>
    <col min="27" max="27" width="19.28515625" customWidth="1"/>
    <col min="28" max="28" width="10.140625" bestFit="1" customWidth="1"/>
  </cols>
  <sheetData>
    <row r="1" spans="2:28" s="59" customFormat="1">
      <c r="B1" s="975"/>
      <c r="C1" s="975"/>
      <c r="D1" s="975"/>
      <c r="E1" s="975"/>
      <c r="F1" s="975"/>
      <c r="G1" s="975"/>
      <c r="H1" s="975"/>
      <c r="I1" s="975"/>
      <c r="J1" s="975"/>
      <c r="K1" s="975"/>
      <c r="L1" s="1736"/>
      <c r="M1" s="1736"/>
      <c r="N1" s="1737"/>
      <c r="O1" s="975"/>
      <c r="P1" s="975"/>
      <c r="Q1" s="976"/>
      <c r="U1" s="2893"/>
      <c r="X1" s="2369"/>
    </row>
    <row r="2" spans="2:28" s="59" customFormat="1" ht="14.25" customHeight="1" thickBot="1">
      <c r="B2" s="975"/>
      <c r="C2" s="920"/>
      <c r="D2" s="920"/>
      <c r="E2" s="3595" t="s">
        <v>264</v>
      </c>
      <c r="F2" s="3595"/>
      <c r="G2" s="3595"/>
      <c r="H2" s="3595"/>
      <c r="I2" s="3595"/>
      <c r="J2" s="3595"/>
      <c r="K2" s="3595"/>
      <c r="L2" s="3595"/>
      <c r="M2" s="1738"/>
      <c r="N2" s="1739"/>
      <c r="O2" s="975"/>
      <c r="P2" s="975"/>
      <c r="Q2" s="976"/>
      <c r="U2" s="2893"/>
      <c r="X2" s="2369"/>
    </row>
    <row r="3" spans="2:28" s="59" customFormat="1" ht="15" hidden="1" customHeight="1" thickBot="1">
      <c r="B3" s="975"/>
      <c r="C3" s="920"/>
      <c r="D3" s="920"/>
      <c r="E3" s="3595"/>
      <c r="F3" s="3595"/>
      <c r="G3" s="3595"/>
      <c r="H3" s="3595"/>
      <c r="I3" s="3595"/>
      <c r="J3" s="3595"/>
      <c r="K3" s="3595"/>
      <c r="L3" s="3595"/>
      <c r="M3" s="1738"/>
      <c r="N3" s="1739"/>
      <c r="O3" s="975"/>
      <c r="P3" s="975"/>
      <c r="Q3" s="976"/>
      <c r="U3" s="2893"/>
      <c r="X3" s="2369"/>
    </row>
    <row r="4" spans="2:28" s="59" customFormat="1" ht="15.75" hidden="1" thickBot="1">
      <c r="B4" s="975"/>
      <c r="C4" s="975"/>
      <c r="D4" s="975"/>
      <c r="E4" s="975"/>
      <c r="F4" s="975"/>
      <c r="G4" s="975"/>
      <c r="H4" s="975"/>
      <c r="I4" s="975"/>
      <c r="J4" s="975"/>
      <c r="K4" s="975"/>
      <c r="L4" s="1736"/>
      <c r="M4" s="1736"/>
      <c r="N4" s="1737"/>
      <c r="O4" s="975"/>
      <c r="P4" s="975"/>
      <c r="Q4" s="976"/>
      <c r="U4" s="2893"/>
      <c r="X4" s="2369"/>
    </row>
    <row r="5" spans="2:28" s="59" customFormat="1" ht="15" hidden="1" customHeight="1" thickBot="1">
      <c r="B5" s="977"/>
      <c r="C5" s="977"/>
      <c r="E5" s="3662" t="s">
        <v>261</v>
      </c>
      <c r="F5" s="3663"/>
      <c r="G5" s="3663"/>
      <c r="H5" s="3663"/>
      <c r="I5" s="3663"/>
      <c r="J5" s="3663"/>
      <c r="K5" s="3663"/>
      <c r="L5" s="3664"/>
      <c r="M5" s="1736"/>
      <c r="N5" s="1737"/>
      <c r="O5" s="975"/>
      <c r="P5" s="975"/>
      <c r="Q5" s="976"/>
      <c r="U5" s="2893"/>
      <c r="X5" s="2369"/>
    </row>
    <row r="6" spans="2:28" s="59" customFormat="1" ht="15" hidden="1" customHeight="1" thickBot="1">
      <c r="B6" s="977"/>
      <c r="C6" s="977"/>
      <c r="D6" s="977"/>
      <c r="F6" s="3589" t="s">
        <v>277</v>
      </c>
      <c r="G6" s="3590"/>
      <c r="H6" s="3590"/>
      <c r="I6" s="3590"/>
      <c r="J6" s="3591"/>
      <c r="K6" s="1870"/>
      <c r="L6" s="1736"/>
      <c r="M6" s="1736"/>
      <c r="N6" s="1737"/>
      <c r="O6" s="975"/>
      <c r="P6" s="975"/>
      <c r="Q6" s="976"/>
      <c r="U6" s="2893"/>
      <c r="X6" s="2369"/>
    </row>
    <row r="7" spans="2:28" s="59" customFormat="1" ht="15" hidden="1" customHeight="1" thickBot="1">
      <c r="B7" s="978"/>
      <c r="C7" s="535"/>
      <c r="D7" s="535"/>
      <c r="E7" s="535"/>
      <c r="F7" s="979"/>
      <c r="G7" s="979"/>
      <c r="H7" s="979"/>
      <c r="I7" s="979"/>
      <c r="J7" s="979"/>
      <c r="K7" s="979"/>
      <c r="L7" s="1740"/>
      <c r="M7" s="1740"/>
      <c r="N7" s="1741"/>
      <c r="O7" s="979"/>
      <c r="P7" s="979"/>
      <c r="Q7" s="790"/>
      <c r="U7" s="2893"/>
      <c r="X7" s="2369"/>
    </row>
    <row r="8" spans="2:28" s="59" customFormat="1" ht="15" customHeight="1" thickBot="1">
      <c r="B8" s="3680" t="s">
        <v>1</v>
      </c>
      <c r="C8" s="3683">
        <v>2011</v>
      </c>
      <c r="D8" s="3684"/>
      <c r="E8" s="3684"/>
      <c r="F8" s="3685"/>
      <c r="G8" s="3547">
        <v>2012</v>
      </c>
      <c r="H8" s="3548"/>
      <c r="I8" s="3548"/>
      <c r="J8" s="3549"/>
      <c r="K8" s="1871"/>
      <c r="L8" s="2193">
        <v>2013</v>
      </c>
      <c r="M8" s="1742"/>
      <c r="N8" s="1743"/>
      <c r="O8" s="968"/>
      <c r="P8" s="969"/>
      <c r="Q8" s="3672">
        <v>2014</v>
      </c>
      <c r="R8" s="3673"/>
      <c r="S8" s="3673"/>
      <c r="T8" s="3673"/>
      <c r="U8" s="3672">
        <v>2015</v>
      </c>
      <c r="V8" s="3673"/>
      <c r="W8" s="3673"/>
      <c r="X8" s="3673"/>
      <c r="Y8" s="3516">
        <v>2016</v>
      </c>
      <c r="Z8" s="3517"/>
      <c r="AA8" s="3517"/>
      <c r="AB8" s="3518"/>
    </row>
    <row r="9" spans="2:28" s="59" customFormat="1" ht="15" customHeight="1">
      <c r="B9" s="3681"/>
      <c r="C9" s="3686" t="s">
        <v>2</v>
      </c>
      <c r="D9" s="3688" t="s">
        <v>3</v>
      </c>
      <c r="E9" s="3690" t="s">
        <v>4</v>
      </c>
      <c r="F9" s="3692" t="s">
        <v>5</v>
      </c>
      <c r="G9" s="3686" t="s">
        <v>2</v>
      </c>
      <c r="H9" s="3688" t="s">
        <v>3</v>
      </c>
      <c r="I9" s="3690" t="s">
        <v>4</v>
      </c>
      <c r="J9" s="3692" t="s">
        <v>5</v>
      </c>
      <c r="K9" s="1872"/>
      <c r="L9" s="3706" t="s">
        <v>2</v>
      </c>
      <c r="M9" s="3674" t="s">
        <v>3</v>
      </c>
      <c r="N9" s="3676" t="s">
        <v>4</v>
      </c>
      <c r="O9" s="3678" t="s">
        <v>5</v>
      </c>
      <c r="P9" s="3708" t="s">
        <v>350</v>
      </c>
      <c r="Q9" s="3706" t="s">
        <v>2</v>
      </c>
      <c r="R9" s="3674" t="s">
        <v>3</v>
      </c>
      <c r="S9" s="3676" t="s">
        <v>4</v>
      </c>
      <c r="T9" s="3678" t="s">
        <v>5</v>
      </c>
      <c r="U9" s="3670" t="s">
        <v>2</v>
      </c>
      <c r="V9" s="3674" t="s">
        <v>3</v>
      </c>
      <c r="W9" s="3676" t="s">
        <v>4</v>
      </c>
      <c r="X9" s="3678" t="s">
        <v>5</v>
      </c>
      <c r="Y9" s="3632" t="s">
        <v>2</v>
      </c>
      <c r="Z9" s="3674" t="s">
        <v>3</v>
      </c>
      <c r="AA9" s="3676" t="s">
        <v>4</v>
      </c>
      <c r="AB9" s="3678" t="s">
        <v>5</v>
      </c>
    </row>
    <row r="10" spans="2:28" s="59" customFormat="1" ht="15" customHeight="1" thickBot="1">
      <c r="B10" s="3682"/>
      <c r="C10" s="3687"/>
      <c r="D10" s="3689"/>
      <c r="E10" s="3691"/>
      <c r="F10" s="3693"/>
      <c r="G10" s="3687"/>
      <c r="H10" s="3689"/>
      <c r="I10" s="3691"/>
      <c r="J10" s="3693"/>
      <c r="K10" s="1873"/>
      <c r="L10" s="3707"/>
      <c r="M10" s="3675"/>
      <c r="N10" s="3677"/>
      <c r="O10" s="3679"/>
      <c r="P10" s="3709"/>
      <c r="Q10" s="3707"/>
      <c r="R10" s="3675"/>
      <c r="S10" s="3677"/>
      <c r="T10" s="3679"/>
      <c r="U10" s="3671"/>
      <c r="V10" s="3675"/>
      <c r="W10" s="3677"/>
      <c r="X10" s="3679"/>
      <c r="Y10" s="3649"/>
      <c r="Z10" s="3675"/>
      <c r="AA10" s="3677"/>
      <c r="AB10" s="3679"/>
    </row>
    <row r="11" spans="2:28" ht="15" customHeight="1">
      <c r="B11" s="1875"/>
      <c r="C11" s="1875"/>
      <c r="D11" s="1875"/>
      <c r="E11" s="1875"/>
      <c r="F11" s="1876"/>
      <c r="G11" s="1877"/>
      <c r="H11" s="1877"/>
      <c r="I11" s="1877"/>
      <c r="J11" s="1877"/>
      <c r="K11" s="1877"/>
      <c r="L11" s="1877"/>
      <c r="M11" s="1877"/>
      <c r="N11" s="1877"/>
      <c r="O11" s="1877"/>
      <c r="P11" s="1877"/>
      <c r="Q11" s="1877"/>
      <c r="R11" s="1877"/>
      <c r="S11" s="1877"/>
      <c r="T11" s="1877"/>
    </row>
    <row r="12" spans="2:28" ht="15" customHeight="1" thickBot="1">
      <c r="B12" s="1875"/>
      <c r="C12" s="1875"/>
      <c r="D12" s="1875"/>
      <c r="E12" s="1875"/>
      <c r="F12" s="1876"/>
      <c r="G12" s="1877"/>
      <c r="H12" s="1877"/>
      <c r="I12" s="1877"/>
      <c r="J12" s="1877"/>
      <c r="K12" s="1877"/>
      <c r="L12" s="1877"/>
      <c r="M12" s="1877"/>
      <c r="N12" s="1877"/>
      <c r="O12" s="1877"/>
      <c r="P12" s="1877"/>
      <c r="Q12" s="1877"/>
      <c r="R12" s="1877"/>
      <c r="S12" s="1877"/>
      <c r="T12" s="1877"/>
    </row>
    <row r="13" spans="2:28" ht="15" customHeight="1">
      <c r="B13" s="1879" t="s">
        <v>168</v>
      </c>
      <c r="C13" s="1880">
        <v>1000</v>
      </c>
      <c r="D13" s="1880">
        <v>1000</v>
      </c>
      <c r="E13" s="1880">
        <v>1000</v>
      </c>
      <c r="F13" s="1881">
        <v>1000</v>
      </c>
      <c r="G13" s="1882">
        <v>1000</v>
      </c>
      <c r="H13" s="1880">
        <v>1000</v>
      </c>
      <c r="I13" s="1880">
        <v>1000</v>
      </c>
      <c r="J13" s="1883">
        <v>1000</v>
      </c>
      <c r="K13" s="1884"/>
      <c r="L13" s="1885">
        <v>1000</v>
      </c>
      <c r="M13" s="1880">
        <v>1000</v>
      </c>
      <c r="N13" s="1880">
        <v>1000</v>
      </c>
      <c r="O13" s="1883">
        <v>1000</v>
      </c>
      <c r="P13" s="2140">
        <v>1000</v>
      </c>
      <c r="Q13" s="1882">
        <v>1000</v>
      </c>
      <c r="R13" s="1880">
        <v>1000</v>
      </c>
      <c r="S13" s="1880">
        <v>1000</v>
      </c>
      <c r="T13" s="1883">
        <v>1000</v>
      </c>
      <c r="U13" s="1883">
        <v>1000</v>
      </c>
      <c r="V13" s="1883">
        <v>1000</v>
      </c>
      <c r="W13" s="1883">
        <v>1000</v>
      </c>
      <c r="X13" s="1883">
        <v>1000</v>
      </c>
      <c r="Y13" s="1883">
        <v>1000</v>
      </c>
      <c r="Z13" s="1883">
        <v>1000</v>
      </c>
      <c r="AA13" s="3309">
        <v>1000</v>
      </c>
      <c r="AB13" s="1883">
        <v>1000</v>
      </c>
    </row>
    <row r="14" spans="2:28" ht="15" customHeight="1">
      <c r="B14" s="1886" t="s">
        <v>181</v>
      </c>
      <c r="C14" s="1851"/>
      <c r="D14" s="1851"/>
      <c r="E14" s="1851"/>
      <c r="F14" s="1852"/>
      <c r="G14" s="1853"/>
      <c r="H14" s="1851">
        <v>2800000</v>
      </c>
      <c r="I14" s="1854"/>
      <c r="J14" s="1855"/>
      <c r="K14" s="1874">
        <f>AVERAGE(G14:J14)</f>
        <v>2800000</v>
      </c>
      <c r="L14" s="1856">
        <v>16000</v>
      </c>
      <c r="M14" s="959">
        <v>2800000</v>
      </c>
      <c r="N14" s="959"/>
      <c r="O14" s="1887"/>
      <c r="P14" s="2141">
        <f>GEOMEAN(L14:O14)</f>
        <v>211660.10488516724</v>
      </c>
      <c r="Q14" s="1941"/>
      <c r="R14" s="2563">
        <v>1000000</v>
      </c>
      <c r="S14" s="959">
        <v>41300</v>
      </c>
      <c r="T14" s="1887">
        <v>24000</v>
      </c>
      <c r="V14" s="2141">
        <v>3270000</v>
      </c>
      <c r="X14" s="1746">
        <v>16000000</v>
      </c>
      <c r="Y14" s="3100" t="s">
        <v>453</v>
      </c>
      <c r="Z14" s="3100">
        <v>158000000</v>
      </c>
      <c r="AA14" s="5" t="s">
        <v>336</v>
      </c>
      <c r="AB14" s="3477" t="s">
        <v>336</v>
      </c>
    </row>
    <row r="15" spans="2:28" ht="15" customHeight="1">
      <c r="B15" s="1888" t="s">
        <v>135</v>
      </c>
      <c r="C15" s="1857">
        <v>12123720.060000001</v>
      </c>
      <c r="D15" s="1857">
        <v>70828</v>
      </c>
      <c r="E15" s="1857">
        <v>250000</v>
      </c>
      <c r="F15" s="1858">
        <v>70500</v>
      </c>
      <c r="G15" s="1859">
        <v>84000</v>
      </c>
      <c r="H15" s="1851">
        <v>5400</v>
      </c>
      <c r="I15" s="1854"/>
      <c r="J15" s="1855"/>
      <c r="K15" s="1874">
        <f>AVERAGE(G15:J15)</f>
        <v>44700</v>
      </c>
      <c r="L15" s="1856">
        <v>54000</v>
      </c>
      <c r="M15" s="959">
        <v>540000</v>
      </c>
      <c r="N15" s="959"/>
      <c r="O15" s="1887"/>
      <c r="P15" s="2141">
        <f>GEOMEAN(L15:O15)</f>
        <v>170762.99364909247</v>
      </c>
      <c r="Q15" s="1941"/>
      <c r="R15" s="2563">
        <v>1000000</v>
      </c>
      <c r="S15" s="959">
        <v>47700</v>
      </c>
      <c r="T15" s="1887">
        <v>26330</v>
      </c>
      <c r="V15" s="2141">
        <v>7670000</v>
      </c>
      <c r="X15" s="1746">
        <v>92600000</v>
      </c>
      <c r="Y15" s="3100">
        <v>21160104.899999999</v>
      </c>
      <c r="Z15" s="3100">
        <v>102000000</v>
      </c>
      <c r="AA15" s="5" t="s">
        <v>336</v>
      </c>
      <c r="AB15" s="3477" t="s">
        <v>336</v>
      </c>
    </row>
    <row r="16" spans="2:28" ht="15" customHeight="1">
      <c r="B16" s="1886" t="s">
        <v>180</v>
      </c>
      <c r="C16" s="1851"/>
      <c r="D16" s="1851"/>
      <c r="E16" s="1851"/>
      <c r="F16" s="1852"/>
      <c r="G16" s="1853"/>
      <c r="H16" s="1851">
        <v>3500000</v>
      </c>
      <c r="I16" s="1854"/>
      <c r="J16" s="1855"/>
      <c r="K16" s="1874">
        <f>AVERAGE(G16:J16)</f>
        <v>3500000</v>
      </c>
      <c r="L16" s="1856">
        <v>35000</v>
      </c>
      <c r="M16" s="959">
        <v>920000</v>
      </c>
      <c r="N16" s="959"/>
      <c r="O16" s="1887"/>
      <c r="P16" s="2141">
        <f>GEOMEAN(L16:O16)</f>
        <v>179443.58444926361</v>
      </c>
      <c r="Q16" s="1941"/>
      <c r="R16" s="2563">
        <v>700000</v>
      </c>
      <c r="S16" s="959">
        <v>30300</v>
      </c>
      <c r="T16" s="1887">
        <v>580000</v>
      </c>
      <c r="V16" s="2141">
        <v>1020000</v>
      </c>
      <c r="X16" s="1746">
        <v>84800000</v>
      </c>
      <c r="Y16" s="3100">
        <v>434741302.39999998</v>
      </c>
      <c r="Z16" s="3100">
        <v>95700000</v>
      </c>
      <c r="AA16" s="5" t="s">
        <v>336</v>
      </c>
      <c r="AB16" s="3477" t="s">
        <v>336</v>
      </c>
    </row>
    <row r="17" spans="1:28" ht="15" customHeight="1">
      <c r="B17" s="3102" t="s">
        <v>184</v>
      </c>
      <c r="C17" s="1857">
        <v>362208644</v>
      </c>
      <c r="D17" s="1857">
        <v>20365</v>
      </c>
      <c r="E17" s="1857">
        <v>94500</v>
      </c>
      <c r="F17" s="1858">
        <v>233000</v>
      </c>
      <c r="G17" s="1859">
        <v>390000</v>
      </c>
      <c r="H17" s="1851">
        <v>280000</v>
      </c>
      <c r="I17" s="1854"/>
      <c r="J17" s="1855"/>
      <c r="K17" s="1874">
        <f>AVERAGE(G17:J17)</f>
        <v>335000</v>
      </c>
      <c r="L17" s="1856">
        <v>280000</v>
      </c>
      <c r="M17" s="959">
        <v>9200000</v>
      </c>
      <c r="N17" s="959"/>
      <c r="O17" s="1887"/>
      <c r="P17" s="2141">
        <f>GEOMEAN(L17:O17)</f>
        <v>1604992.2118191104</v>
      </c>
      <c r="Q17" s="1941"/>
      <c r="R17" s="2563">
        <v>2000000</v>
      </c>
      <c r="S17" s="959">
        <v>367000</v>
      </c>
      <c r="T17" s="1887">
        <v>253300</v>
      </c>
      <c r="V17" s="2141">
        <v>70300000</v>
      </c>
      <c r="X17" s="1746">
        <v>224000000</v>
      </c>
      <c r="Y17" s="3100">
        <v>313049516.80000001</v>
      </c>
      <c r="Z17" s="3100">
        <v>580000000</v>
      </c>
      <c r="AA17" s="3299" t="s">
        <v>336</v>
      </c>
      <c r="AB17" s="61" t="s">
        <v>336</v>
      </c>
    </row>
    <row r="18" spans="1:28" ht="15" customHeight="1" thickBot="1">
      <c r="B18" s="1889" t="s">
        <v>179</v>
      </c>
      <c r="C18" s="1860"/>
      <c r="D18" s="1860"/>
      <c r="E18" s="1860"/>
      <c r="F18" s="1861"/>
      <c r="G18" s="1862"/>
      <c r="H18" s="1860">
        <v>28000</v>
      </c>
      <c r="I18" s="1863"/>
      <c r="J18" s="1864"/>
      <c r="K18" s="1874">
        <f>AVERAGE(G18:J18)</f>
        <v>28000</v>
      </c>
      <c r="L18" s="1865">
        <v>160000</v>
      </c>
      <c r="M18" s="960">
        <v>350000</v>
      </c>
      <c r="N18" s="960"/>
      <c r="O18" s="1890"/>
      <c r="P18" s="2141">
        <f>GEOMEAN(L18:O18)</f>
        <v>236643.19132398465</v>
      </c>
      <c r="Q18" s="2194"/>
      <c r="R18" s="2563">
        <v>2000000</v>
      </c>
      <c r="S18" s="955">
        <v>13700</v>
      </c>
      <c r="T18" s="1920">
        <v>14200</v>
      </c>
      <c r="V18" s="2141">
        <v>477000</v>
      </c>
      <c r="X18" s="1746">
        <v>11100000</v>
      </c>
      <c r="Y18" s="3100">
        <v>211660104.90000001</v>
      </c>
      <c r="Z18" s="3100">
        <v>229000000</v>
      </c>
      <c r="AA18" s="3299" t="s">
        <v>336</v>
      </c>
      <c r="AB18" s="61" t="s">
        <v>336</v>
      </c>
    </row>
    <row r="19" spans="1:28" s="1040" customFormat="1" ht="15" customHeight="1">
      <c r="A19" s="1064"/>
      <c r="B19" s="1891" t="s">
        <v>285</v>
      </c>
      <c r="C19" s="1892">
        <f>COUNTIF(C14:C18,"&lt;=1000")</f>
        <v>0</v>
      </c>
      <c r="D19" s="1892">
        <f t="shared" ref="D19:Y19" si="0">COUNTIF(D14:D18,"&lt;=1000")</f>
        <v>0</v>
      </c>
      <c r="E19" s="1892">
        <f t="shared" si="0"/>
        <v>0</v>
      </c>
      <c r="F19" s="1892">
        <f t="shared" si="0"/>
        <v>0</v>
      </c>
      <c r="G19" s="1892">
        <f t="shared" si="0"/>
        <v>0</v>
      </c>
      <c r="H19" s="1892">
        <f t="shared" si="0"/>
        <v>0</v>
      </c>
      <c r="I19" s="1892">
        <f t="shared" si="0"/>
        <v>0</v>
      </c>
      <c r="J19" s="1892">
        <f t="shared" si="0"/>
        <v>0</v>
      </c>
      <c r="K19" s="1892">
        <f t="shared" si="0"/>
        <v>0</v>
      </c>
      <c r="L19" s="1892">
        <f t="shared" si="0"/>
        <v>0</v>
      </c>
      <c r="M19" s="1892">
        <f t="shared" si="0"/>
        <v>0</v>
      </c>
      <c r="N19" s="1892">
        <f t="shared" si="0"/>
        <v>0</v>
      </c>
      <c r="O19" s="1892">
        <f t="shared" si="0"/>
        <v>0</v>
      </c>
      <c r="P19" s="1892">
        <f t="shared" si="0"/>
        <v>0</v>
      </c>
      <c r="Q19" s="1892">
        <f t="shared" si="0"/>
        <v>0</v>
      </c>
      <c r="R19" s="1892">
        <f t="shared" si="0"/>
        <v>0</v>
      </c>
      <c r="S19" s="1892">
        <f t="shared" si="0"/>
        <v>0</v>
      </c>
      <c r="T19" s="1892">
        <f t="shared" si="0"/>
        <v>0</v>
      </c>
      <c r="U19" s="1892">
        <f t="shared" si="0"/>
        <v>0</v>
      </c>
      <c r="V19" s="1892">
        <f t="shared" si="0"/>
        <v>0</v>
      </c>
      <c r="W19" s="1892">
        <f t="shared" si="0"/>
        <v>0</v>
      </c>
      <c r="X19" s="1892">
        <f t="shared" si="0"/>
        <v>0</v>
      </c>
      <c r="Y19" s="1892">
        <f t="shared" si="0"/>
        <v>0</v>
      </c>
      <c r="Z19" s="1892">
        <f t="shared" ref="Z19" si="1">COUNTIF(Z14:Z18,"&lt;=1000")</f>
        <v>0</v>
      </c>
      <c r="AA19" s="3308">
        <f t="shared" ref="AA19" si="2">COUNTIF(AA14:AA18,"&lt;=1000")</f>
        <v>0</v>
      </c>
      <c r="AB19" s="1892">
        <f t="shared" ref="AB19" si="3">COUNTIF(AB14:AB18,"&lt;=1000")</f>
        <v>0</v>
      </c>
    </row>
    <row r="20" spans="1:28" s="1040" customFormat="1" ht="15" customHeight="1">
      <c r="A20" s="1064"/>
      <c r="B20" s="1891" t="s">
        <v>287</v>
      </c>
      <c r="C20" s="1892">
        <f>COUNT(C14:C18)</f>
        <v>2</v>
      </c>
      <c r="D20" s="1892">
        <f t="shared" ref="D20:AB20" si="4">COUNT(D14:D18)</f>
        <v>2</v>
      </c>
      <c r="E20" s="1892">
        <f t="shared" si="4"/>
        <v>2</v>
      </c>
      <c r="F20" s="1892">
        <f t="shared" si="4"/>
        <v>2</v>
      </c>
      <c r="G20" s="1892">
        <f t="shared" si="4"/>
        <v>2</v>
      </c>
      <c r="H20" s="1892">
        <f t="shared" si="4"/>
        <v>5</v>
      </c>
      <c r="I20" s="1892">
        <f t="shared" si="4"/>
        <v>0</v>
      </c>
      <c r="J20" s="1892">
        <f t="shared" si="4"/>
        <v>0</v>
      </c>
      <c r="K20" s="1892">
        <f t="shared" si="4"/>
        <v>5</v>
      </c>
      <c r="L20" s="1892">
        <f t="shared" si="4"/>
        <v>5</v>
      </c>
      <c r="M20" s="1892">
        <f t="shared" si="4"/>
        <v>5</v>
      </c>
      <c r="N20" s="1892">
        <f t="shared" si="4"/>
        <v>0</v>
      </c>
      <c r="O20" s="1892">
        <f t="shared" si="4"/>
        <v>0</v>
      </c>
      <c r="P20" s="1892">
        <f t="shared" si="4"/>
        <v>5</v>
      </c>
      <c r="Q20" s="1892">
        <f t="shared" si="4"/>
        <v>0</v>
      </c>
      <c r="R20" s="1892">
        <f t="shared" si="4"/>
        <v>5</v>
      </c>
      <c r="S20" s="1892">
        <f t="shared" si="4"/>
        <v>5</v>
      </c>
      <c r="T20" s="1892">
        <f t="shared" si="4"/>
        <v>5</v>
      </c>
      <c r="U20" s="1892">
        <f t="shared" si="4"/>
        <v>0</v>
      </c>
      <c r="V20" s="1892">
        <f t="shared" si="4"/>
        <v>5</v>
      </c>
      <c r="W20" s="1892">
        <f t="shared" si="4"/>
        <v>0</v>
      </c>
      <c r="X20" s="1892">
        <f t="shared" si="4"/>
        <v>5</v>
      </c>
      <c r="Y20" s="1892">
        <f t="shared" si="4"/>
        <v>4</v>
      </c>
      <c r="Z20" s="1892">
        <f t="shared" si="4"/>
        <v>5</v>
      </c>
      <c r="AA20" s="3308">
        <f t="shared" si="4"/>
        <v>0</v>
      </c>
      <c r="AB20" s="1892">
        <f t="shared" si="4"/>
        <v>0</v>
      </c>
    </row>
    <row r="21" spans="1:28" s="1040" customFormat="1" ht="15" customHeight="1">
      <c r="A21" s="1064"/>
      <c r="B21" s="1891" t="s">
        <v>202</v>
      </c>
      <c r="C21" s="1892">
        <f>C19/C20</f>
        <v>0</v>
      </c>
      <c r="D21" s="1892">
        <f t="shared" ref="D21:AB21" si="5">D19/D20</f>
        <v>0</v>
      </c>
      <c r="E21" s="1892">
        <f t="shared" si="5"/>
        <v>0</v>
      </c>
      <c r="F21" s="1892">
        <f t="shared" si="5"/>
        <v>0</v>
      </c>
      <c r="G21" s="1892">
        <f t="shared" si="5"/>
        <v>0</v>
      </c>
      <c r="H21" s="1892">
        <f t="shared" si="5"/>
        <v>0</v>
      </c>
      <c r="I21" s="1892" t="e">
        <f t="shared" si="5"/>
        <v>#DIV/0!</v>
      </c>
      <c r="J21" s="1892" t="e">
        <f t="shared" si="5"/>
        <v>#DIV/0!</v>
      </c>
      <c r="K21" s="1892">
        <f t="shared" si="5"/>
        <v>0</v>
      </c>
      <c r="L21" s="1892">
        <f t="shared" si="5"/>
        <v>0</v>
      </c>
      <c r="M21" s="1892">
        <f t="shared" si="5"/>
        <v>0</v>
      </c>
      <c r="N21" s="1892" t="e">
        <f t="shared" si="5"/>
        <v>#DIV/0!</v>
      </c>
      <c r="O21" s="1892" t="e">
        <f t="shared" si="5"/>
        <v>#DIV/0!</v>
      </c>
      <c r="P21" s="1892">
        <f t="shared" si="5"/>
        <v>0</v>
      </c>
      <c r="Q21" s="1892" t="e">
        <f t="shared" si="5"/>
        <v>#DIV/0!</v>
      </c>
      <c r="R21" s="1892">
        <f t="shared" si="5"/>
        <v>0</v>
      </c>
      <c r="S21" s="1892">
        <f t="shared" si="5"/>
        <v>0</v>
      </c>
      <c r="T21" s="1892">
        <f t="shared" si="5"/>
        <v>0</v>
      </c>
      <c r="U21" s="1892" t="e">
        <f t="shared" si="5"/>
        <v>#DIV/0!</v>
      </c>
      <c r="V21" s="1892">
        <f t="shared" si="5"/>
        <v>0</v>
      </c>
      <c r="W21" s="1892" t="e">
        <f t="shared" si="5"/>
        <v>#DIV/0!</v>
      </c>
      <c r="X21" s="1892">
        <f t="shared" si="5"/>
        <v>0</v>
      </c>
      <c r="Y21" s="1892">
        <f t="shared" si="5"/>
        <v>0</v>
      </c>
      <c r="Z21" s="1892">
        <f>Z19/Z20</f>
        <v>0</v>
      </c>
      <c r="AA21" s="3308" t="e">
        <f t="shared" si="5"/>
        <v>#DIV/0!</v>
      </c>
      <c r="AB21" s="1892" t="e">
        <f t="shared" si="5"/>
        <v>#DIV/0!</v>
      </c>
    </row>
    <row r="22" spans="1:28" ht="15" customHeight="1">
      <c r="B22" s="1891" t="s">
        <v>296</v>
      </c>
      <c r="C22" s="1892">
        <f>COUNTA(B14:B18)</f>
        <v>5</v>
      </c>
      <c r="D22" s="1892">
        <f t="shared" ref="D22:AB22" si="6">COUNTA(C14:C18)</f>
        <v>2</v>
      </c>
      <c r="E22" s="1892">
        <f t="shared" si="6"/>
        <v>2</v>
      </c>
      <c r="F22" s="1892">
        <f t="shared" si="6"/>
        <v>2</v>
      </c>
      <c r="G22" s="1892">
        <f t="shared" si="6"/>
        <v>2</v>
      </c>
      <c r="H22" s="1892">
        <f t="shared" si="6"/>
        <v>2</v>
      </c>
      <c r="I22" s="1892">
        <f t="shared" si="6"/>
        <v>5</v>
      </c>
      <c r="J22" s="1892">
        <f t="shared" si="6"/>
        <v>0</v>
      </c>
      <c r="K22" s="1892">
        <f t="shared" si="6"/>
        <v>0</v>
      </c>
      <c r="L22" s="1892">
        <f t="shared" si="6"/>
        <v>5</v>
      </c>
      <c r="M22" s="1892">
        <f t="shared" si="6"/>
        <v>5</v>
      </c>
      <c r="N22" s="1892">
        <f t="shared" si="6"/>
        <v>5</v>
      </c>
      <c r="O22" s="1892">
        <f t="shared" si="6"/>
        <v>0</v>
      </c>
      <c r="P22" s="1892">
        <f t="shared" si="6"/>
        <v>0</v>
      </c>
      <c r="Q22" s="1892">
        <f t="shared" si="6"/>
        <v>5</v>
      </c>
      <c r="R22" s="1892">
        <f t="shared" si="6"/>
        <v>0</v>
      </c>
      <c r="S22" s="1892">
        <f t="shared" si="6"/>
        <v>5</v>
      </c>
      <c r="T22" s="1892">
        <f t="shared" si="6"/>
        <v>5</v>
      </c>
      <c r="U22" s="1892">
        <f t="shared" si="6"/>
        <v>5</v>
      </c>
      <c r="V22" s="1892">
        <f t="shared" si="6"/>
        <v>0</v>
      </c>
      <c r="W22" s="1892">
        <f t="shared" si="6"/>
        <v>5</v>
      </c>
      <c r="X22" s="1892">
        <f t="shared" si="6"/>
        <v>0</v>
      </c>
      <c r="Y22" s="1892">
        <f t="shared" si="6"/>
        <v>5</v>
      </c>
      <c r="Z22" s="1892">
        <f t="shared" si="6"/>
        <v>5</v>
      </c>
      <c r="AA22" s="3308">
        <f t="shared" si="6"/>
        <v>5</v>
      </c>
      <c r="AB22" s="1892">
        <f t="shared" si="6"/>
        <v>5</v>
      </c>
    </row>
    <row r="23" spans="1:28" ht="15" customHeight="1">
      <c r="B23" s="1877"/>
      <c r="C23" s="1877"/>
      <c r="D23" s="1877"/>
      <c r="E23" s="1877"/>
      <c r="F23" s="1877"/>
      <c r="G23" s="1877"/>
      <c r="H23" s="1877"/>
      <c r="I23" s="1877"/>
      <c r="J23" s="1877"/>
      <c r="K23" s="1877"/>
      <c r="L23" s="1877"/>
      <c r="M23" s="1877"/>
      <c r="N23" s="1877"/>
      <c r="O23" s="1877"/>
      <c r="P23" s="1877"/>
      <c r="Q23" s="1878"/>
      <c r="Y23" s="3100"/>
    </row>
    <row r="24" spans="1:28" ht="15" customHeight="1">
      <c r="B24" s="1877"/>
      <c r="C24" s="1892"/>
      <c r="D24" s="1893"/>
      <c r="E24" s="1877"/>
      <c r="F24" s="3700"/>
      <c r="G24" s="3700"/>
      <c r="H24" s="1877"/>
      <c r="I24" s="1877"/>
      <c r="J24" s="1877"/>
      <c r="K24" s="1877"/>
      <c r="L24" s="1877"/>
      <c r="M24" s="1877"/>
      <c r="N24" s="1877"/>
      <c r="O24" s="3700"/>
      <c r="P24" s="3700"/>
      <c r="Q24" s="3701"/>
      <c r="Y24" s="3100"/>
    </row>
    <row r="25" spans="1:28" ht="15" customHeight="1" thickBot="1">
      <c r="B25" s="1894" t="s">
        <v>125</v>
      </c>
      <c r="C25" s="1892"/>
      <c r="D25" s="1893"/>
      <c r="E25" s="1877"/>
      <c r="F25" s="3702"/>
      <c r="G25" s="3702"/>
      <c r="H25" s="1877"/>
      <c r="I25" s="1877"/>
      <c r="J25" s="1877"/>
      <c r="K25" s="1877"/>
      <c r="L25" s="1877"/>
      <c r="M25" s="1877"/>
      <c r="N25" s="1877"/>
      <c r="O25" s="3702"/>
      <c r="P25" s="3700"/>
      <c r="Q25" s="3701"/>
      <c r="Y25" s="3100"/>
    </row>
    <row r="26" spans="1:28" ht="15" customHeight="1" thickBot="1">
      <c r="B26" s="1895" t="s">
        <v>168</v>
      </c>
      <c r="C26" s="1896">
        <v>1000</v>
      </c>
      <c r="D26" s="1896">
        <v>1000</v>
      </c>
      <c r="E26" s="1896">
        <v>1000</v>
      </c>
      <c r="F26" s="1897">
        <v>1000</v>
      </c>
      <c r="G26" s="1898">
        <v>1000</v>
      </c>
      <c r="H26" s="1896">
        <v>1000</v>
      </c>
      <c r="I26" s="1896">
        <v>1000</v>
      </c>
      <c r="J26" s="1899">
        <v>1000</v>
      </c>
      <c r="K26" s="1884"/>
      <c r="L26" s="1882">
        <v>1000</v>
      </c>
      <c r="M26" s="1880">
        <v>1000</v>
      </c>
      <c r="N26" s="1880">
        <v>1000</v>
      </c>
      <c r="O26" s="1883">
        <v>1000</v>
      </c>
      <c r="P26" s="1899">
        <v>1000</v>
      </c>
      <c r="Q26" s="1882">
        <v>1000</v>
      </c>
      <c r="R26" s="1880">
        <v>1000</v>
      </c>
      <c r="S26" s="1880">
        <v>1000</v>
      </c>
      <c r="T26" s="1883">
        <v>1000</v>
      </c>
      <c r="U26" s="1883">
        <v>1000</v>
      </c>
      <c r="V26" s="1883">
        <v>1000</v>
      </c>
      <c r="W26" s="1883">
        <v>1000</v>
      </c>
      <c r="X26" s="1883">
        <v>1000</v>
      </c>
      <c r="Y26" s="1883">
        <v>1000</v>
      </c>
      <c r="Z26" s="1883">
        <v>1000</v>
      </c>
      <c r="AA26" s="1883">
        <v>1000</v>
      </c>
      <c r="AB26" s="1883">
        <v>1000</v>
      </c>
    </row>
    <row r="27" spans="1:28" ht="15" customHeight="1">
      <c r="B27" s="1886" t="s">
        <v>178</v>
      </c>
      <c r="C27" s="1900"/>
      <c r="D27" s="1900"/>
      <c r="E27" s="1900"/>
      <c r="F27" s="1901"/>
      <c r="G27" s="1902"/>
      <c r="H27" s="1900"/>
      <c r="I27" s="1900"/>
      <c r="J27" s="1901"/>
      <c r="K27" s="1874" t="e">
        <f t="shared" ref="K27:K33" si="7">AVERAGE(G27:J27)</f>
        <v>#DIV/0!</v>
      </c>
      <c r="L27" s="1903"/>
      <c r="M27" s="958"/>
      <c r="N27" s="958"/>
      <c r="O27" s="1904"/>
      <c r="P27" s="2141"/>
      <c r="Q27" s="1903"/>
      <c r="R27" s="2564"/>
      <c r="S27" s="958"/>
      <c r="T27" s="1904"/>
      <c r="U27" s="1904"/>
      <c r="Y27" s="3100"/>
    </row>
    <row r="28" spans="1:28" ht="15" customHeight="1">
      <c r="B28" s="1888" t="s">
        <v>137</v>
      </c>
      <c r="C28" s="1905">
        <v>2866.44</v>
      </c>
      <c r="D28" s="1905">
        <v>18315</v>
      </c>
      <c r="E28" s="1905">
        <v>1600</v>
      </c>
      <c r="F28" s="1906">
        <v>2407</v>
      </c>
      <c r="G28" s="1907">
        <v>19957</v>
      </c>
      <c r="H28" s="1908">
        <v>15133</v>
      </c>
      <c r="I28" s="1908">
        <v>59189.089780000002</v>
      </c>
      <c r="J28" s="1909">
        <v>1391.62</v>
      </c>
      <c r="K28" s="1874">
        <f t="shared" si="7"/>
        <v>23917.677445000001</v>
      </c>
      <c r="L28" s="1910">
        <v>964.05</v>
      </c>
      <c r="M28" s="952">
        <v>1097</v>
      </c>
      <c r="N28" s="952">
        <v>23664</v>
      </c>
      <c r="O28" s="1911"/>
      <c r="P28" s="2141">
        <f t="shared" ref="P28:P31" si="8">GEOMEAN(L28:O28)</f>
        <v>2925.0375637867128</v>
      </c>
      <c r="Q28" s="1910">
        <v>842.27</v>
      </c>
      <c r="R28" s="2565">
        <v>976.6</v>
      </c>
      <c r="S28" s="952">
        <v>1869</v>
      </c>
      <c r="T28" s="1911">
        <v>1104</v>
      </c>
      <c r="U28" s="1911">
        <v>856.3</v>
      </c>
      <c r="V28" s="2367">
        <v>300</v>
      </c>
      <c r="X28" s="1746">
        <v>3226.67</v>
      </c>
      <c r="Y28" s="3100">
        <v>1650</v>
      </c>
      <c r="Z28" s="3100">
        <v>240</v>
      </c>
      <c r="AA28">
        <v>4900</v>
      </c>
      <c r="AB28" s="3477" t="s">
        <v>336</v>
      </c>
    </row>
    <row r="29" spans="1:28" ht="15" customHeight="1">
      <c r="B29" s="1888" t="s">
        <v>138</v>
      </c>
      <c r="C29" s="1905">
        <v>324.97000000000003</v>
      </c>
      <c r="D29" s="1905">
        <v>7464</v>
      </c>
      <c r="E29" s="1905">
        <v>1708</v>
      </c>
      <c r="F29" s="1906">
        <v>930</v>
      </c>
      <c r="G29" s="1907">
        <v>457</v>
      </c>
      <c r="H29" s="1908">
        <v>11767</v>
      </c>
      <c r="I29" s="1908">
        <v>106038.67110000001</v>
      </c>
      <c r="J29" s="1909">
        <v>1055.53</v>
      </c>
      <c r="K29" s="1874">
        <f t="shared" si="7"/>
        <v>29829.550275000001</v>
      </c>
      <c r="L29" s="1910">
        <v>1116.1199999999999</v>
      </c>
      <c r="M29" s="952">
        <v>6775</v>
      </c>
      <c r="N29" s="952">
        <v>25377</v>
      </c>
      <c r="O29" s="1911"/>
      <c r="P29" s="2141">
        <f t="shared" si="8"/>
        <v>5767.9323299672524</v>
      </c>
      <c r="Q29" s="1910">
        <v>3611</v>
      </c>
      <c r="R29" s="2565">
        <v>11111</v>
      </c>
      <c r="S29" s="952">
        <v>3682</v>
      </c>
      <c r="T29" s="1911">
        <v>442</v>
      </c>
      <c r="U29" s="1911">
        <v>260</v>
      </c>
      <c r="V29" s="2367">
        <v>1761</v>
      </c>
      <c r="X29" s="1746">
        <v>1263.33</v>
      </c>
      <c r="Y29" s="3100">
        <v>54213.33</v>
      </c>
      <c r="Z29" s="3100">
        <v>20</v>
      </c>
      <c r="AA29">
        <v>2400</v>
      </c>
      <c r="AB29" s="3477" t="s">
        <v>336</v>
      </c>
    </row>
    <row r="30" spans="1:28" ht="15" customHeight="1">
      <c r="B30" s="1888" t="s">
        <v>139</v>
      </c>
      <c r="C30" s="1905">
        <v>6175.55</v>
      </c>
      <c r="D30" s="1905">
        <v>354</v>
      </c>
      <c r="E30" s="1905">
        <v>28983</v>
      </c>
      <c r="F30" s="1906">
        <v>12506</v>
      </c>
      <c r="G30" s="1907">
        <v>74833</v>
      </c>
      <c r="H30" s="1908">
        <v>5667</v>
      </c>
      <c r="I30" s="1908">
        <v>11035.69671</v>
      </c>
      <c r="J30" s="1909">
        <v>3566.35</v>
      </c>
      <c r="K30" s="1874">
        <f t="shared" si="7"/>
        <v>23775.511677500002</v>
      </c>
      <c r="L30" s="1910">
        <v>23835.919999999998</v>
      </c>
      <c r="M30" s="952">
        <v>2377</v>
      </c>
      <c r="N30" s="952">
        <v>6197</v>
      </c>
      <c r="O30" s="1911"/>
      <c r="P30" s="2141">
        <f t="shared" si="8"/>
        <v>7054.7376130970115</v>
      </c>
      <c r="Q30" s="1910">
        <v>8300</v>
      </c>
      <c r="R30" s="2565">
        <v>2716.6</v>
      </c>
      <c r="S30" s="952">
        <v>2027</v>
      </c>
      <c r="T30" s="1911">
        <v>693</v>
      </c>
      <c r="U30" s="1911">
        <v>2096.6</v>
      </c>
      <c r="V30" s="2367">
        <v>4566</v>
      </c>
      <c r="X30" s="1746">
        <v>3033.33</v>
      </c>
      <c r="Y30" s="3100">
        <v>6759.67</v>
      </c>
      <c r="Z30" s="3100">
        <v>7300</v>
      </c>
      <c r="AA30">
        <v>13000</v>
      </c>
      <c r="AB30" s="3477" t="s">
        <v>336</v>
      </c>
    </row>
    <row r="31" spans="1:28" ht="15" customHeight="1">
      <c r="B31" s="1888" t="s">
        <v>136</v>
      </c>
      <c r="C31" s="1905">
        <v>16080.33</v>
      </c>
      <c r="D31" s="1905">
        <v>1311</v>
      </c>
      <c r="E31" s="1905">
        <v>61968</v>
      </c>
      <c r="F31" s="1906">
        <v>24372</v>
      </c>
      <c r="G31" s="1907">
        <v>6449</v>
      </c>
      <c r="H31" s="1908">
        <v>25333</v>
      </c>
      <c r="I31" s="1908">
        <v>311549.64610000001</v>
      </c>
      <c r="J31" s="1909">
        <v>2218.5700000000002</v>
      </c>
      <c r="K31" s="1874">
        <f t="shared" si="7"/>
        <v>86387.554025000005</v>
      </c>
      <c r="L31" s="1912">
        <v>19770.72</v>
      </c>
      <c r="M31" s="1913">
        <v>37560</v>
      </c>
      <c r="N31" s="957">
        <v>13748</v>
      </c>
      <c r="O31" s="1911"/>
      <c r="P31" s="2141">
        <f t="shared" si="8"/>
        <v>21693.478589597344</v>
      </c>
      <c r="Q31" s="1912">
        <v>6933.33</v>
      </c>
      <c r="R31" s="2566">
        <v>2413.3000000000002</v>
      </c>
      <c r="S31" s="957">
        <v>8878</v>
      </c>
      <c r="T31" s="1911">
        <v>258</v>
      </c>
      <c r="U31" s="1911">
        <v>1500</v>
      </c>
      <c r="V31" s="2367">
        <v>9263</v>
      </c>
      <c r="X31" s="1746">
        <v>3766.67</v>
      </c>
      <c r="Y31" s="3100">
        <v>4859.67</v>
      </c>
      <c r="Z31" s="3100">
        <v>5400</v>
      </c>
      <c r="AA31">
        <v>160000</v>
      </c>
      <c r="AB31" s="61" t="s">
        <v>336</v>
      </c>
    </row>
    <row r="32" spans="1:28" ht="15" customHeight="1">
      <c r="B32" s="1886" t="s">
        <v>176</v>
      </c>
      <c r="C32" s="1908"/>
      <c r="D32" s="1908"/>
      <c r="E32" s="1908"/>
      <c r="F32" s="1909"/>
      <c r="G32" s="1914"/>
      <c r="H32" s="1851">
        <v>79</v>
      </c>
      <c r="I32" s="1908"/>
      <c r="J32" s="1909"/>
      <c r="K32" s="1874">
        <f t="shared" si="7"/>
        <v>79</v>
      </c>
      <c r="L32" s="1912"/>
      <c r="M32" s="957"/>
      <c r="N32" s="957"/>
      <c r="O32" s="1911"/>
      <c r="P32" s="2141"/>
      <c r="Q32" s="1912"/>
      <c r="R32" s="2567"/>
      <c r="S32" s="957"/>
      <c r="T32" s="1911"/>
      <c r="U32" s="1911"/>
      <c r="V32" s="2367"/>
      <c r="Y32" s="3100"/>
    </row>
    <row r="33" spans="1:28" ht="15" customHeight="1" thickBot="1">
      <c r="B33" s="1889" t="s">
        <v>177</v>
      </c>
      <c r="C33" s="1915"/>
      <c r="D33" s="1915"/>
      <c r="E33" s="1915"/>
      <c r="F33" s="1916"/>
      <c r="G33" s="1917"/>
      <c r="H33" s="1860">
        <v>350</v>
      </c>
      <c r="I33" s="1915"/>
      <c r="J33" s="1916"/>
      <c r="K33" s="1874">
        <f t="shared" si="7"/>
        <v>350</v>
      </c>
      <c r="L33" s="1918"/>
      <c r="M33" s="1919"/>
      <c r="N33" s="1919"/>
      <c r="O33" s="1920"/>
      <c r="P33" s="2141"/>
      <c r="Q33" s="1918"/>
      <c r="R33" s="2568"/>
      <c r="S33" s="1919"/>
      <c r="T33" s="1920"/>
      <c r="U33" s="1920"/>
      <c r="V33" s="2367"/>
      <c r="Y33" s="3100"/>
    </row>
    <row r="34" spans="1:28" s="1040" customFormat="1" ht="15" customHeight="1">
      <c r="A34" s="1064"/>
      <c r="B34" s="1891" t="s">
        <v>285</v>
      </c>
      <c r="C34" s="1892">
        <f>COUNTIF(C27:C33,"&lt;=1000")</f>
        <v>1</v>
      </c>
      <c r="D34" s="1892">
        <f t="shared" ref="D34:AB34" si="9">COUNTIF(D27:D33,"&lt;=1000")</f>
        <v>1</v>
      </c>
      <c r="E34" s="1892">
        <f t="shared" si="9"/>
        <v>0</v>
      </c>
      <c r="F34" s="1892">
        <f t="shared" si="9"/>
        <v>1</v>
      </c>
      <c r="G34" s="1892">
        <f t="shared" si="9"/>
        <v>1</v>
      </c>
      <c r="H34" s="1892">
        <f t="shared" si="9"/>
        <v>2</v>
      </c>
      <c r="I34" s="1892">
        <f t="shared" si="9"/>
        <v>0</v>
      </c>
      <c r="J34" s="1892">
        <f t="shared" si="9"/>
        <v>0</v>
      </c>
      <c r="K34" s="1892">
        <f t="shared" si="9"/>
        <v>2</v>
      </c>
      <c r="L34" s="1892">
        <f t="shared" si="9"/>
        <v>1</v>
      </c>
      <c r="M34" s="1892">
        <f t="shared" si="9"/>
        <v>0</v>
      </c>
      <c r="N34" s="1892">
        <f t="shared" si="9"/>
        <v>0</v>
      </c>
      <c r="O34" s="1892">
        <f t="shared" si="9"/>
        <v>0</v>
      </c>
      <c r="P34" s="1892">
        <f t="shared" si="9"/>
        <v>0</v>
      </c>
      <c r="Q34" s="1892">
        <f t="shared" si="9"/>
        <v>1</v>
      </c>
      <c r="R34" s="1892">
        <f t="shared" si="9"/>
        <v>1</v>
      </c>
      <c r="S34" s="1892">
        <f t="shared" si="9"/>
        <v>0</v>
      </c>
      <c r="T34" s="1892">
        <f t="shared" si="9"/>
        <v>3</v>
      </c>
      <c r="U34" s="1892">
        <f t="shared" si="9"/>
        <v>2</v>
      </c>
      <c r="V34" s="1892">
        <f t="shared" si="9"/>
        <v>1</v>
      </c>
      <c r="W34" s="1892">
        <f t="shared" si="9"/>
        <v>0</v>
      </c>
      <c r="X34" s="1892">
        <f t="shared" si="9"/>
        <v>0</v>
      </c>
      <c r="Y34" s="1892">
        <f t="shared" si="9"/>
        <v>0</v>
      </c>
      <c r="Z34" s="1892">
        <f t="shared" si="9"/>
        <v>2</v>
      </c>
      <c r="AA34" s="1892">
        <f t="shared" si="9"/>
        <v>0</v>
      </c>
      <c r="AB34" s="1892">
        <f t="shared" si="9"/>
        <v>0</v>
      </c>
    </row>
    <row r="35" spans="1:28" s="1040" customFormat="1" ht="15" customHeight="1">
      <c r="A35" s="1064"/>
      <c r="B35" s="1891" t="s">
        <v>287</v>
      </c>
      <c r="C35" s="1892">
        <f>COUNT(C27:C33)</f>
        <v>4</v>
      </c>
      <c r="D35" s="1892">
        <f t="shared" ref="D35:AB35" si="10">COUNT(D27:D33)</f>
        <v>4</v>
      </c>
      <c r="E35" s="1892">
        <f t="shared" si="10"/>
        <v>4</v>
      </c>
      <c r="F35" s="1892">
        <f t="shared" si="10"/>
        <v>4</v>
      </c>
      <c r="G35" s="1892">
        <f t="shared" si="10"/>
        <v>4</v>
      </c>
      <c r="H35" s="1892">
        <f t="shared" si="10"/>
        <v>6</v>
      </c>
      <c r="I35" s="1892">
        <f t="shared" si="10"/>
        <v>4</v>
      </c>
      <c r="J35" s="1892">
        <f t="shared" si="10"/>
        <v>4</v>
      </c>
      <c r="K35" s="1892">
        <f t="shared" si="10"/>
        <v>6</v>
      </c>
      <c r="L35" s="1892">
        <f t="shared" si="10"/>
        <v>4</v>
      </c>
      <c r="M35" s="1892">
        <f t="shared" si="10"/>
        <v>4</v>
      </c>
      <c r="N35" s="1892">
        <f t="shared" si="10"/>
        <v>4</v>
      </c>
      <c r="O35" s="1892">
        <f t="shared" si="10"/>
        <v>0</v>
      </c>
      <c r="P35" s="1892">
        <f t="shared" si="10"/>
        <v>4</v>
      </c>
      <c r="Q35" s="1892">
        <f t="shared" si="10"/>
        <v>4</v>
      </c>
      <c r="R35" s="1892">
        <f t="shared" si="10"/>
        <v>4</v>
      </c>
      <c r="S35" s="1892">
        <f t="shared" si="10"/>
        <v>4</v>
      </c>
      <c r="T35" s="1892">
        <f t="shared" si="10"/>
        <v>4</v>
      </c>
      <c r="U35" s="1892">
        <f t="shared" si="10"/>
        <v>4</v>
      </c>
      <c r="V35" s="1892">
        <f t="shared" si="10"/>
        <v>4</v>
      </c>
      <c r="W35" s="1892">
        <f t="shared" si="10"/>
        <v>0</v>
      </c>
      <c r="X35" s="1892">
        <f t="shared" si="10"/>
        <v>4</v>
      </c>
      <c r="Y35" s="1892">
        <f t="shared" si="10"/>
        <v>4</v>
      </c>
      <c r="Z35" s="1892">
        <f t="shared" si="10"/>
        <v>4</v>
      </c>
      <c r="AA35" s="1892">
        <f t="shared" si="10"/>
        <v>4</v>
      </c>
      <c r="AB35" s="1892">
        <f t="shared" si="10"/>
        <v>0</v>
      </c>
    </row>
    <row r="36" spans="1:28" s="1040" customFormat="1" ht="15" customHeight="1">
      <c r="A36" s="1064"/>
      <c r="B36" s="1891" t="s">
        <v>202</v>
      </c>
      <c r="C36" s="1892">
        <f t="shared" ref="C36" si="11">C34/C35</f>
        <v>0.25</v>
      </c>
      <c r="D36" s="1892">
        <f t="shared" ref="D36:AB36" si="12">D34/D35</f>
        <v>0.25</v>
      </c>
      <c r="E36" s="1892">
        <f t="shared" si="12"/>
        <v>0</v>
      </c>
      <c r="F36" s="1892">
        <f t="shared" si="12"/>
        <v>0.25</v>
      </c>
      <c r="G36" s="1892">
        <f t="shared" si="12"/>
        <v>0.25</v>
      </c>
      <c r="H36" s="1892">
        <f t="shared" si="12"/>
        <v>0.33333333333333331</v>
      </c>
      <c r="I36" s="1892">
        <f t="shared" si="12"/>
        <v>0</v>
      </c>
      <c r="J36" s="1892">
        <f t="shared" si="12"/>
        <v>0</v>
      </c>
      <c r="K36" s="1892">
        <f t="shared" si="12"/>
        <v>0.33333333333333331</v>
      </c>
      <c r="L36" s="1892">
        <f t="shared" si="12"/>
        <v>0.25</v>
      </c>
      <c r="M36" s="1892">
        <f t="shared" si="12"/>
        <v>0</v>
      </c>
      <c r="N36" s="1892">
        <f t="shared" si="12"/>
        <v>0</v>
      </c>
      <c r="O36" s="1892" t="e">
        <f t="shared" si="12"/>
        <v>#DIV/0!</v>
      </c>
      <c r="P36" s="1892">
        <f t="shared" si="12"/>
        <v>0</v>
      </c>
      <c r="Q36" s="1892">
        <f t="shared" si="12"/>
        <v>0.25</v>
      </c>
      <c r="R36" s="1892">
        <f t="shared" si="12"/>
        <v>0.25</v>
      </c>
      <c r="S36" s="1892">
        <f t="shared" si="12"/>
        <v>0</v>
      </c>
      <c r="T36" s="1892">
        <f t="shared" si="12"/>
        <v>0.75</v>
      </c>
      <c r="U36" s="1892">
        <f t="shared" si="12"/>
        <v>0.5</v>
      </c>
      <c r="V36" s="1892">
        <f t="shared" si="12"/>
        <v>0.25</v>
      </c>
      <c r="W36" s="1892" t="e">
        <f t="shared" si="12"/>
        <v>#DIV/0!</v>
      </c>
      <c r="X36" s="1892">
        <f t="shared" si="12"/>
        <v>0</v>
      </c>
      <c r="Y36" s="1892">
        <f t="shared" si="12"/>
        <v>0</v>
      </c>
      <c r="Z36" s="1892">
        <f>Z34/Z35*100</f>
        <v>50</v>
      </c>
      <c r="AA36" s="1892">
        <f t="shared" si="12"/>
        <v>0</v>
      </c>
      <c r="AB36" s="1892" t="e">
        <f t="shared" si="12"/>
        <v>#DIV/0!</v>
      </c>
    </row>
    <row r="37" spans="1:28" ht="15" customHeight="1">
      <c r="B37" s="1891" t="s">
        <v>296</v>
      </c>
      <c r="C37" s="1892">
        <f>COUNTA(B27:B33)</f>
        <v>7</v>
      </c>
      <c r="D37" s="1892">
        <f t="shared" ref="D37:AB37" si="13">COUNTA(C27:C33)</f>
        <v>4</v>
      </c>
      <c r="E37" s="1892">
        <f t="shared" si="13"/>
        <v>4</v>
      </c>
      <c r="F37" s="1892">
        <f t="shared" si="13"/>
        <v>4</v>
      </c>
      <c r="G37" s="1892">
        <f t="shared" si="13"/>
        <v>4</v>
      </c>
      <c r="H37" s="1892">
        <f t="shared" si="13"/>
        <v>4</v>
      </c>
      <c r="I37" s="1892">
        <f t="shared" si="13"/>
        <v>6</v>
      </c>
      <c r="J37" s="1892">
        <f t="shared" si="13"/>
        <v>4</v>
      </c>
      <c r="K37" s="1892">
        <f t="shared" si="13"/>
        <v>4</v>
      </c>
      <c r="L37" s="1892">
        <f t="shared" si="13"/>
        <v>7</v>
      </c>
      <c r="M37" s="1892">
        <f t="shared" si="13"/>
        <v>4</v>
      </c>
      <c r="N37" s="1892">
        <f t="shared" si="13"/>
        <v>4</v>
      </c>
      <c r="O37" s="1892">
        <f t="shared" si="13"/>
        <v>4</v>
      </c>
      <c r="P37" s="1892">
        <f t="shared" si="13"/>
        <v>0</v>
      </c>
      <c r="Q37" s="1892">
        <f t="shared" si="13"/>
        <v>4</v>
      </c>
      <c r="R37" s="1892">
        <f t="shared" si="13"/>
        <v>4</v>
      </c>
      <c r="S37" s="1892">
        <f t="shared" si="13"/>
        <v>4</v>
      </c>
      <c r="T37" s="1892">
        <f t="shared" si="13"/>
        <v>4</v>
      </c>
      <c r="U37" s="1892">
        <f t="shared" si="13"/>
        <v>4</v>
      </c>
      <c r="V37" s="1892">
        <f t="shared" si="13"/>
        <v>4</v>
      </c>
      <c r="W37" s="1892">
        <f t="shared" si="13"/>
        <v>4</v>
      </c>
      <c r="X37" s="1892">
        <f t="shared" si="13"/>
        <v>0</v>
      </c>
      <c r="Y37" s="1892">
        <f t="shared" si="13"/>
        <v>4</v>
      </c>
      <c r="Z37" s="1892">
        <f t="shared" si="13"/>
        <v>4</v>
      </c>
      <c r="AA37" s="1892">
        <f t="shared" si="13"/>
        <v>4</v>
      </c>
      <c r="AB37" s="1892">
        <f t="shared" si="13"/>
        <v>4</v>
      </c>
    </row>
    <row r="38" spans="1:28" ht="15" customHeight="1">
      <c r="B38" s="1923"/>
      <c r="C38" s="1921"/>
      <c r="D38" s="1921"/>
      <c r="E38" s="1921"/>
      <c r="F38" s="1921"/>
      <c r="G38" s="1877"/>
      <c r="H38" s="1877"/>
      <c r="I38" s="1892"/>
      <c r="J38" s="1892"/>
      <c r="K38" s="1892"/>
      <c r="L38" s="1922"/>
      <c r="M38" s="1922"/>
      <c r="N38" s="1922"/>
      <c r="O38" s="1877"/>
      <c r="P38" s="1877"/>
      <c r="Q38" s="1878"/>
      <c r="Y38" s="3100"/>
    </row>
    <row r="39" spans="1:28" ht="15" customHeight="1">
      <c r="B39" s="1877"/>
      <c r="C39" s="1921"/>
      <c r="D39" s="1921"/>
      <c r="E39" s="1877"/>
      <c r="F39" s="3700"/>
      <c r="G39" s="3700"/>
      <c r="H39" s="1877"/>
      <c r="I39" s="1892"/>
      <c r="J39" s="1892"/>
      <c r="K39" s="1892"/>
      <c r="L39" s="1922"/>
      <c r="M39" s="1922"/>
      <c r="N39" s="1877"/>
      <c r="O39" s="3700"/>
      <c r="P39" s="3700"/>
      <c r="Q39" s="3701"/>
      <c r="Y39" s="3100"/>
    </row>
    <row r="40" spans="1:28" ht="15" customHeight="1" thickBot="1">
      <c r="B40" s="1894" t="s">
        <v>300</v>
      </c>
      <c r="C40" s="1892"/>
      <c r="D40" s="1893"/>
      <c r="E40" s="1877"/>
      <c r="F40" s="3702"/>
      <c r="G40" s="3702"/>
      <c r="H40" s="1877"/>
      <c r="I40" s="1892"/>
      <c r="J40" s="1892"/>
      <c r="K40" s="1892"/>
      <c r="L40" s="1922"/>
      <c r="M40" s="1922"/>
      <c r="N40" s="1877"/>
      <c r="O40" s="3702"/>
      <c r="P40" s="3700"/>
      <c r="Q40" s="3701"/>
      <c r="Y40" s="3100"/>
    </row>
    <row r="41" spans="1:28" ht="15" customHeight="1" thickBot="1">
      <c r="B41" s="1895" t="s">
        <v>168</v>
      </c>
      <c r="C41" s="1896">
        <v>1000</v>
      </c>
      <c r="D41" s="1896">
        <v>1000</v>
      </c>
      <c r="E41" s="1896">
        <v>1000</v>
      </c>
      <c r="F41" s="1897">
        <v>1000</v>
      </c>
      <c r="G41" s="1898">
        <v>1000</v>
      </c>
      <c r="H41" s="1896">
        <v>1000</v>
      </c>
      <c r="I41" s="1896">
        <v>1000</v>
      </c>
      <c r="J41" s="1899">
        <v>1000</v>
      </c>
      <c r="K41" s="1924"/>
      <c r="L41" s="1898">
        <v>1000</v>
      </c>
      <c r="M41" s="1896">
        <v>1000</v>
      </c>
      <c r="N41" s="1896">
        <v>1000</v>
      </c>
      <c r="O41" s="1899">
        <v>1000</v>
      </c>
      <c r="P41" s="1899">
        <v>1000</v>
      </c>
      <c r="Q41" s="1898">
        <v>1000</v>
      </c>
      <c r="R41" s="1896">
        <v>1000</v>
      </c>
      <c r="S41" s="1896">
        <v>1000</v>
      </c>
      <c r="T41" s="1899">
        <v>1000</v>
      </c>
      <c r="U41" s="1899">
        <v>1000</v>
      </c>
      <c r="V41" s="1899">
        <v>1000</v>
      </c>
      <c r="W41" s="1899">
        <v>1000</v>
      </c>
      <c r="X41" s="1899">
        <v>1000</v>
      </c>
      <c r="Y41" s="3124">
        <v>1000</v>
      </c>
      <c r="Z41" s="1899">
        <v>1000</v>
      </c>
      <c r="AA41" s="1899">
        <v>1000</v>
      </c>
      <c r="AB41" s="1899">
        <v>1000</v>
      </c>
    </row>
    <row r="42" spans="1:28" ht="15" customHeight="1">
      <c r="B42" s="1925" t="s">
        <v>183</v>
      </c>
      <c r="C42" s="1926"/>
      <c r="D42" s="1926"/>
      <c r="E42" s="1926"/>
      <c r="F42" s="1927"/>
      <c r="G42" s="1928">
        <v>100</v>
      </c>
      <c r="H42" s="1929">
        <v>1750</v>
      </c>
      <c r="I42" s="1926">
        <v>16000</v>
      </c>
      <c r="J42" s="1930">
        <v>866.66</v>
      </c>
      <c r="K42" s="1874">
        <f t="shared" ref="K42:K51" si="14">AVERAGE(G42:J42)</f>
        <v>4679.165</v>
      </c>
      <c r="L42" s="1931">
        <v>1115</v>
      </c>
      <c r="M42" s="1932">
        <v>399</v>
      </c>
      <c r="N42" s="953">
        <v>2747.31</v>
      </c>
      <c r="O42" s="1933">
        <v>1107.33</v>
      </c>
      <c r="P42" s="2141">
        <f t="shared" ref="P42:P51" si="15">GEOMEAN(L42:O42)</f>
        <v>1078.5943078512234</v>
      </c>
      <c r="Q42" s="1931">
        <v>123.94</v>
      </c>
      <c r="R42" s="1932">
        <v>386.7</v>
      </c>
      <c r="S42" s="953">
        <v>1533</v>
      </c>
      <c r="T42" s="1933">
        <v>943.3</v>
      </c>
      <c r="U42" s="1933">
        <v>386.67</v>
      </c>
      <c r="V42" s="1933">
        <v>1243.33</v>
      </c>
      <c r="W42" s="2367"/>
      <c r="Y42" s="3100">
        <v>195.63890000000001</v>
      </c>
      <c r="Z42" s="3100">
        <v>1016.396</v>
      </c>
      <c r="AA42">
        <v>3872.9830000000002</v>
      </c>
      <c r="AB42" s="3100">
        <v>1717.9</v>
      </c>
    </row>
    <row r="43" spans="1:28" ht="15" customHeight="1">
      <c r="B43" s="1888" t="s">
        <v>140</v>
      </c>
      <c r="C43" s="1905">
        <v>13207.71</v>
      </c>
      <c r="D43" s="1905">
        <v>90000</v>
      </c>
      <c r="E43" s="1905">
        <v>5000</v>
      </c>
      <c r="F43" s="1906">
        <v>80150</v>
      </c>
      <c r="G43" s="1907">
        <v>81400</v>
      </c>
      <c r="H43" s="1908">
        <v>53000</v>
      </c>
      <c r="I43" s="1908">
        <v>160000</v>
      </c>
      <c r="J43" s="1934">
        <v>18049.240000000002</v>
      </c>
      <c r="K43" s="1874">
        <f t="shared" si="14"/>
        <v>78112.31</v>
      </c>
      <c r="L43" s="1912">
        <v>35537</v>
      </c>
      <c r="M43" s="1935">
        <v>25533</v>
      </c>
      <c r="N43" s="951">
        <v>42506.34</v>
      </c>
      <c r="O43" s="1936">
        <v>26333.33</v>
      </c>
      <c r="P43" s="2141">
        <f t="shared" si="15"/>
        <v>31745.74513054793</v>
      </c>
      <c r="Q43" s="1912">
        <v>34897.660000000003</v>
      </c>
      <c r="R43" s="2569">
        <v>24000</v>
      </c>
      <c r="S43" s="951">
        <v>50000</v>
      </c>
      <c r="T43" s="1936">
        <v>40666</v>
      </c>
      <c r="U43" s="1936">
        <v>256666.67</v>
      </c>
      <c r="V43" s="1936">
        <v>843333.33</v>
      </c>
      <c r="W43" s="2367"/>
      <c r="Y43" s="3100">
        <v>3435.38</v>
      </c>
      <c r="Z43" s="3100">
        <v>8434.3269999999993</v>
      </c>
      <c r="AA43">
        <v>8572.6188820000007</v>
      </c>
      <c r="AB43" s="3100">
        <v>409878</v>
      </c>
    </row>
    <row r="44" spans="1:28" ht="15" customHeight="1">
      <c r="B44" s="1937" t="s">
        <v>182</v>
      </c>
      <c r="C44" s="1908"/>
      <c r="D44" s="1908"/>
      <c r="E44" s="1908"/>
      <c r="F44" s="1909"/>
      <c r="G44" s="1938">
        <v>80</v>
      </c>
      <c r="H44" s="1851">
        <v>2565</v>
      </c>
      <c r="I44" s="1908">
        <v>9000</v>
      </c>
      <c r="J44" s="1934">
        <v>196.66</v>
      </c>
      <c r="K44" s="1874">
        <f t="shared" si="14"/>
        <v>2960.415</v>
      </c>
      <c r="L44" s="1939">
        <v>465.4</v>
      </c>
      <c r="M44" s="1940">
        <v>303</v>
      </c>
      <c r="N44" s="877">
        <v>768.35</v>
      </c>
      <c r="O44" s="1936"/>
      <c r="P44" s="2141">
        <f t="shared" si="15"/>
        <v>476.7338990636357</v>
      </c>
      <c r="Q44" s="1939">
        <v>159.47999999999999</v>
      </c>
      <c r="R44" s="1940">
        <v>390</v>
      </c>
      <c r="S44" s="877">
        <v>576</v>
      </c>
      <c r="T44" s="1936">
        <v>8565</v>
      </c>
      <c r="U44" s="1936">
        <v>170</v>
      </c>
      <c r="V44" s="1936">
        <v>443.33</v>
      </c>
      <c r="W44" s="2367"/>
      <c r="Y44" s="3100">
        <v>528</v>
      </c>
      <c r="Z44" s="3100">
        <v>503.17970000000003</v>
      </c>
      <c r="AA44">
        <v>659.8499812</v>
      </c>
      <c r="AB44" s="3100">
        <v>1442.7</v>
      </c>
    </row>
    <row r="45" spans="1:28" ht="15" customHeight="1">
      <c r="B45" s="1888" t="s">
        <v>142</v>
      </c>
      <c r="C45" s="1905">
        <v>16286.51</v>
      </c>
      <c r="D45" s="1905">
        <v>1225</v>
      </c>
      <c r="E45" s="1905">
        <v>16000</v>
      </c>
      <c r="F45" s="1906">
        <v>4555</v>
      </c>
      <c r="G45" s="1907">
        <v>4585</v>
      </c>
      <c r="H45" s="1908">
        <v>1750</v>
      </c>
      <c r="I45" s="1908">
        <v>16000</v>
      </c>
      <c r="J45" s="1934">
        <v>456.66</v>
      </c>
      <c r="K45" s="1874">
        <f t="shared" si="14"/>
        <v>5697.915</v>
      </c>
      <c r="L45" s="1941">
        <v>1841</v>
      </c>
      <c r="M45" s="1942">
        <v>2256</v>
      </c>
      <c r="N45" s="954">
        <v>57689.98</v>
      </c>
      <c r="O45" s="1936">
        <v>6370</v>
      </c>
      <c r="P45" s="2141">
        <f t="shared" si="15"/>
        <v>6250.4052507404804</v>
      </c>
      <c r="Q45" s="1941">
        <v>7368.06</v>
      </c>
      <c r="R45" s="1942">
        <v>130</v>
      </c>
      <c r="S45" s="954">
        <v>11000</v>
      </c>
      <c r="T45" s="1936">
        <v>5666.7</v>
      </c>
      <c r="U45" s="1936">
        <v>626.66999999999996</v>
      </c>
      <c r="V45" s="1936">
        <v>10490</v>
      </c>
      <c r="W45" s="2367"/>
      <c r="Y45" s="3100">
        <v>7890.701</v>
      </c>
      <c r="Z45" s="3100">
        <v>7656.277</v>
      </c>
      <c r="AA45">
        <v>13177.064549999999</v>
      </c>
      <c r="AB45" s="3100">
        <v>41398</v>
      </c>
    </row>
    <row r="46" spans="1:28" ht="15" customHeight="1">
      <c r="B46" s="1888" t="s">
        <v>141</v>
      </c>
      <c r="C46" s="1905">
        <v>13444.21</v>
      </c>
      <c r="D46" s="1905">
        <v>1225</v>
      </c>
      <c r="E46" s="1905">
        <v>5000</v>
      </c>
      <c r="F46" s="1906">
        <v>1559</v>
      </c>
      <c r="G46" s="1907">
        <v>4750</v>
      </c>
      <c r="H46" s="1908">
        <v>4000</v>
      </c>
      <c r="I46" s="1908">
        <v>30000</v>
      </c>
      <c r="J46" s="1934">
        <v>413.33</v>
      </c>
      <c r="K46" s="1874">
        <f t="shared" si="14"/>
        <v>9790.8325000000004</v>
      </c>
      <c r="L46" s="1910">
        <v>186.4</v>
      </c>
      <c r="M46" s="1943">
        <v>601</v>
      </c>
      <c r="N46" s="1944">
        <v>42594.71</v>
      </c>
      <c r="O46" s="1911">
        <v>6700</v>
      </c>
      <c r="P46" s="2141">
        <f t="shared" si="15"/>
        <v>2377.8678340202223</v>
      </c>
      <c r="Q46" s="1910">
        <v>716.09</v>
      </c>
      <c r="R46" s="1943">
        <v>103.3</v>
      </c>
      <c r="S46" s="1944">
        <v>6500</v>
      </c>
      <c r="T46" s="1911">
        <v>5576.7</v>
      </c>
      <c r="U46" s="1911">
        <v>876.67</v>
      </c>
      <c r="V46" s="1911">
        <v>16876.669999999998</v>
      </c>
      <c r="W46" s="2367"/>
      <c r="Y46" s="3100">
        <v>9535.42</v>
      </c>
      <c r="Z46" s="3100">
        <v>1792.5619999999999</v>
      </c>
      <c r="AA46">
        <v>10720.21682</v>
      </c>
      <c r="AB46" s="3100">
        <v>33990</v>
      </c>
    </row>
    <row r="47" spans="1:28" ht="15" customHeight="1">
      <c r="B47" s="1888" t="s">
        <v>147</v>
      </c>
      <c r="C47" s="1905">
        <v>19389.91</v>
      </c>
      <c r="D47" s="1905">
        <v>1643</v>
      </c>
      <c r="E47" s="1905">
        <v>1600</v>
      </c>
      <c r="F47" s="1906">
        <v>885</v>
      </c>
      <c r="G47" s="1907">
        <v>1212</v>
      </c>
      <c r="H47" s="1908">
        <v>400</v>
      </c>
      <c r="I47" s="1908">
        <v>16000</v>
      </c>
      <c r="J47" s="1934">
        <v>83.66</v>
      </c>
      <c r="K47" s="1874">
        <f t="shared" si="14"/>
        <v>4423.915</v>
      </c>
      <c r="L47" s="1910">
        <v>3271</v>
      </c>
      <c r="M47" s="1943">
        <v>994</v>
      </c>
      <c r="N47" s="1944">
        <v>51706.43</v>
      </c>
      <c r="O47" s="1911">
        <v>11366.67</v>
      </c>
      <c r="P47" s="2141">
        <f t="shared" si="15"/>
        <v>6611.6702188989475</v>
      </c>
      <c r="Q47" s="1910">
        <v>512.99</v>
      </c>
      <c r="R47" s="1943">
        <v>300</v>
      </c>
      <c r="S47" s="1944">
        <v>4933</v>
      </c>
      <c r="T47" s="1911">
        <v>15933</v>
      </c>
      <c r="U47" s="1911">
        <v>1643.33</v>
      </c>
      <c r="V47" s="1911">
        <v>16770</v>
      </c>
      <c r="W47" s="2367"/>
      <c r="Y47" s="3100">
        <v>3713.27</v>
      </c>
      <c r="Z47" s="3100">
        <v>4379.5190000000002</v>
      </c>
      <c r="AA47">
        <v>10026.595869999999</v>
      </c>
      <c r="AB47" s="3100">
        <v>5403.6</v>
      </c>
    </row>
    <row r="48" spans="1:28" ht="15" customHeight="1">
      <c r="B48" s="1888" t="s">
        <v>146</v>
      </c>
      <c r="C48" s="1905">
        <v>5241.4799999999996</v>
      </c>
      <c r="D48" s="1905">
        <v>1960</v>
      </c>
      <c r="E48" s="1905">
        <v>2400</v>
      </c>
      <c r="F48" s="1906">
        <v>390</v>
      </c>
      <c r="G48" s="1907">
        <v>215</v>
      </c>
      <c r="H48" s="1908">
        <v>885</v>
      </c>
      <c r="I48" s="1908">
        <v>50000</v>
      </c>
      <c r="J48" s="1934">
        <v>566.66</v>
      </c>
      <c r="K48" s="1874">
        <f t="shared" si="14"/>
        <v>12916.665000000001</v>
      </c>
      <c r="L48" s="1910">
        <v>5171</v>
      </c>
      <c r="M48" s="1943">
        <v>2612</v>
      </c>
      <c r="N48" s="1944">
        <v>42283.79</v>
      </c>
      <c r="O48" s="1911">
        <v>23000</v>
      </c>
      <c r="P48" s="2141">
        <f t="shared" si="15"/>
        <v>10705.633299949815</v>
      </c>
      <c r="Q48" s="1910">
        <v>444.8</v>
      </c>
      <c r="R48" s="1943">
        <v>586.70000000000005</v>
      </c>
      <c r="S48" s="1944">
        <v>32100</v>
      </c>
      <c r="T48" s="1911">
        <v>4056.6</v>
      </c>
      <c r="U48" s="1911">
        <v>393.33</v>
      </c>
      <c r="V48" s="1911">
        <v>17006.669999999998</v>
      </c>
      <c r="W48" s="2367"/>
      <c r="Y48" s="3100">
        <v>7663.09</v>
      </c>
      <c r="Z48" s="3100">
        <v>969.0521</v>
      </c>
      <c r="AA48">
        <v>24272.36</v>
      </c>
      <c r="AB48" s="3100">
        <v>5001.6000000000004</v>
      </c>
    </row>
    <row r="49" spans="1:28" ht="15" customHeight="1">
      <c r="B49" s="1888" t="s">
        <v>145</v>
      </c>
      <c r="C49" s="1905">
        <v>8962.81</v>
      </c>
      <c r="D49" s="1905">
        <v>520</v>
      </c>
      <c r="E49" s="1905">
        <v>9000</v>
      </c>
      <c r="F49" s="1906">
        <v>5350</v>
      </c>
      <c r="G49" s="1907">
        <v>1050</v>
      </c>
      <c r="H49" s="1908">
        <v>900</v>
      </c>
      <c r="I49" s="1908">
        <v>90000</v>
      </c>
      <c r="J49" s="1934">
        <v>18333.330000000002</v>
      </c>
      <c r="K49" s="1874">
        <f t="shared" si="14"/>
        <v>27570.8325</v>
      </c>
      <c r="L49" s="1910">
        <v>48658</v>
      </c>
      <c r="M49" s="1943">
        <v>25928</v>
      </c>
      <c r="N49" s="1944">
        <v>209659.31</v>
      </c>
      <c r="O49" s="1911">
        <v>12633.33</v>
      </c>
      <c r="P49" s="2141">
        <f t="shared" si="15"/>
        <v>42755.18758735263</v>
      </c>
      <c r="Q49" s="1910">
        <v>6082.2</v>
      </c>
      <c r="R49" s="1943">
        <v>24333</v>
      </c>
      <c r="S49" s="1944">
        <v>48000</v>
      </c>
      <c r="T49" s="1911">
        <v>86000</v>
      </c>
      <c r="U49" s="1911">
        <v>19000</v>
      </c>
      <c r="V49" s="1911">
        <v>40333.33</v>
      </c>
      <c r="W49" s="2367"/>
      <c r="Y49" s="3100">
        <v>80000</v>
      </c>
      <c r="Z49" s="3100">
        <v>20199.009999999998</v>
      </c>
      <c r="AA49">
        <v>49455.423600000002</v>
      </c>
      <c r="AB49" s="3100">
        <v>41689</v>
      </c>
    </row>
    <row r="50" spans="1:28" ht="15" customHeight="1">
      <c r="B50" s="1888" t="s">
        <v>144</v>
      </c>
      <c r="C50" s="1905">
        <v>16286.51</v>
      </c>
      <c r="D50" s="1905">
        <v>1225</v>
      </c>
      <c r="E50" s="1905">
        <v>3000</v>
      </c>
      <c r="F50" s="1906">
        <v>9100</v>
      </c>
      <c r="G50" s="1907">
        <v>1650</v>
      </c>
      <c r="H50" s="1908">
        <v>1050</v>
      </c>
      <c r="I50" s="1908">
        <v>90000</v>
      </c>
      <c r="J50" s="1934">
        <v>8000</v>
      </c>
      <c r="K50" s="1874">
        <f t="shared" si="14"/>
        <v>25175</v>
      </c>
      <c r="L50" s="1910">
        <v>7714</v>
      </c>
      <c r="M50" s="1943">
        <v>24950</v>
      </c>
      <c r="N50" s="1944" t="s">
        <v>341</v>
      </c>
      <c r="O50" s="1911">
        <v>16400</v>
      </c>
      <c r="P50" s="2141">
        <f t="shared" si="15"/>
        <v>14668.91563538538</v>
      </c>
      <c r="Q50" s="1910">
        <v>18643.400000000001</v>
      </c>
      <c r="R50" s="1943">
        <v>7267</v>
      </c>
      <c r="S50" s="1944">
        <v>16666</v>
      </c>
      <c r="T50" s="1911">
        <v>64000</v>
      </c>
      <c r="U50" s="1911">
        <v>21666.67</v>
      </c>
      <c r="V50" s="1911">
        <v>210000</v>
      </c>
      <c r="W50" s="2367"/>
      <c r="Y50" s="3100">
        <v>57689.9</v>
      </c>
      <c r="Z50" s="3100">
        <v>32822.43</v>
      </c>
      <c r="AA50">
        <v>43817.8</v>
      </c>
      <c r="AB50" s="3100">
        <v>125221</v>
      </c>
    </row>
    <row r="51" spans="1:28" ht="15" customHeight="1" thickBot="1">
      <c r="B51" s="1888" t="s">
        <v>143</v>
      </c>
      <c r="C51" s="1905">
        <v>8962.81</v>
      </c>
      <c r="D51" s="1905">
        <v>1643</v>
      </c>
      <c r="E51" s="1905">
        <v>500</v>
      </c>
      <c r="F51" s="1906">
        <v>570</v>
      </c>
      <c r="G51" s="1907">
        <v>29</v>
      </c>
      <c r="H51" s="1908">
        <v>1565</v>
      </c>
      <c r="I51" s="1908">
        <v>50000</v>
      </c>
      <c r="J51" s="1934">
        <v>676.66</v>
      </c>
      <c r="K51" s="1874">
        <f t="shared" si="14"/>
        <v>13067.665000000001</v>
      </c>
      <c r="L51" s="1945">
        <v>1533</v>
      </c>
      <c r="M51" s="1946">
        <v>557</v>
      </c>
      <c r="N51" s="1947">
        <v>12387.36</v>
      </c>
      <c r="O51" s="1920">
        <v>576.6</v>
      </c>
      <c r="P51" s="2141">
        <f t="shared" si="15"/>
        <v>1571.4938538408871</v>
      </c>
      <c r="Q51" s="1945">
        <v>1292.6600000000001</v>
      </c>
      <c r="R51" s="1946">
        <v>1433</v>
      </c>
      <c r="S51" s="1947">
        <v>35333</v>
      </c>
      <c r="T51" s="1920">
        <v>40076.699999999997</v>
      </c>
      <c r="U51" s="1920">
        <v>1103.33</v>
      </c>
      <c r="V51" s="1920">
        <v>890</v>
      </c>
      <c r="W51" s="2367"/>
      <c r="Y51" s="3100">
        <v>2027.13</v>
      </c>
      <c r="Z51" s="3100">
        <v>396.63850000000002</v>
      </c>
      <c r="AA51">
        <v>35006.801399999997</v>
      </c>
      <c r="AB51" s="3100">
        <v>2881.3</v>
      </c>
    </row>
    <row r="52" spans="1:28" s="1040" customFormat="1" ht="15" customHeight="1">
      <c r="A52" s="1064"/>
      <c r="B52" s="1891" t="s">
        <v>285</v>
      </c>
      <c r="C52" s="1892">
        <f>COUNTIF(C42:C51,"&lt;=1000")</f>
        <v>0</v>
      </c>
      <c r="D52" s="1892">
        <f t="shared" ref="D52:AB52" si="16">COUNTIF(D42:D51,"&lt;=1000")</f>
        <v>1</v>
      </c>
      <c r="E52" s="1892">
        <f t="shared" si="16"/>
        <v>1</v>
      </c>
      <c r="F52" s="1892">
        <f t="shared" si="16"/>
        <v>3</v>
      </c>
      <c r="G52" s="1892">
        <f t="shared" si="16"/>
        <v>4</v>
      </c>
      <c r="H52" s="1892">
        <f t="shared" si="16"/>
        <v>3</v>
      </c>
      <c r="I52" s="1892">
        <f t="shared" si="16"/>
        <v>0</v>
      </c>
      <c r="J52" s="1892">
        <f t="shared" si="16"/>
        <v>7</v>
      </c>
      <c r="K52" s="1892">
        <f t="shared" si="16"/>
        <v>0</v>
      </c>
      <c r="L52" s="1892">
        <f t="shared" si="16"/>
        <v>2</v>
      </c>
      <c r="M52" s="1892">
        <f t="shared" si="16"/>
        <v>5</v>
      </c>
      <c r="N52" s="1892">
        <f t="shared" si="16"/>
        <v>1</v>
      </c>
      <c r="O52" s="1892">
        <f t="shared" si="16"/>
        <v>1</v>
      </c>
      <c r="P52" s="1892">
        <f t="shared" si="16"/>
        <v>1</v>
      </c>
      <c r="Q52" s="1892">
        <f t="shared" si="16"/>
        <v>5</v>
      </c>
      <c r="R52" s="1892">
        <f t="shared" si="16"/>
        <v>6</v>
      </c>
      <c r="S52" s="1892">
        <f t="shared" si="16"/>
        <v>1</v>
      </c>
      <c r="T52" s="1892">
        <f t="shared" si="16"/>
        <v>1</v>
      </c>
      <c r="U52" s="1892">
        <f t="shared" si="16"/>
        <v>5</v>
      </c>
      <c r="V52" s="1892">
        <f t="shared" si="16"/>
        <v>2</v>
      </c>
      <c r="W52" s="1892">
        <f t="shared" si="16"/>
        <v>0</v>
      </c>
      <c r="X52" s="1892">
        <f t="shared" si="16"/>
        <v>0</v>
      </c>
      <c r="Y52" s="1892">
        <f t="shared" si="16"/>
        <v>2</v>
      </c>
      <c r="Z52" s="1892">
        <f t="shared" si="16"/>
        <v>3</v>
      </c>
      <c r="AA52" s="1892">
        <f t="shared" si="16"/>
        <v>1</v>
      </c>
      <c r="AB52" s="1892">
        <f t="shared" si="16"/>
        <v>0</v>
      </c>
    </row>
    <row r="53" spans="1:28" s="1040" customFormat="1" ht="15" customHeight="1">
      <c r="A53" s="1064"/>
      <c r="B53" s="1891" t="s">
        <v>287</v>
      </c>
      <c r="C53" s="1892">
        <f>COUNT(C42:C51)</f>
        <v>8</v>
      </c>
      <c r="D53" s="1892">
        <f t="shared" ref="D53:AB53" si="17">COUNT(D42:D51)</f>
        <v>8</v>
      </c>
      <c r="E53" s="1892">
        <f t="shared" si="17"/>
        <v>8</v>
      </c>
      <c r="F53" s="1892">
        <f t="shared" si="17"/>
        <v>8</v>
      </c>
      <c r="G53" s="1892">
        <f t="shared" si="17"/>
        <v>10</v>
      </c>
      <c r="H53" s="1892">
        <f t="shared" si="17"/>
        <v>10</v>
      </c>
      <c r="I53" s="1892">
        <f t="shared" si="17"/>
        <v>10</v>
      </c>
      <c r="J53" s="1892">
        <f t="shared" si="17"/>
        <v>10</v>
      </c>
      <c r="K53" s="1892">
        <f t="shared" si="17"/>
        <v>10</v>
      </c>
      <c r="L53" s="1892">
        <f t="shared" si="17"/>
        <v>10</v>
      </c>
      <c r="M53" s="1892">
        <f t="shared" si="17"/>
        <v>10</v>
      </c>
      <c r="N53" s="1892">
        <f t="shared" si="17"/>
        <v>9</v>
      </c>
      <c r="O53" s="1892">
        <f t="shared" si="17"/>
        <v>9</v>
      </c>
      <c r="P53" s="1892">
        <f t="shared" si="17"/>
        <v>10</v>
      </c>
      <c r="Q53" s="1892">
        <f t="shared" si="17"/>
        <v>10</v>
      </c>
      <c r="R53" s="1892">
        <f t="shared" si="17"/>
        <v>10</v>
      </c>
      <c r="S53" s="1892">
        <f t="shared" si="17"/>
        <v>10</v>
      </c>
      <c r="T53" s="1892">
        <f t="shared" si="17"/>
        <v>10</v>
      </c>
      <c r="U53" s="1892">
        <f t="shared" si="17"/>
        <v>10</v>
      </c>
      <c r="V53" s="1892">
        <f t="shared" si="17"/>
        <v>10</v>
      </c>
      <c r="W53" s="1892">
        <f t="shared" si="17"/>
        <v>0</v>
      </c>
      <c r="X53" s="1892">
        <f t="shared" si="17"/>
        <v>0</v>
      </c>
      <c r="Y53" s="1892">
        <f t="shared" si="17"/>
        <v>10</v>
      </c>
      <c r="Z53" s="1892">
        <f t="shared" si="17"/>
        <v>10</v>
      </c>
      <c r="AA53" s="1892">
        <f t="shared" si="17"/>
        <v>10</v>
      </c>
      <c r="AB53" s="1892">
        <f t="shared" si="17"/>
        <v>10</v>
      </c>
    </row>
    <row r="54" spans="1:28" s="1040" customFormat="1" ht="15" customHeight="1">
      <c r="A54" s="1064"/>
      <c r="B54" s="1891" t="s">
        <v>202</v>
      </c>
      <c r="C54" s="1892">
        <f t="shared" ref="C54" si="18">C52/C53</f>
        <v>0</v>
      </c>
      <c r="D54" s="1892">
        <f t="shared" ref="D54:AB54" si="19">D52/D53</f>
        <v>0.125</v>
      </c>
      <c r="E54" s="1892">
        <f t="shared" si="19"/>
        <v>0.125</v>
      </c>
      <c r="F54" s="1892">
        <f t="shared" si="19"/>
        <v>0.375</v>
      </c>
      <c r="G54" s="1892">
        <f t="shared" si="19"/>
        <v>0.4</v>
      </c>
      <c r="H54" s="1892">
        <f t="shared" si="19"/>
        <v>0.3</v>
      </c>
      <c r="I54" s="1892">
        <f t="shared" si="19"/>
        <v>0</v>
      </c>
      <c r="J54" s="1892">
        <f t="shared" si="19"/>
        <v>0.7</v>
      </c>
      <c r="K54" s="1892">
        <f t="shared" si="19"/>
        <v>0</v>
      </c>
      <c r="L54" s="1892">
        <f t="shared" si="19"/>
        <v>0.2</v>
      </c>
      <c r="M54" s="1892">
        <f t="shared" si="19"/>
        <v>0.5</v>
      </c>
      <c r="N54" s="1892">
        <f t="shared" si="19"/>
        <v>0.1111111111111111</v>
      </c>
      <c r="O54" s="1892">
        <f t="shared" si="19"/>
        <v>0.1111111111111111</v>
      </c>
      <c r="P54" s="1892">
        <f t="shared" si="19"/>
        <v>0.1</v>
      </c>
      <c r="Q54" s="1892">
        <f t="shared" si="19"/>
        <v>0.5</v>
      </c>
      <c r="R54" s="1892">
        <f t="shared" si="19"/>
        <v>0.6</v>
      </c>
      <c r="S54" s="1892">
        <f t="shared" si="19"/>
        <v>0.1</v>
      </c>
      <c r="T54" s="1892">
        <f t="shared" si="19"/>
        <v>0.1</v>
      </c>
      <c r="U54" s="1892">
        <f t="shared" si="19"/>
        <v>0.5</v>
      </c>
      <c r="V54" s="1892">
        <f t="shared" si="19"/>
        <v>0.2</v>
      </c>
      <c r="W54" s="1892" t="e">
        <f t="shared" si="19"/>
        <v>#DIV/0!</v>
      </c>
      <c r="X54" s="1892" t="e">
        <f t="shared" si="19"/>
        <v>#DIV/0!</v>
      </c>
      <c r="Y54" s="1892">
        <f t="shared" si="19"/>
        <v>0.2</v>
      </c>
      <c r="Z54" s="1892">
        <f t="shared" si="19"/>
        <v>0.3</v>
      </c>
      <c r="AA54" s="1892">
        <f t="shared" si="19"/>
        <v>0.1</v>
      </c>
      <c r="AB54" s="1892">
        <f t="shared" si="19"/>
        <v>0</v>
      </c>
    </row>
    <row r="55" spans="1:28" s="1040" customFormat="1" ht="15" customHeight="1">
      <c r="A55" s="4" t="s">
        <v>291</v>
      </c>
      <c r="B55" s="1923"/>
      <c r="C55" s="1921"/>
      <c r="D55" s="1921"/>
      <c r="E55" s="1921"/>
      <c r="F55" s="1921"/>
      <c r="G55" s="1877"/>
      <c r="H55" s="1877"/>
      <c r="I55" s="1892"/>
      <c r="J55" s="1892"/>
      <c r="K55" s="1892"/>
      <c r="L55" s="1892"/>
      <c r="M55" s="1892"/>
      <c r="N55" s="1892"/>
      <c r="O55" s="1877"/>
      <c r="P55" s="1877"/>
      <c r="Q55" s="1878"/>
      <c r="U55" s="2367"/>
      <c r="X55" s="1746"/>
    </row>
    <row r="56" spans="1:28" s="4" customFormat="1" ht="15" customHeight="1">
      <c r="B56" s="1948" t="s">
        <v>285</v>
      </c>
      <c r="C56" s="1949">
        <f t="shared" ref="C56:AB56" si="20">SUM(C19,C34,C52)</f>
        <v>1</v>
      </c>
      <c r="D56" s="1949">
        <f t="shared" si="20"/>
        <v>2</v>
      </c>
      <c r="E56" s="1949">
        <f t="shared" si="20"/>
        <v>1</v>
      </c>
      <c r="F56" s="1949">
        <f t="shared" si="20"/>
        <v>4</v>
      </c>
      <c r="G56" s="1949">
        <f t="shared" si="20"/>
        <v>5</v>
      </c>
      <c r="H56" s="1949">
        <f t="shared" si="20"/>
        <v>5</v>
      </c>
      <c r="I56" s="1949">
        <f t="shared" si="20"/>
        <v>0</v>
      </c>
      <c r="J56" s="1949">
        <f t="shared" si="20"/>
        <v>7</v>
      </c>
      <c r="K56" s="1949">
        <f t="shared" si="20"/>
        <v>2</v>
      </c>
      <c r="L56" s="1949">
        <f t="shared" si="20"/>
        <v>3</v>
      </c>
      <c r="M56" s="1949">
        <f t="shared" si="20"/>
        <v>5</v>
      </c>
      <c r="N56" s="1949">
        <f t="shared" si="20"/>
        <v>1</v>
      </c>
      <c r="O56" s="1949">
        <f t="shared" si="20"/>
        <v>1</v>
      </c>
      <c r="P56" s="1949">
        <f t="shared" si="20"/>
        <v>1</v>
      </c>
      <c r="Q56" s="1949">
        <f t="shared" si="20"/>
        <v>6</v>
      </c>
      <c r="R56" s="1949">
        <f t="shared" si="20"/>
        <v>7</v>
      </c>
      <c r="S56" s="1949">
        <f t="shared" si="20"/>
        <v>1</v>
      </c>
      <c r="T56" s="1949">
        <f t="shared" si="20"/>
        <v>4</v>
      </c>
      <c r="U56" s="1949">
        <f t="shared" si="20"/>
        <v>7</v>
      </c>
      <c r="V56" s="1949">
        <f t="shared" si="20"/>
        <v>3</v>
      </c>
      <c r="W56" s="1949">
        <f t="shared" si="20"/>
        <v>0</v>
      </c>
      <c r="X56" s="1949">
        <f t="shared" si="20"/>
        <v>0</v>
      </c>
      <c r="Y56" s="1949">
        <f t="shared" si="20"/>
        <v>2</v>
      </c>
      <c r="Z56" s="1949">
        <f t="shared" si="20"/>
        <v>5</v>
      </c>
      <c r="AA56" s="1949">
        <f t="shared" si="20"/>
        <v>1</v>
      </c>
      <c r="AB56" s="1949">
        <f t="shared" si="20"/>
        <v>0</v>
      </c>
    </row>
    <row r="57" spans="1:28" s="4" customFormat="1" ht="15" customHeight="1">
      <c r="B57" s="1948" t="s">
        <v>287</v>
      </c>
      <c r="C57" s="1949">
        <f t="shared" ref="C57:AB57" si="21">SUM(C20,C35,C53)</f>
        <v>14</v>
      </c>
      <c r="D57" s="1949">
        <f t="shared" si="21"/>
        <v>14</v>
      </c>
      <c r="E57" s="1949">
        <f t="shared" si="21"/>
        <v>14</v>
      </c>
      <c r="F57" s="1949">
        <f t="shared" si="21"/>
        <v>14</v>
      </c>
      <c r="G57" s="1949">
        <f t="shared" si="21"/>
        <v>16</v>
      </c>
      <c r="H57" s="1949">
        <f t="shared" si="21"/>
        <v>21</v>
      </c>
      <c r="I57" s="1949">
        <f t="shared" si="21"/>
        <v>14</v>
      </c>
      <c r="J57" s="1949">
        <f t="shared" si="21"/>
        <v>14</v>
      </c>
      <c r="K57" s="1949">
        <f t="shared" si="21"/>
        <v>21</v>
      </c>
      <c r="L57" s="1949">
        <f t="shared" si="21"/>
        <v>19</v>
      </c>
      <c r="M57" s="1949">
        <f t="shared" si="21"/>
        <v>19</v>
      </c>
      <c r="N57" s="1949">
        <f t="shared" si="21"/>
        <v>13</v>
      </c>
      <c r="O57" s="1949">
        <f t="shared" si="21"/>
        <v>9</v>
      </c>
      <c r="P57" s="1949">
        <f t="shared" si="21"/>
        <v>19</v>
      </c>
      <c r="Q57" s="1949">
        <f t="shared" si="21"/>
        <v>14</v>
      </c>
      <c r="R57" s="1949">
        <f t="shared" si="21"/>
        <v>19</v>
      </c>
      <c r="S57" s="1949">
        <f t="shared" si="21"/>
        <v>19</v>
      </c>
      <c r="T57" s="1949">
        <f t="shared" si="21"/>
        <v>19</v>
      </c>
      <c r="U57" s="1949">
        <f t="shared" si="21"/>
        <v>14</v>
      </c>
      <c r="V57" s="1949">
        <f t="shared" si="21"/>
        <v>19</v>
      </c>
      <c r="W57" s="1949">
        <f t="shared" si="21"/>
        <v>0</v>
      </c>
      <c r="X57" s="1949">
        <f t="shared" si="21"/>
        <v>9</v>
      </c>
      <c r="Y57" s="1949">
        <f t="shared" si="21"/>
        <v>18</v>
      </c>
      <c r="Z57" s="1949">
        <f t="shared" si="21"/>
        <v>19</v>
      </c>
      <c r="AA57" s="1949">
        <f t="shared" si="21"/>
        <v>14</v>
      </c>
      <c r="AB57" s="1949">
        <f t="shared" si="21"/>
        <v>10</v>
      </c>
    </row>
    <row r="58" spans="1:28" s="4" customFormat="1" ht="15" customHeight="1">
      <c r="B58" s="1948" t="s">
        <v>202</v>
      </c>
      <c r="C58" s="1949">
        <f>C56/C57</f>
        <v>7.1428571428571425E-2</v>
      </c>
      <c r="D58" s="1949">
        <f t="shared" ref="D58:AB58" si="22">D56/D57</f>
        <v>0.14285714285714285</v>
      </c>
      <c r="E58" s="1949">
        <f t="shared" si="22"/>
        <v>7.1428571428571425E-2</v>
      </c>
      <c r="F58" s="1949">
        <f t="shared" si="22"/>
        <v>0.2857142857142857</v>
      </c>
      <c r="G58" s="1949">
        <f t="shared" si="22"/>
        <v>0.3125</v>
      </c>
      <c r="H58" s="1949">
        <f t="shared" si="22"/>
        <v>0.23809523809523808</v>
      </c>
      <c r="I58" s="1949">
        <f t="shared" si="22"/>
        <v>0</v>
      </c>
      <c r="J58" s="1949">
        <f t="shared" si="22"/>
        <v>0.5</v>
      </c>
      <c r="K58" s="1949">
        <f t="shared" si="22"/>
        <v>9.5238095238095233E-2</v>
      </c>
      <c r="L58" s="1949">
        <f t="shared" si="22"/>
        <v>0.15789473684210525</v>
      </c>
      <c r="M58" s="1949">
        <f t="shared" si="22"/>
        <v>0.26315789473684209</v>
      </c>
      <c r="N58" s="1949">
        <f t="shared" si="22"/>
        <v>7.6923076923076927E-2</v>
      </c>
      <c r="O58" s="1949">
        <f t="shared" si="22"/>
        <v>0.1111111111111111</v>
      </c>
      <c r="P58" s="1949">
        <f t="shared" si="22"/>
        <v>5.2631578947368418E-2</v>
      </c>
      <c r="Q58" s="1949">
        <f t="shared" si="22"/>
        <v>0.42857142857142855</v>
      </c>
      <c r="R58" s="1949">
        <f t="shared" si="22"/>
        <v>0.36842105263157893</v>
      </c>
      <c r="S58" s="1949">
        <f t="shared" si="22"/>
        <v>5.2631578947368418E-2</v>
      </c>
      <c r="T58" s="1949">
        <f t="shared" si="22"/>
        <v>0.21052631578947367</v>
      </c>
      <c r="U58" s="1949">
        <f t="shared" si="22"/>
        <v>0.5</v>
      </c>
      <c r="V58" s="1949">
        <f t="shared" si="22"/>
        <v>0.15789473684210525</v>
      </c>
      <c r="W58" s="1949" t="e">
        <f t="shared" si="22"/>
        <v>#DIV/0!</v>
      </c>
      <c r="X58" s="1949">
        <f t="shared" si="22"/>
        <v>0</v>
      </c>
      <c r="Y58" s="1949">
        <f t="shared" si="22"/>
        <v>0.1111111111111111</v>
      </c>
      <c r="Z58" s="1949">
        <f>Z56/Z57*100</f>
        <v>26.315789473684209</v>
      </c>
      <c r="AA58" s="1949">
        <f t="shared" si="22"/>
        <v>7.1428571428571425E-2</v>
      </c>
      <c r="AB58" s="1949">
        <f t="shared" si="22"/>
        <v>0</v>
      </c>
    </row>
    <row r="59" spans="1:28" ht="15" customHeight="1">
      <c r="B59" s="1891" t="s">
        <v>296</v>
      </c>
      <c r="C59" s="1892">
        <f>COUNTA(B42:B51)</f>
        <v>10</v>
      </c>
      <c r="D59" s="1892">
        <f>COUNTA(C42:C51)</f>
        <v>8</v>
      </c>
      <c r="E59" s="1892">
        <f t="shared" ref="E59:AA59" si="23">COUNTA(D42:D51)</f>
        <v>8</v>
      </c>
      <c r="F59" s="1892">
        <f t="shared" si="23"/>
        <v>8</v>
      </c>
      <c r="G59" s="1892">
        <f t="shared" si="23"/>
        <v>8</v>
      </c>
      <c r="H59" s="1892">
        <f t="shared" si="23"/>
        <v>10</v>
      </c>
      <c r="I59" s="1892">
        <f t="shared" si="23"/>
        <v>10</v>
      </c>
      <c r="J59" s="1892">
        <f t="shared" si="23"/>
        <v>10</v>
      </c>
      <c r="K59" s="1892">
        <f t="shared" si="23"/>
        <v>10</v>
      </c>
      <c r="L59" s="1892">
        <f t="shared" si="23"/>
        <v>10</v>
      </c>
      <c r="M59" s="1892">
        <f t="shared" si="23"/>
        <v>10</v>
      </c>
      <c r="N59" s="1892">
        <f t="shared" si="23"/>
        <v>10</v>
      </c>
      <c r="O59" s="1892">
        <f t="shared" si="23"/>
        <v>10</v>
      </c>
      <c r="P59" s="1892">
        <f t="shared" si="23"/>
        <v>9</v>
      </c>
      <c r="Q59" s="1892">
        <f t="shared" si="23"/>
        <v>10</v>
      </c>
      <c r="R59" s="1892">
        <f t="shared" si="23"/>
        <v>10</v>
      </c>
      <c r="S59" s="1892">
        <f t="shared" si="23"/>
        <v>10</v>
      </c>
      <c r="T59" s="1892">
        <f t="shared" si="23"/>
        <v>10</v>
      </c>
      <c r="U59" s="1892">
        <f t="shared" si="23"/>
        <v>10</v>
      </c>
      <c r="V59" s="1892">
        <f t="shared" si="23"/>
        <v>10</v>
      </c>
      <c r="W59" s="1892">
        <f t="shared" si="23"/>
        <v>10</v>
      </c>
      <c r="X59" s="1892">
        <f t="shared" si="23"/>
        <v>0</v>
      </c>
      <c r="Y59" s="1892">
        <f t="shared" si="23"/>
        <v>0</v>
      </c>
      <c r="Z59" s="1892">
        <f t="shared" si="23"/>
        <v>10</v>
      </c>
      <c r="AA59" s="1892">
        <f t="shared" si="23"/>
        <v>10</v>
      </c>
      <c r="AB59" s="1892">
        <f>COUNTA(AA42:AA51)</f>
        <v>10</v>
      </c>
    </row>
    <row r="60" spans="1:28" ht="15" customHeight="1">
      <c r="B60" s="1877"/>
      <c r="C60" s="1921"/>
      <c r="D60" s="1921"/>
      <c r="E60" s="1877"/>
      <c r="F60" s="3703"/>
      <c r="G60" s="3703"/>
      <c r="H60" s="1877"/>
      <c r="I60" s="1892"/>
      <c r="J60" s="1892"/>
      <c r="K60" s="1892"/>
      <c r="L60" s="1892"/>
      <c r="M60" s="1892"/>
      <c r="N60" s="1877"/>
      <c r="O60" s="3703"/>
      <c r="P60" s="3703"/>
      <c r="Q60" s="3705"/>
    </row>
    <row r="61" spans="1:28" ht="15" customHeight="1" thickBot="1">
      <c r="B61" s="1894" t="s">
        <v>229</v>
      </c>
      <c r="C61" s="1950"/>
      <c r="D61" s="1893"/>
      <c r="E61" s="1877"/>
      <c r="F61" s="3704"/>
      <c r="G61" s="3704"/>
      <c r="H61" s="1877"/>
      <c r="I61" s="1892"/>
      <c r="J61" s="1892"/>
      <c r="K61" s="1892"/>
      <c r="L61" s="1892"/>
      <c r="M61" s="1892"/>
      <c r="N61" s="1877"/>
      <c r="O61" s="3704"/>
      <c r="P61" s="3703"/>
      <c r="Q61" s="3705"/>
    </row>
    <row r="62" spans="1:28" ht="15" customHeight="1" thickBot="1">
      <c r="B62" s="1879" t="s">
        <v>168</v>
      </c>
      <c r="C62" s="1880">
        <v>5000</v>
      </c>
      <c r="D62" s="1880">
        <v>5000</v>
      </c>
      <c r="E62" s="1880">
        <v>5000</v>
      </c>
      <c r="F62" s="1880">
        <v>5000</v>
      </c>
      <c r="G62" s="1880">
        <v>5000</v>
      </c>
      <c r="H62" s="1880">
        <v>5000</v>
      </c>
      <c r="I62" s="1880">
        <v>5000</v>
      </c>
      <c r="J62" s="1880">
        <v>5000</v>
      </c>
      <c r="K62" s="1880">
        <v>5000</v>
      </c>
      <c r="L62" s="1880">
        <v>5000</v>
      </c>
      <c r="M62" s="1880">
        <v>5000</v>
      </c>
      <c r="N62" s="1880">
        <v>5000</v>
      </c>
      <c r="O62" s="1880">
        <v>5000</v>
      </c>
      <c r="P62" s="1880">
        <v>5000</v>
      </c>
      <c r="Q62" s="1880">
        <v>5000</v>
      </c>
      <c r="R62" s="1880">
        <v>5000</v>
      </c>
      <c r="S62" s="1880">
        <v>5000</v>
      </c>
      <c r="T62" s="1880">
        <v>5000</v>
      </c>
      <c r="U62" s="1880">
        <v>5000</v>
      </c>
      <c r="V62" s="1880">
        <v>5000</v>
      </c>
      <c r="W62" s="1880">
        <v>5000</v>
      </c>
      <c r="X62" s="1880">
        <v>5000</v>
      </c>
      <c r="Y62" s="1880">
        <v>5000</v>
      </c>
      <c r="Z62" s="1880">
        <v>5000</v>
      </c>
      <c r="AA62" s="1880">
        <v>5000</v>
      </c>
      <c r="AB62" s="1880">
        <v>5000</v>
      </c>
    </row>
    <row r="63" spans="1:28" ht="15" customHeight="1">
      <c r="B63" s="1951" t="s">
        <v>152</v>
      </c>
      <c r="C63" s="1952">
        <v>176.23882866000972</v>
      </c>
      <c r="D63" s="1952">
        <v>19.999999999999996</v>
      </c>
      <c r="E63" s="1952">
        <v>134.18053556660152</v>
      </c>
      <c r="F63" s="1953">
        <v>94.365050577863414</v>
      </c>
      <c r="G63" s="1954">
        <v>74.430000000000007</v>
      </c>
      <c r="H63" s="1926">
        <v>1358</v>
      </c>
      <c r="I63" s="1926">
        <v>996</v>
      </c>
      <c r="J63" s="1955">
        <v>99</v>
      </c>
      <c r="K63" s="1874">
        <f>AVERAGE(G63:J63)</f>
        <v>631.85750000000007</v>
      </c>
      <c r="L63" s="1956">
        <v>151</v>
      </c>
      <c r="M63" s="1957">
        <v>19</v>
      </c>
      <c r="N63" s="1957">
        <v>96</v>
      </c>
      <c r="O63" s="1958"/>
      <c r="P63" s="2141">
        <f>GEOMEAN(L63:O63)</f>
        <v>65.062976439763332</v>
      </c>
      <c r="Q63" s="1958">
        <v>196.93</v>
      </c>
      <c r="R63" s="1958">
        <v>294</v>
      </c>
      <c r="Y63" s="3087">
        <v>1405</v>
      </c>
      <c r="Z63">
        <v>124.33</v>
      </c>
      <c r="AB63">
        <v>115.22735112047937</v>
      </c>
    </row>
    <row r="64" spans="1:28" ht="15" customHeight="1">
      <c r="B64" s="1914" t="s">
        <v>153</v>
      </c>
      <c r="C64" s="1908">
        <v>364.85200730776205</v>
      </c>
      <c r="D64" s="1908">
        <v>25.5577241698509</v>
      </c>
      <c r="E64" s="1908">
        <v>381.65245481676806</v>
      </c>
      <c r="F64" s="1934">
        <v>402.61180769197239</v>
      </c>
      <c r="G64" s="1959">
        <v>265.67</v>
      </c>
      <c r="H64" s="1908">
        <v>1113</v>
      </c>
      <c r="I64" s="1908">
        <v>133</v>
      </c>
      <c r="J64" s="1960">
        <v>581</v>
      </c>
      <c r="K64" s="1874">
        <f t="shared" ref="K64:K71" si="24">AVERAGE(G64:J64)</f>
        <v>523.16750000000002</v>
      </c>
      <c r="L64" s="1910">
        <v>275</v>
      </c>
      <c r="M64" s="952">
        <v>63</v>
      </c>
      <c r="N64" s="952">
        <v>730</v>
      </c>
      <c r="O64" s="1911"/>
      <c r="P64" s="2141">
        <f t="shared" ref="P64:P71" si="25">GEOMEAN(L64:O64)</f>
        <v>232.98718515851712</v>
      </c>
      <c r="Q64" s="1911">
        <v>207.74</v>
      </c>
      <c r="R64" s="1911">
        <v>84</v>
      </c>
      <c r="Y64" s="3087">
        <v>1048</v>
      </c>
      <c r="Z64">
        <v>848.33</v>
      </c>
      <c r="AB64">
        <v>118.45327431958798</v>
      </c>
    </row>
    <row r="65" spans="1:28" ht="15" customHeight="1">
      <c r="B65" s="1961" t="s">
        <v>150</v>
      </c>
      <c r="C65" s="1908">
        <v>226.51325643993502</v>
      </c>
      <c r="D65" s="1908">
        <v>25.5577241698509</v>
      </c>
      <c r="E65" s="1908">
        <v>156.53418860774462</v>
      </c>
      <c r="F65" s="1934">
        <v>105.55698105096987</v>
      </c>
      <c r="G65" s="1959">
        <v>171.33</v>
      </c>
      <c r="H65" s="1908">
        <v>2990</v>
      </c>
      <c r="I65" s="1908">
        <v>1236</v>
      </c>
      <c r="J65" s="1960">
        <v>457</v>
      </c>
      <c r="K65" s="1874">
        <f t="shared" si="24"/>
        <v>1213.5825</v>
      </c>
      <c r="L65" s="1910">
        <v>229</v>
      </c>
      <c r="M65" s="952">
        <v>182</v>
      </c>
      <c r="N65" s="952">
        <v>95</v>
      </c>
      <c r="O65" s="1911"/>
      <c r="P65" s="2141">
        <f t="shared" si="25"/>
        <v>158.20134028825444</v>
      </c>
      <c r="Q65" s="1911">
        <v>85.07</v>
      </c>
      <c r="R65" s="1911">
        <v>74</v>
      </c>
      <c r="S65" s="2151"/>
      <c r="Y65" s="3087">
        <v>860</v>
      </c>
      <c r="Z65">
        <v>119.67</v>
      </c>
      <c r="AB65">
        <v>29.90861077188541</v>
      </c>
    </row>
    <row r="66" spans="1:28" ht="15" customHeight="1">
      <c r="B66" s="1961" t="s">
        <v>149</v>
      </c>
      <c r="C66" s="1908">
        <v>138.34738884417007</v>
      </c>
      <c r="D66" s="1908">
        <v>25.5577241698509</v>
      </c>
      <c r="E66" s="1908">
        <v>1292.3963627069541</v>
      </c>
      <c r="F66" s="1934">
        <v>7759.9027618127475</v>
      </c>
      <c r="G66" s="1959">
        <v>201</v>
      </c>
      <c r="H66" s="1908">
        <v>7033</v>
      </c>
      <c r="I66" s="1908">
        <v>5947</v>
      </c>
      <c r="J66" s="1960">
        <v>234</v>
      </c>
      <c r="K66" s="1874">
        <f t="shared" si="24"/>
        <v>3353.75</v>
      </c>
      <c r="L66" s="1910">
        <v>220</v>
      </c>
      <c r="M66" s="952">
        <v>561</v>
      </c>
      <c r="N66" s="952">
        <v>317</v>
      </c>
      <c r="O66" s="1911"/>
      <c r="P66" s="2141">
        <f t="shared" si="25"/>
        <v>339.48057943037998</v>
      </c>
      <c r="Q66" s="1911">
        <v>124.48</v>
      </c>
      <c r="R66" s="1911">
        <v>114</v>
      </c>
      <c r="Y66" s="3087">
        <v>419</v>
      </c>
      <c r="Z66">
        <v>196.67</v>
      </c>
      <c r="AB66">
        <v>483.76832479375321</v>
      </c>
    </row>
    <row r="67" spans="1:28" ht="15" customHeight="1">
      <c r="B67" s="1961" t="s">
        <v>151</v>
      </c>
      <c r="C67" s="1908">
        <v>68.936299117368776</v>
      </c>
      <c r="D67" s="1908">
        <v>511.70829016072582</v>
      </c>
      <c r="E67" s="1908">
        <v>2030.7063253241133</v>
      </c>
      <c r="F67" s="1934">
        <v>3207.4689273147051</v>
      </c>
      <c r="G67" s="1959">
        <v>830</v>
      </c>
      <c r="H67" s="1908">
        <v>2143</v>
      </c>
      <c r="I67" s="1908">
        <v>498</v>
      </c>
      <c r="J67" s="1960">
        <v>627</v>
      </c>
      <c r="K67" s="1874">
        <f t="shared" si="24"/>
        <v>1024.5</v>
      </c>
      <c r="L67" s="1910">
        <v>147</v>
      </c>
      <c r="M67" s="952">
        <v>502</v>
      </c>
      <c r="N67" s="952">
        <v>268</v>
      </c>
      <c r="O67" s="1911"/>
      <c r="P67" s="2141">
        <f t="shared" si="25"/>
        <v>270.4281820585195</v>
      </c>
      <c r="Q67" s="1911">
        <v>418.2</v>
      </c>
      <c r="R67" s="1911">
        <v>164</v>
      </c>
      <c r="Y67" s="3087">
        <v>1169</v>
      </c>
      <c r="Z67">
        <v>585.66999999999996</v>
      </c>
      <c r="AB67">
        <v>219.01765875830378</v>
      </c>
    </row>
    <row r="68" spans="1:28" ht="15" customHeight="1">
      <c r="B68" s="1914" t="s">
        <v>273</v>
      </c>
      <c r="C68" s="1962"/>
      <c r="D68" s="1908"/>
      <c r="E68" s="1908"/>
      <c r="F68" s="1963"/>
      <c r="G68" s="1959">
        <v>803.9</v>
      </c>
      <c r="H68" s="1908">
        <v>634</v>
      </c>
      <c r="I68" s="1908">
        <v>724</v>
      </c>
      <c r="J68" s="1960">
        <v>802</v>
      </c>
      <c r="K68" s="1874">
        <f t="shared" si="24"/>
        <v>740.97500000000002</v>
      </c>
      <c r="L68" s="1910">
        <v>465</v>
      </c>
      <c r="M68" s="952">
        <v>15</v>
      </c>
      <c r="N68" s="952">
        <v>56</v>
      </c>
      <c r="O68" s="1911"/>
      <c r="P68" s="2141">
        <f t="shared" si="25"/>
        <v>73.098883945924598</v>
      </c>
      <c r="Q68" s="1911">
        <v>41.97</v>
      </c>
      <c r="R68" s="1911">
        <v>25</v>
      </c>
      <c r="Y68" s="3087">
        <v>1401</v>
      </c>
      <c r="Z68">
        <v>62.33</v>
      </c>
      <c r="AB68">
        <v>78.107675091665996</v>
      </c>
    </row>
    <row r="69" spans="1:28" ht="15" customHeight="1">
      <c r="B69" s="1914" t="s">
        <v>274</v>
      </c>
      <c r="C69" s="1962"/>
      <c r="D69" s="1908"/>
      <c r="E69" s="1908"/>
      <c r="F69" s="1963"/>
      <c r="G69" s="1959">
        <v>614</v>
      </c>
      <c r="H69" s="1908">
        <v>1370</v>
      </c>
      <c r="I69" s="1908">
        <v>139</v>
      </c>
      <c r="J69" s="1960">
        <v>114</v>
      </c>
      <c r="K69" s="1874">
        <f t="shared" si="24"/>
        <v>559.25</v>
      </c>
      <c r="L69" s="1910">
        <v>132</v>
      </c>
      <c r="M69" s="952">
        <v>190</v>
      </c>
      <c r="N69" s="952">
        <v>171</v>
      </c>
      <c r="O69" s="1911"/>
      <c r="P69" s="2141">
        <f t="shared" si="25"/>
        <v>162.47051141436856</v>
      </c>
      <c r="Q69" s="1911">
        <v>41.43</v>
      </c>
      <c r="R69" s="1911">
        <v>86</v>
      </c>
      <c r="Y69" s="3087">
        <v>1155</v>
      </c>
      <c r="Z69">
        <v>138.33000000000001</v>
      </c>
      <c r="AB69">
        <v>129.61543153138447</v>
      </c>
    </row>
    <row r="70" spans="1:28" ht="15" customHeight="1">
      <c r="B70" s="1961" t="s">
        <v>275</v>
      </c>
      <c r="C70" s="1962"/>
      <c r="D70" s="1908"/>
      <c r="E70" s="1908"/>
      <c r="F70" s="1963"/>
      <c r="G70" s="1959">
        <v>127.67</v>
      </c>
      <c r="H70" s="1908">
        <v>4350</v>
      </c>
      <c r="I70" s="1908">
        <v>730</v>
      </c>
      <c r="J70" s="1960">
        <v>757</v>
      </c>
      <c r="K70" s="1874">
        <f t="shared" si="24"/>
        <v>1491.1675</v>
      </c>
      <c r="L70" s="1910">
        <v>847</v>
      </c>
      <c r="M70" s="952">
        <v>217</v>
      </c>
      <c r="N70" s="952">
        <v>154</v>
      </c>
      <c r="O70" s="1911"/>
      <c r="P70" s="2141">
        <f t="shared" si="25"/>
        <v>304.75765394539121</v>
      </c>
      <c r="Q70" s="1911">
        <v>279.01</v>
      </c>
      <c r="R70" s="1911">
        <v>231</v>
      </c>
      <c r="Y70" s="3087">
        <v>1235</v>
      </c>
      <c r="Z70">
        <v>198</v>
      </c>
      <c r="AB70">
        <v>182.71261889952714</v>
      </c>
    </row>
    <row r="71" spans="1:28" ht="15" customHeight="1" thickBot="1">
      <c r="B71" s="1964" t="s">
        <v>276</v>
      </c>
      <c r="C71" s="1965"/>
      <c r="D71" s="1966"/>
      <c r="E71" s="1966"/>
      <c r="F71" s="1967"/>
      <c r="G71" s="1968">
        <v>3636.4</v>
      </c>
      <c r="H71" s="1915">
        <v>1383</v>
      </c>
      <c r="I71" s="1915">
        <v>1163</v>
      </c>
      <c r="J71" s="1969">
        <v>390</v>
      </c>
      <c r="K71" s="1874">
        <f t="shared" si="24"/>
        <v>1643.1</v>
      </c>
      <c r="L71" s="1945">
        <v>386</v>
      </c>
      <c r="M71" s="955">
        <v>127</v>
      </c>
      <c r="N71" s="955">
        <v>391</v>
      </c>
      <c r="O71" s="1920"/>
      <c r="P71" s="2141">
        <f t="shared" si="25"/>
        <v>267.62248212262648</v>
      </c>
      <c r="Q71" s="1920">
        <v>216.7</v>
      </c>
      <c r="R71" s="1920">
        <v>76</v>
      </c>
      <c r="Y71" s="3087">
        <v>1103</v>
      </c>
      <c r="Z71">
        <v>118.33</v>
      </c>
      <c r="AB71">
        <v>247.46703094497317</v>
      </c>
    </row>
    <row r="72" spans="1:28" s="1040" customFormat="1" ht="15" customHeight="1">
      <c r="A72" s="1064"/>
      <c r="B72" s="1891" t="s">
        <v>285</v>
      </c>
      <c r="C72" s="1892">
        <f>COUNTIF(C63:C71,"&lt;=5000")</f>
        <v>5</v>
      </c>
      <c r="D72" s="1892">
        <f t="shared" ref="D72:AB72" si="26">COUNTIF(D63:D71,"&lt;=5000")</f>
        <v>5</v>
      </c>
      <c r="E72" s="1892">
        <f t="shared" si="26"/>
        <v>5</v>
      </c>
      <c r="F72" s="1892">
        <f t="shared" si="26"/>
        <v>4</v>
      </c>
      <c r="G72" s="1892">
        <f t="shared" si="26"/>
        <v>9</v>
      </c>
      <c r="H72" s="1892">
        <f t="shared" si="26"/>
        <v>8</v>
      </c>
      <c r="I72" s="1892">
        <f t="shared" si="26"/>
        <v>8</v>
      </c>
      <c r="J72" s="1892">
        <f t="shared" si="26"/>
        <v>9</v>
      </c>
      <c r="K72" s="1892">
        <f t="shared" si="26"/>
        <v>9</v>
      </c>
      <c r="L72" s="1892">
        <f t="shared" si="26"/>
        <v>9</v>
      </c>
      <c r="M72" s="1892">
        <f t="shared" si="26"/>
        <v>9</v>
      </c>
      <c r="N72" s="1892">
        <f t="shared" si="26"/>
        <v>9</v>
      </c>
      <c r="O72" s="1892">
        <f t="shared" si="26"/>
        <v>0</v>
      </c>
      <c r="P72" s="1892">
        <f t="shared" si="26"/>
        <v>9</v>
      </c>
      <c r="Q72" s="1892">
        <f t="shared" si="26"/>
        <v>9</v>
      </c>
      <c r="R72" s="1892">
        <f t="shared" si="26"/>
        <v>9</v>
      </c>
      <c r="S72" s="1892">
        <f t="shared" si="26"/>
        <v>0</v>
      </c>
      <c r="T72" s="1892">
        <f t="shared" si="26"/>
        <v>0</v>
      </c>
      <c r="U72" s="1892">
        <f t="shared" si="26"/>
        <v>0</v>
      </c>
      <c r="V72" s="1892">
        <f t="shared" si="26"/>
        <v>0</v>
      </c>
      <c r="W72" s="1892">
        <f t="shared" si="26"/>
        <v>0</v>
      </c>
      <c r="X72" s="1892">
        <f t="shared" si="26"/>
        <v>0</v>
      </c>
      <c r="Y72" s="1892">
        <f t="shared" si="26"/>
        <v>9</v>
      </c>
      <c r="Z72" s="1892">
        <f t="shared" si="26"/>
        <v>9</v>
      </c>
      <c r="AA72" s="1892">
        <f t="shared" si="26"/>
        <v>0</v>
      </c>
      <c r="AB72" s="1892">
        <f t="shared" si="26"/>
        <v>9</v>
      </c>
    </row>
    <row r="73" spans="1:28" s="1040" customFormat="1" ht="15" customHeight="1">
      <c r="A73" s="1064"/>
      <c r="B73" s="1891" t="s">
        <v>287</v>
      </c>
      <c r="C73" s="1892">
        <f>COUNTA(C63:C71)</f>
        <v>5</v>
      </c>
      <c r="D73" s="1892">
        <f t="shared" ref="D73:AB73" si="27">COUNTA(D63:D71)</f>
        <v>5</v>
      </c>
      <c r="E73" s="1892">
        <f t="shared" si="27"/>
        <v>5</v>
      </c>
      <c r="F73" s="1892">
        <f t="shared" si="27"/>
        <v>5</v>
      </c>
      <c r="G73" s="1892">
        <f t="shared" si="27"/>
        <v>9</v>
      </c>
      <c r="H73" s="1892">
        <f t="shared" si="27"/>
        <v>9</v>
      </c>
      <c r="I73" s="1892">
        <f t="shared" si="27"/>
        <v>9</v>
      </c>
      <c r="J73" s="1892">
        <f t="shared" si="27"/>
        <v>9</v>
      </c>
      <c r="K73" s="1892">
        <f t="shared" si="27"/>
        <v>9</v>
      </c>
      <c r="L73" s="1892">
        <f t="shared" si="27"/>
        <v>9</v>
      </c>
      <c r="M73" s="1892">
        <f t="shared" si="27"/>
        <v>9</v>
      </c>
      <c r="N73" s="1892">
        <f t="shared" si="27"/>
        <v>9</v>
      </c>
      <c r="O73" s="1892">
        <f t="shared" si="27"/>
        <v>0</v>
      </c>
      <c r="P73" s="1892">
        <f t="shared" si="27"/>
        <v>9</v>
      </c>
      <c r="Q73" s="1892">
        <f t="shared" si="27"/>
        <v>9</v>
      </c>
      <c r="R73" s="1892">
        <f t="shared" si="27"/>
        <v>9</v>
      </c>
      <c r="S73" s="1892">
        <f t="shared" si="27"/>
        <v>0</v>
      </c>
      <c r="T73" s="1892">
        <f t="shared" si="27"/>
        <v>0</v>
      </c>
      <c r="U73" s="1892">
        <f t="shared" si="27"/>
        <v>0</v>
      </c>
      <c r="V73" s="1892">
        <f t="shared" si="27"/>
        <v>0</v>
      </c>
      <c r="W73" s="1892">
        <f t="shared" si="27"/>
        <v>0</v>
      </c>
      <c r="X73" s="1892">
        <f t="shared" si="27"/>
        <v>0</v>
      </c>
      <c r="Y73" s="1892">
        <f t="shared" si="27"/>
        <v>9</v>
      </c>
      <c r="Z73" s="1892">
        <f t="shared" si="27"/>
        <v>9</v>
      </c>
      <c r="AA73" s="1892">
        <f t="shared" si="27"/>
        <v>0</v>
      </c>
      <c r="AB73" s="1892">
        <f t="shared" si="27"/>
        <v>9</v>
      </c>
    </row>
    <row r="74" spans="1:28" s="1040" customFormat="1" ht="15" customHeight="1">
      <c r="A74" s="1064"/>
      <c r="B74" s="1891" t="s">
        <v>202</v>
      </c>
      <c r="C74" s="1892">
        <f>C72/C73*100</f>
        <v>100</v>
      </c>
      <c r="D74" s="1892">
        <f t="shared" ref="D74:AB74" si="28">D72/D73*100</f>
        <v>100</v>
      </c>
      <c r="E74" s="1892">
        <f t="shared" si="28"/>
        <v>100</v>
      </c>
      <c r="F74" s="1892">
        <f t="shared" si="28"/>
        <v>80</v>
      </c>
      <c r="G74" s="1892">
        <f t="shared" si="28"/>
        <v>100</v>
      </c>
      <c r="H74" s="1892">
        <f t="shared" si="28"/>
        <v>88.888888888888886</v>
      </c>
      <c r="I74" s="1892">
        <f t="shared" si="28"/>
        <v>88.888888888888886</v>
      </c>
      <c r="J74" s="1892">
        <f t="shared" si="28"/>
        <v>100</v>
      </c>
      <c r="K74" s="1892">
        <f t="shared" si="28"/>
        <v>100</v>
      </c>
      <c r="L74" s="1892">
        <f t="shared" si="28"/>
        <v>100</v>
      </c>
      <c r="M74" s="1892">
        <f t="shared" si="28"/>
        <v>100</v>
      </c>
      <c r="N74" s="1892">
        <f t="shared" si="28"/>
        <v>100</v>
      </c>
      <c r="O74" s="1892" t="e">
        <f t="shared" si="28"/>
        <v>#DIV/0!</v>
      </c>
      <c r="P74" s="1892">
        <f t="shared" si="28"/>
        <v>100</v>
      </c>
      <c r="Q74" s="1892">
        <f t="shared" si="28"/>
        <v>100</v>
      </c>
      <c r="R74" s="1892">
        <f t="shared" si="28"/>
        <v>100</v>
      </c>
      <c r="S74" s="1892" t="e">
        <f t="shared" si="28"/>
        <v>#DIV/0!</v>
      </c>
      <c r="T74" s="1892" t="e">
        <f t="shared" si="28"/>
        <v>#DIV/0!</v>
      </c>
      <c r="U74" s="1892" t="e">
        <f t="shared" si="28"/>
        <v>#DIV/0!</v>
      </c>
      <c r="V74" s="1892" t="e">
        <f t="shared" si="28"/>
        <v>#DIV/0!</v>
      </c>
      <c r="W74" s="1892" t="e">
        <f t="shared" si="28"/>
        <v>#DIV/0!</v>
      </c>
      <c r="X74" s="1892" t="e">
        <f t="shared" si="28"/>
        <v>#DIV/0!</v>
      </c>
      <c r="Y74" s="1892">
        <f t="shared" si="28"/>
        <v>100</v>
      </c>
      <c r="Z74" s="1892">
        <f t="shared" si="28"/>
        <v>100</v>
      </c>
      <c r="AA74" s="1892" t="e">
        <f t="shared" si="28"/>
        <v>#DIV/0!</v>
      </c>
      <c r="AB74" s="1892">
        <f t="shared" si="28"/>
        <v>100</v>
      </c>
    </row>
    <row r="75" spans="1:28" ht="15" customHeight="1">
      <c r="B75" s="1923"/>
      <c r="C75" s="1921"/>
      <c r="D75" s="1921"/>
      <c r="E75" s="1921"/>
      <c r="F75" s="1921"/>
      <c r="G75" s="1877"/>
      <c r="H75" s="1877"/>
      <c r="I75" s="1892"/>
      <c r="J75" s="1892"/>
      <c r="K75" s="1892"/>
      <c r="L75" s="1892"/>
      <c r="M75" s="1892"/>
      <c r="N75" s="1892"/>
      <c r="O75" s="1877"/>
      <c r="P75" s="1877"/>
      <c r="Q75" s="1878"/>
      <c r="Y75" s="3099"/>
    </row>
    <row r="76" spans="1:28" ht="15" customHeight="1">
      <c r="B76" s="1923"/>
      <c r="C76" s="1921"/>
      <c r="D76" s="1921"/>
      <c r="E76" s="1921"/>
      <c r="F76" s="1921"/>
      <c r="G76" s="1877"/>
      <c r="H76" s="1877"/>
      <c r="I76" s="1892"/>
      <c r="J76" s="1892"/>
      <c r="K76" s="1892"/>
      <c r="L76" s="1892"/>
      <c r="M76" s="1892"/>
      <c r="N76" s="1892"/>
      <c r="O76" s="1877"/>
      <c r="P76" s="1877"/>
      <c r="Q76" s="1878"/>
      <c r="Y76" s="3099"/>
    </row>
    <row r="77" spans="1:28" ht="15" customHeight="1">
      <c r="B77" s="1877"/>
      <c r="C77" s="1921"/>
      <c r="D77" s="1921"/>
      <c r="E77" s="1877"/>
      <c r="F77" s="3694" t="s">
        <v>154</v>
      </c>
      <c r="G77" s="3694"/>
      <c r="H77" s="1877"/>
      <c r="I77" s="1892"/>
      <c r="J77" s="1892"/>
      <c r="K77" s="1892"/>
      <c r="L77" s="1892"/>
      <c r="M77" s="1892"/>
      <c r="N77" s="1877"/>
      <c r="O77" s="3694" t="s">
        <v>154</v>
      </c>
      <c r="P77" s="3694"/>
      <c r="Q77" s="3695"/>
      <c r="Y77" s="3099"/>
    </row>
    <row r="78" spans="1:28" ht="15" customHeight="1" thickBot="1">
      <c r="B78" s="1877"/>
      <c r="C78" s="1970"/>
      <c r="D78" s="1971"/>
      <c r="E78" s="1877"/>
      <c r="F78" s="3696"/>
      <c r="G78" s="3696"/>
      <c r="H78" s="1877"/>
      <c r="I78" s="1892"/>
      <c r="J78" s="1892"/>
      <c r="K78" s="1892"/>
      <c r="L78" s="1892"/>
      <c r="M78" s="1892"/>
      <c r="N78" s="1877"/>
      <c r="O78" s="3696"/>
      <c r="P78" s="3694"/>
      <c r="Q78" s="3695"/>
      <c r="Y78" s="3099"/>
    </row>
    <row r="79" spans="1:28" ht="15" customHeight="1" thickBot="1">
      <c r="B79" s="1895" t="s">
        <v>168</v>
      </c>
      <c r="C79" s="1896">
        <v>5000</v>
      </c>
      <c r="D79" s="1896">
        <v>5000</v>
      </c>
      <c r="E79" s="1896">
        <v>5000</v>
      </c>
      <c r="F79" s="1896">
        <v>5000</v>
      </c>
      <c r="G79" s="1896">
        <v>5000</v>
      </c>
      <c r="H79" s="1896">
        <v>5000</v>
      </c>
      <c r="I79" s="1896">
        <v>5000</v>
      </c>
      <c r="J79" s="1896">
        <v>5000</v>
      </c>
      <c r="K79" s="1896">
        <v>5000</v>
      </c>
      <c r="L79" s="1896">
        <v>5000</v>
      </c>
      <c r="M79" s="1896">
        <v>5000</v>
      </c>
      <c r="N79" s="1896">
        <v>5000</v>
      </c>
      <c r="O79" s="1896">
        <v>5000</v>
      </c>
      <c r="P79" s="1896">
        <v>5000</v>
      </c>
      <c r="Q79" s="1896">
        <v>5000</v>
      </c>
      <c r="R79" s="1896">
        <v>5000</v>
      </c>
      <c r="S79" s="1896">
        <v>5000</v>
      </c>
      <c r="T79" s="1896">
        <v>5000</v>
      </c>
      <c r="U79" s="1896">
        <v>5000</v>
      </c>
      <c r="V79" s="1896">
        <v>5000</v>
      </c>
      <c r="W79" s="1896">
        <v>5000</v>
      </c>
      <c r="X79" s="1896">
        <v>5000</v>
      </c>
      <c r="Y79" s="1896">
        <v>5000</v>
      </c>
      <c r="Z79" s="1896">
        <v>5000</v>
      </c>
      <c r="AA79" s="1896">
        <v>5000</v>
      </c>
      <c r="AB79" s="1896">
        <v>5000</v>
      </c>
    </row>
    <row r="80" spans="1:28" ht="15" customHeight="1">
      <c r="B80" s="1972" t="s">
        <v>105</v>
      </c>
      <c r="C80" s="1926">
        <v>8518234.5433010291</v>
      </c>
      <c r="D80" s="1926">
        <v>13098888.682488192</v>
      </c>
      <c r="E80" s="1926">
        <v>5367921.3521578005</v>
      </c>
      <c r="F80" s="1927">
        <v>2929320.1630591112</v>
      </c>
      <c r="G80" s="1973">
        <v>9750000</v>
      </c>
      <c r="H80" s="1952">
        <v>26666667</v>
      </c>
      <c r="I80" s="1952">
        <v>2515000</v>
      </c>
      <c r="J80" s="1974">
        <v>1873333</v>
      </c>
      <c r="K80" s="1874">
        <f t="shared" ref="K80:K115" si="29">AVERAGE(G80:J80)</f>
        <v>10201250</v>
      </c>
      <c r="L80" s="1975">
        <v>1549516</v>
      </c>
      <c r="M80" s="1957">
        <v>24000000</v>
      </c>
      <c r="N80" s="1958">
        <v>28000000</v>
      </c>
      <c r="O80" s="1958"/>
      <c r="P80" s="2141">
        <f t="shared" ref="P80:P115" si="30">GEOMEAN(L80:O80)</f>
        <v>10135731.857594624</v>
      </c>
      <c r="Q80" s="1958">
        <v>5400000</v>
      </c>
      <c r="R80" s="1958"/>
      <c r="Y80" s="3087">
        <v>19957242</v>
      </c>
      <c r="Z80" s="3100">
        <v>20325554.670000002</v>
      </c>
      <c r="AB80">
        <v>22502541.637136117</v>
      </c>
    </row>
    <row r="81" spans="2:28" ht="15" customHeight="1">
      <c r="B81" s="1961" t="s">
        <v>94</v>
      </c>
      <c r="C81" s="1908">
        <v>23968.301452940992</v>
      </c>
      <c r="D81" s="1908">
        <v>1854582.6226900658</v>
      </c>
      <c r="E81" s="1908">
        <v>226260.3580357896</v>
      </c>
      <c r="F81" s="1909">
        <v>469642.71137314761</v>
      </c>
      <c r="G81" s="1938">
        <v>171000</v>
      </c>
      <c r="H81" s="1908">
        <v>466667</v>
      </c>
      <c r="I81" s="1908">
        <v>830000</v>
      </c>
      <c r="J81" s="1976">
        <v>566667</v>
      </c>
      <c r="K81" s="1874">
        <f t="shared" si="29"/>
        <v>508583.5</v>
      </c>
      <c r="L81" s="1977">
        <v>339836</v>
      </c>
      <c r="M81" s="952">
        <v>350000</v>
      </c>
      <c r="N81" s="1911">
        <v>920000</v>
      </c>
      <c r="O81" s="1911"/>
      <c r="P81" s="2141">
        <f t="shared" si="30"/>
        <v>478308.85194289795</v>
      </c>
      <c r="Q81" s="1911">
        <v>1300000</v>
      </c>
      <c r="R81" s="1911">
        <v>78000</v>
      </c>
      <c r="Y81" s="3087">
        <v>172816</v>
      </c>
      <c r="Z81">
        <v>107565.33</v>
      </c>
      <c r="AB81">
        <v>955101.94743488322</v>
      </c>
    </row>
    <row r="82" spans="2:28" ht="15" customHeight="1">
      <c r="B82" s="1914" t="s">
        <v>96</v>
      </c>
      <c r="C82" s="1962"/>
      <c r="D82" s="1908"/>
      <c r="E82" s="1908"/>
      <c r="F82" s="1978"/>
      <c r="G82" s="1938">
        <v>430000</v>
      </c>
      <c r="H82" s="1908">
        <v>750000</v>
      </c>
      <c r="I82" s="1908">
        <v>686666.66666666663</v>
      </c>
      <c r="J82" s="1976">
        <v>483333</v>
      </c>
      <c r="K82" s="1874">
        <f t="shared" si="29"/>
        <v>587499.91666666663</v>
      </c>
      <c r="L82" s="1977">
        <v>267582</v>
      </c>
      <c r="M82" s="952"/>
      <c r="N82" s="1911"/>
      <c r="O82" s="1911"/>
      <c r="P82" s="2141">
        <f t="shared" si="30"/>
        <v>267582</v>
      </c>
      <c r="Q82" s="1911"/>
      <c r="R82" s="1911"/>
      <c r="Y82" s="3087"/>
      <c r="AB82" t="e">
        <v>#NUM!</v>
      </c>
    </row>
    <row r="83" spans="2:28" ht="15" customHeight="1">
      <c r="B83" s="1961" t="s">
        <v>85</v>
      </c>
      <c r="C83" s="1908">
        <v>1098173.5174982634</v>
      </c>
      <c r="D83" s="1908">
        <v>79685.652074605066</v>
      </c>
      <c r="E83" s="1908">
        <v>240760.26870054338</v>
      </c>
      <c r="F83" s="1909">
        <v>267372.73765533953</v>
      </c>
      <c r="G83" s="1938">
        <v>646666.67000000004</v>
      </c>
      <c r="H83" s="1908">
        <v>423333</v>
      </c>
      <c r="I83" s="1908">
        <v>766666.66666666663</v>
      </c>
      <c r="J83" s="1976">
        <v>353333</v>
      </c>
      <c r="K83" s="1874">
        <f t="shared" si="29"/>
        <v>547499.83416666661</v>
      </c>
      <c r="L83" s="1979">
        <v>275124</v>
      </c>
      <c r="M83" s="957">
        <v>490000</v>
      </c>
      <c r="N83" s="1911">
        <v>230000</v>
      </c>
      <c r="O83" s="1911"/>
      <c r="P83" s="2141">
        <f t="shared" si="30"/>
        <v>314159.93448163837</v>
      </c>
      <c r="Q83" s="1911">
        <v>270000</v>
      </c>
      <c r="R83" s="1911">
        <v>1100000</v>
      </c>
      <c r="Y83" s="3087">
        <v>509118</v>
      </c>
      <c r="Z83" s="3100">
        <v>524826.32999999996</v>
      </c>
      <c r="AB83">
        <v>346343.06942028244</v>
      </c>
    </row>
    <row r="84" spans="2:28" ht="15" customHeight="1">
      <c r="B84" s="1961" t="s">
        <v>101</v>
      </c>
      <c r="C84" s="1908">
        <v>1984886.0723019976</v>
      </c>
      <c r="D84" s="1908">
        <v>1872988.493783691</v>
      </c>
      <c r="E84" s="1908">
        <v>808060.93815977557</v>
      </c>
      <c r="F84" s="1909">
        <v>366161.99433687131</v>
      </c>
      <c r="G84" s="1938">
        <v>3766666.67</v>
      </c>
      <c r="H84" s="1908">
        <v>7130000</v>
      </c>
      <c r="I84" s="1908">
        <v>1700000</v>
      </c>
      <c r="J84" s="1976">
        <v>4300000</v>
      </c>
      <c r="K84" s="1874">
        <f t="shared" si="29"/>
        <v>4224166.6675000004</v>
      </c>
      <c r="L84" s="1980">
        <v>3879433</v>
      </c>
      <c r="M84" s="1981">
        <v>5400000</v>
      </c>
      <c r="N84" s="1982">
        <v>3500000</v>
      </c>
      <c r="O84" s="1982"/>
      <c r="P84" s="2141">
        <f t="shared" si="30"/>
        <v>4185461.5181982769</v>
      </c>
      <c r="Q84" s="1982">
        <v>3500000</v>
      </c>
      <c r="R84" s="1982">
        <v>2400000</v>
      </c>
      <c r="Y84" s="3087">
        <v>5109633</v>
      </c>
      <c r="Z84" s="3100">
        <v>5958368.6699999999</v>
      </c>
      <c r="AB84">
        <v>3621055.1759346733</v>
      </c>
    </row>
    <row r="85" spans="2:28">
      <c r="B85" s="1961" t="s">
        <v>107</v>
      </c>
      <c r="C85" s="1908">
        <v>19937204.876487456</v>
      </c>
      <c r="D85" s="1908">
        <v>4654140.6195451021</v>
      </c>
      <c r="E85" s="1908">
        <v>58343117.071841471</v>
      </c>
      <c r="F85" s="1909">
        <v>5506565.8740472095</v>
      </c>
      <c r="G85" s="1938">
        <v>7933333.3300000001</v>
      </c>
      <c r="H85" s="1908">
        <v>22333333</v>
      </c>
      <c r="I85" s="1908">
        <v>13266666.6666667</v>
      </c>
      <c r="J85" s="1976">
        <v>14033333</v>
      </c>
      <c r="K85" s="1874">
        <f t="shared" si="29"/>
        <v>14391666.499166675</v>
      </c>
      <c r="L85" s="1980">
        <v>16025999</v>
      </c>
      <c r="M85" s="1854">
        <v>35000000</v>
      </c>
      <c r="N85" s="1982">
        <v>11000000</v>
      </c>
      <c r="O85" s="1983"/>
      <c r="P85" s="2141">
        <f t="shared" si="30"/>
        <v>18341236.614722282</v>
      </c>
      <c r="Q85" s="1983">
        <v>3500000</v>
      </c>
      <c r="R85" s="1983">
        <v>3500000</v>
      </c>
      <c r="Y85" s="3087">
        <v>6717114</v>
      </c>
      <c r="Z85" s="3100">
        <v>12557769.67</v>
      </c>
      <c r="AB85">
        <v>12831297.284261478</v>
      </c>
    </row>
    <row r="86" spans="2:28" ht="15" customHeight="1">
      <c r="B86" s="1961" t="s">
        <v>97</v>
      </c>
      <c r="C86" s="1908">
        <v>1112585.9941059656</v>
      </c>
      <c r="D86" s="1908">
        <v>2922178.2352039488</v>
      </c>
      <c r="E86" s="1908">
        <v>984664.8418868467</v>
      </c>
      <c r="F86" s="1909">
        <v>1680667.4228682138</v>
      </c>
      <c r="G86" s="1938">
        <v>4433333.33</v>
      </c>
      <c r="H86" s="1908">
        <v>3400000</v>
      </c>
      <c r="I86" s="1908">
        <v>3500000</v>
      </c>
      <c r="J86" s="1976">
        <v>1995000</v>
      </c>
      <c r="K86" s="1874">
        <f t="shared" si="29"/>
        <v>3332083.3325</v>
      </c>
      <c r="L86" s="1980">
        <v>1817373</v>
      </c>
      <c r="M86" s="1851">
        <v>16000000</v>
      </c>
      <c r="N86" s="1982">
        <v>4900000</v>
      </c>
      <c r="O86" s="1983"/>
      <c r="P86" s="2141">
        <f t="shared" si="30"/>
        <v>5223000.2276782049</v>
      </c>
      <c r="Q86" s="1983">
        <v>3500000</v>
      </c>
      <c r="R86" s="1983">
        <v>2400000</v>
      </c>
      <c r="Y86" s="3087">
        <v>16000000</v>
      </c>
      <c r="Z86" s="3087">
        <v>6929913</v>
      </c>
      <c r="AB86" t="e">
        <v>#NUM!</v>
      </c>
    </row>
    <row r="87" spans="2:28" ht="15" customHeight="1">
      <c r="B87" s="1961" t="s">
        <v>98</v>
      </c>
      <c r="C87" s="1908">
        <v>1936749.8203697365</v>
      </c>
      <c r="D87" s="1908">
        <v>1975347.9408555597</v>
      </c>
      <c r="E87" s="1908">
        <v>1037800.6138438244</v>
      </c>
      <c r="F87" s="1909">
        <v>2444380.6789788054</v>
      </c>
      <c r="G87" s="1914">
        <v>3500000</v>
      </c>
      <c r="H87" s="1908">
        <v>5033333</v>
      </c>
      <c r="I87" s="1908">
        <v>1446666.66666667</v>
      </c>
      <c r="J87" s="1976">
        <v>843333</v>
      </c>
      <c r="K87" s="1874">
        <f t="shared" si="29"/>
        <v>2705833.1666666674</v>
      </c>
      <c r="L87" s="1980">
        <v>1139912</v>
      </c>
      <c r="M87" s="1851">
        <v>3500000</v>
      </c>
      <c r="N87" s="1984" t="s">
        <v>82</v>
      </c>
      <c r="O87" s="1936"/>
      <c r="P87" s="2141">
        <f t="shared" si="30"/>
        <v>1997421.3376250889</v>
      </c>
      <c r="Q87" s="1936">
        <v>2400000</v>
      </c>
      <c r="R87" s="1936">
        <v>3500000</v>
      </c>
      <c r="Y87" s="3087">
        <v>3757748</v>
      </c>
      <c r="Z87" s="3100">
        <v>6845850.6699999999</v>
      </c>
      <c r="AB87">
        <v>3816383.7311863359</v>
      </c>
    </row>
    <row r="88" spans="2:28" ht="15" customHeight="1">
      <c r="B88" s="1914" t="s">
        <v>110</v>
      </c>
      <c r="C88" s="1962"/>
      <c r="D88" s="1962"/>
      <c r="E88" s="1908"/>
      <c r="F88" s="1978"/>
      <c r="G88" s="1938">
        <v>839500</v>
      </c>
      <c r="H88" s="1962" t="s">
        <v>155</v>
      </c>
      <c r="I88" s="1908">
        <v>445000</v>
      </c>
      <c r="J88" s="1976">
        <v>913333</v>
      </c>
      <c r="K88" s="1874">
        <f t="shared" si="29"/>
        <v>732611</v>
      </c>
      <c r="L88" s="1985">
        <v>593296</v>
      </c>
      <c r="M88" s="1061" t="s">
        <v>82</v>
      </c>
      <c r="N88" s="1984" t="s">
        <v>82</v>
      </c>
      <c r="O88" s="1936"/>
      <c r="P88" s="2141">
        <f t="shared" si="30"/>
        <v>593296</v>
      </c>
      <c r="Q88" s="1936"/>
      <c r="R88" s="1936"/>
      <c r="Y88" s="3087"/>
      <c r="Z88" s="5" t="s">
        <v>336</v>
      </c>
      <c r="AB88">
        <v>1599999.9999999981</v>
      </c>
    </row>
    <row r="89" spans="2:28" ht="15" customHeight="1">
      <c r="B89" s="1961" t="s">
        <v>87</v>
      </c>
      <c r="C89" s="1908">
        <v>30915.279414129142</v>
      </c>
      <c r="D89" s="1908">
        <v>58856.619127654238</v>
      </c>
      <c r="E89" s="1908">
        <v>55947.497426762529</v>
      </c>
      <c r="F89" s="1909">
        <v>117528.36534378529</v>
      </c>
      <c r="G89" s="1938">
        <v>116333.33</v>
      </c>
      <c r="H89" s="1908">
        <v>79333</v>
      </c>
      <c r="I89" s="1908">
        <v>49000</v>
      </c>
      <c r="J89" s="1976">
        <v>38333</v>
      </c>
      <c r="K89" s="1874">
        <f t="shared" si="29"/>
        <v>70749.832500000004</v>
      </c>
      <c r="L89" s="1977">
        <v>55331</v>
      </c>
      <c r="M89" s="1851">
        <v>130000</v>
      </c>
      <c r="N89" s="1855">
        <v>220000</v>
      </c>
      <c r="O89" s="1911"/>
      <c r="P89" s="2141">
        <f t="shared" si="30"/>
        <v>116531.90625905174</v>
      </c>
      <c r="Q89" s="1911">
        <v>79000</v>
      </c>
      <c r="R89" s="1911">
        <v>110000</v>
      </c>
      <c r="Y89" s="3087">
        <v>100354</v>
      </c>
      <c r="Z89" s="3100">
        <v>35988.33</v>
      </c>
      <c r="AB89">
        <v>122866.55217510305</v>
      </c>
    </row>
    <row r="90" spans="2:28" ht="15" customHeight="1">
      <c r="B90" s="1961" t="s">
        <v>103</v>
      </c>
      <c r="C90" s="1908">
        <v>3483188.296730808</v>
      </c>
      <c r="D90" s="1908">
        <v>2329875.704027852</v>
      </c>
      <c r="E90" s="1908">
        <v>8367027.1000366956</v>
      </c>
      <c r="F90" s="1909">
        <v>2373295.7660639691</v>
      </c>
      <c r="G90" s="1938">
        <v>615966.67000000004</v>
      </c>
      <c r="H90" s="1908">
        <v>14133333</v>
      </c>
      <c r="I90" s="1908">
        <v>4665000</v>
      </c>
      <c r="J90" s="1976">
        <v>837667</v>
      </c>
      <c r="K90" s="1874">
        <f t="shared" si="29"/>
        <v>5062991.6675000004</v>
      </c>
      <c r="L90" s="1977">
        <v>197737</v>
      </c>
      <c r="M90" s="1851" t="s">
        <v>343</v>
      </c>
      <c r="N90" s="1855"/>
      <c r="O90" s="1911"/>
      <c r="P90" s="2141">
        <f t="shared" si="30"/>
        <v>197737</v>
      </c>
      <c r="Q90" s="1911">
        <v>2400000</v>
      </c>
      <c r="R90" s="1911">
        <v>4900000</v>
      </c>
      <c r="Y90" s="3087">
        <v>3257102</v>
      </c>
      <c r="Z90" s="3087">
        <v>21669118</v>
      </c>
      <c r="AB90">
        <v>10805088.895860616</v>
      </c>
    </row>
    <row r="91" spans="2:28" s="3454" customFormat="1" ht="15" customHeight="1">
      <c r="B91" s="1961"/>
      <c r="C91" s="1908"/>
      <c r="D91" s="1908"/>
      <c r="E91" s="1908"/>
      <c r="F91" s="1909"/>
      <c r="G91" s="1938"/>
      <c r="H91" s="1908"/>
      <c r="I91" s="1908"/>
      <c r="J91" s="1976"/>
      <c r="K91" s="1874"/>
      <c r="L91" s="1977"/>
      <c r="M91" s="1851"/>
      <c r="N91" s="1855"/>
      <c r="O91" s="1911"/>
      <c r="P91" s="2141"/>
      <c r="Q91" s="1911"/>
      <c r="R91" s="1911"/>
      <c r="U91" s="2367"/>
      <c r="X91" s="1746"/>
      <c r="Y91" s="3087"/>
      <c r="Z91" s="3087"/>
      <c r="AB91" s="3454">
        <v>3079938.4578782418</v>
      </c>
    </row>
    <row r="92" spans="2:28" ht="15" customHeight="1">
      <c r="B92" s="1961" t="s">
        <v>95</v>
      </c>
      <c r="C92" s="1908">
        <v>1163908.6024283937</v>
      </c>
      <c r="D92" s="1908">
        <v>627624.09427124122</v>
      </c>
      <c r="E92" s="1908">
        <v>735320.65416938416</v>
      </c>
      <c r="F92" s="1909">
        <v>290528.19968172436</v>
      </c>
      <c r="G92" s="1938">
        <v>2533333.33</v>
      </c>
      <c r="H92" s="1908">
        <v>2666667</v>
      </c>
      <c r="I92" s="1908">
        <v>710000</v>
      </c>
      <c r="J92" s="1976">
        <v>1900000</v>
      </c>
      <c r="K92" s="1874">
        <f t="shared" si="29"/>
        <v>1952500.0825</v>
      </c>
      <c r="L92" s="1977">
        <v>1665991</v>
      </c>
      <c r="M92" s="1851">
        <v>3500000</v>
      </c>
      <c r="N92" s="1855">
        <v>11000000</v>
      </c>
      <c r="O92" s="1911"/>
      <c r="P92" s="2141">
        <f t="shared" si="30"/>
        <v>4002928.1372300526</v>
      </c>
      <c r="Q92" s="1911">
        <v>16000000</v>
      </c>
      <c r="R92" s="1911">
        <v>1100000</v>
      </c>
      <c r="Y92" s="3087">
        <v>6568270</v>
      </c>
      <c r="Z92" s="3087">
        <v>3500000</v>
      </c>
      <c r="AB92">
        <v>420725.3395943974</v>
      </c>
    </row>
    <row r="93" spans="2:28" ht="15" customHeight="1">
      <c r="B93" s="1961" t="s">
        <v>102</v>
      </c>
      <c r="C93" s="1908">
        <v>34831.882967308127</v>
      </c>
      <c r="D93" s="1908">
        <v>338358.80430098029</v>
      </c>
      <c r="E93" s="1908">
        <v>48936.465457510691</v>
      </c>
      <c r="F93" s="1909">
        <v>27457.462386261268</v>
      </c>
      <c r="G93" s="1938">
        <v>253333.33</v>
      </c>
      <c r="H93" s="1908">
        <v>323000</v>
      </c>
      <c r="I93" s="1908">
        <v>183333.33333333299</v>
      </c>
      <c r="J93" s="1976">
        <v>186333</v>
      </c>
      <c r="K93" s="1874">
        <f t="shared" si="29"/>
        <v>236499.91583333325</v>
      </c>
      <c r="L93" s="1977">
        <v>213307</v>
      </c>
      <c r="M93" s="1851" t="s">
        <v>343</v>
      </c>
      <c r="N93" s="1855"/>
      <c r="O93" s="1911"/>
      <c r="P93" s="2141">
        <f t="shared" si="30"/>
        <v>213307</v>
      </c>
      <c r="Q93" s="1911">
        <v>490000</v>
      </c>
      <c r="R93" s="1911">
        <v>490000</v>
      </c>
      <c r="Y93" s="3087">
        <v>228696</v>
      </c>
      <c r="Z93">
        <v>145166</v>
      </c>
      <c r="AB93">
        <v>144647.84918785244</v>
      </c>
    </row>
    <row r="94" spans="2:28" s="3454" customFormat="1" ht="15" customHeight="1">
      <c r="B94" s="1961"/>
      <c r="C94" s="1908"/>
      <c r="D94" s="1908"/>
      <c r="E94" s="1908"/>
      <c r="F94" s="1909"/>
      <c r="G94" s="1938"/>
      <c r="H94" s="1908"/>
      <c r="I94" s="1908"/>
      <c r="J94" s="1976"/>
      <c r="K94" s="1874"/>
      <c r="L94" s="1977"/>
      <c r="M94" s="1851"/>
      <c r="N94" s="1855"/>
      <c r="O94" s="1911"/>
      <c r="P94" s="2141"/>
      <c r="Q94" s="1911"/>
      <c r="R94" s="1911"/>
      <c r="U94" s="2367"/>
      <c r="X94" s="1746"/>
      <c r="Y94" s="3087"/>
      <c r="AB94" s="3454">
        <v>55439.084640804351</v>
      </c>
    </row>
    <row r="95" spans="2:28" ht="15" customHeight="1">
      <c r="B95" s="1961" t="s">
        <v>83</v>
      </c>
      <c r="C95" s="1908">
        <v>23490.746826204886</v>
      </c>
      <c r="D95" s="1908">
        <v>18784.184179451262</v>
      </c>
      <c r="E95" s="1908">
        <v>54340.096473158468</v>
      </c>
      <c r="F95" s="1909">
        <v>38295.72920203206</v>
      </c>
      <c r="G95" s="1938">
        <v>29666.67</v>
      </c>
      <c r="H95" s="1908">
        <v>75000</v>
      </c>
      <c r="I95" s="1908">
        <v>47000</v>
      </c>
      <c r="J95" s="1976">
        <v>26667</v>
      </c>
      <c r="K95" s="1874">
        <f t="shared" si="29"/>
        <v>44583.417499999996</v>
      </c>
      <c r="L95" s="1977">
        <v>24796</v>
      </c>
      <c r="M95" s="1851">
        <v>33000</v>
      </c>
      <c r="N95" s="1855">
        <v>350000</v>
      </c>
      <c r="O95" s="1911"/>
      <c r="P95" s="2141">
        <f t="shared" si="30"/>
        <v>65915.54855042389</v>
      </c>
      <c r="Q95" s="1911">
        <v>49000</v>
      </c>
      <c r="R95" s="1911">
        <v>920000</v>
      </c>
      <c r="Y95" s="3087">
        <v>190854</v>
      </c>
      <c r="Z95" s="3100">
        <v>128873.67</v>
      </c>
      <c r="AB95">
        <v>40398.084213133116</v>
      </c>
    </row>
    <row r="96" spans="2:28" ht="15" customHeight="1">
      <c r="B96" s="1961" t="s">
        <v>84</v>
      </c>
      <c r="C96" s="1908">
        <v>36037.72073700757</v>
      </c>
      <c r="D96" s="1908">
        <v>90808.65185231698</v>
      </c>
      <c r="E96" s="1908">
        <v>108876.0732444107</v>
      </c>
      <c r="F96" s="1909">
        <v>186226.22180968279</v>
      </c>
      <c r="G96" s="1938">
        <v>324666.67</v>
      </c>
      <c r="H96" s="1908">
        <v>276667</v>
      </c>
      <c r="I96" s="1908">
        <v>176650</v>
      </c>
      <c r="J96" s="1976">
        <v>390000</v>
      </c>
      <c r="K96" s="1874">
        <f t="shared" si="29"/>
        <v>291995.91749999998</v>
      </c>
      <c r="L96" s="1977">
        <v>242474</v>
      </c>
      <c r="M96" s="1851" t="s">
        <v>343</v>
      </c>
      <c r="N96" s="1855"/>
      <c r="O96" s="1911"/>
      <c r="P96" s="2141">
        <f t="shared" si="30"/>
        <v>242474</v>
      </c>
      <c r="Q96" s="1911">
        <v>33000</v>
      </c>
      <c r="R96" s="1911">
        <v>79000</v>
      </c>
      <c r="Y96" s="3087">
        <v>62824</v>
      </c>
      <c r="Z96">
        <v>192249.33</v>
      </c>
      <c r="AB96">
        <v>108379.40584499946</v>
      </c>
    </row>
    <row r="97" spans="2:28" s="3454" customFormat="1" ht="15" customHeight="1">
      <c r="B97" s="1961"/>
      <c r="C97" s="1908"/>
      <c r="D97" s="1908"/>
      <c r="E97" s="1908"/>
      <c r="F97" s="1909"/>
      <c r="G97" s="1938"/>
      <c r="H97" s="1908"/>
      <c r="I97" s="1908"/>
      <c r="J97" s="1976"/>
      <c r="K97" s="1874"/>
      <c r="L97" s="1977"/>
      <c r="M97" s="1851"/>
      <c r="N97" s="1855"/>
      <c r="O97" s="1911"/>
      <c r="P97" s="2141"/>
      <c r="Q97" s="1911"/>
      <c r="R97" s="1911"/>
      <c r="U97" s="2367"/>
      <c r="X97" s="1746"/>
      <c r="Y97" s="3087"/>
      <c r="AB97" s="3454">
        <v>14674.048316441449</v>
      </c>
    </row>
    <row r="98" spans="2:28" ht="15" customHeight="1">
      <c r="B98" s="1961" t="s">
        <v>90</v>
      </c>
      <c r="C98" s="1908">
        <v>42813.90285856148</v>
      </c>
      <c r="D98" s="1908">
        <v>38179.436515788024</v>
      </c>
      <c r="E98" s="1908">
        <v>120802.33399113305</v>
      </c>
      <c r="F98" s="1909">
        <v>138588.34001411981</v>
      </c>
      <c r="G98" s="1938">
        <v>186666.67</v>
      </c>
      <c r="H98" s="1908">
        <v>228333</v>
      </c>
      <c r="I98" s="1908">
        <v>149666.66666666666</v>
      </c>
      <c r="J98" s="1976">
        <v>334000</v>
      </c>
      <c r="K98" s="1874">
        <f t="shared" si="29"/>
        <v>224666.58416666667</v>
      </c>
      <c r="L98" s="1977">
        <v>172816</v>
      </c>
      <c r="M98" s="1851">
        <v>350000</v>
      </c>
      <c r="N98" s="1855">
        <v>130000</v>
      </c>
      <c r="O98" s="1911"/>
      <c r="P98" s="2141">
        <f t="shared" si="30"/>
        <v>198852.83261549511</v>
      </c>
      <c r="Q98" s="1911">
        <v>330000</v>
      </c>
      <c r="R98" s="1911">
        <v>350000</v>
      </c>
      <c r="Y98" s="3087">
        <v>114736</v>
      </c>
      <c r="Z98" s="3087">
        <v>67348</v>
      </c>
      <c r="AB98">
        <v>60412.332104714827</v>
      </c>
    </row>
    <row r="99" spans="2:28" ht="15" customHeight="1">
      <c r="B99" s="1961" t="s">
        <v>92</v>
      </c>
      <c r="C99" s="1908">
        <v>18579.700023236805</v>
      </c>
      <c r="D99" s="1908">
        <v>132773.64198972407</v>
      </c>
      <c r="E99" s="1908">
        <v>138588.34001411981</v>
      </c>
      <c r="F99" s="1909">
        <v>326417.80047845497</v>
      </c>
      <c r="G99" s="1938">
        <v>367666.67</v>
      </c>
      <c r="H99" s="1908">
        <v>57667</v>
      </c>
      <c r="I99" s="1908">
        <v>45333.333333333336</v>
      </c>
      <c r="J99" s="1976">
        <v>155333</v>
      </c>
      <c r="K99" s="1874">
        <f t="shared" si="29"/>
        <v>156500.00083333332</v>
      </c>
      <c r="L99" s="1977">
        <v>124623</v>
      </c>
      <c r="M99" s="1851">
        <v>49000</v>
      </c>
      <c r="N99" s="1855">
        <v>170000</v>
      </c>
      <c r="O99" s="1911"/>
      <c r="P99" s="2141">
        <f t="shared" si="30"/>
        <v>101254.51575652721</v>
      </c>
      <c r="Q99" s="1911">
        <v>540000</v>
      </c>
      <c r="R99" s="1911">
        <v>350000</v>
      </c>
      <c r="Y99" s="3087">
        <v>120413</v>
      </c>
      <c r="Z99" s="3267">
        <v>460971.33</v>
      </c>
      <c r="AB99">
        <v>291670.651421407</v>
      </c>
    </row>
    <row r="100" spans="2:28" ht="15" customHeight="1">
      <c r="B100" s="1961" t="s">
        <v>104</v>
      </c>
      <c r="C100" s="1908">
        <v>13537655.247860949</v>
      </c>
      <c r="D100" s="1908">
        <v>6912997.8015457066</v>
      </c>
      <c r="E100" s="1908">
        <v>3343850.242803846</v>
      </c>
      <c r="F100" s="1909">
        <v>3333133.5820454573</v>
      </c>
      <c r="G100" s="1938">
        <v>18800000</v>
      </c>
      <c r="H100" s="1908">
        <v>13433333</v>
      </c>
      <c r="I100" s="1908">
        <v>4266666.666666667</v>
      </c>
      <c r="J100" s="1976">
        <v>8966667</v>
      </c>
      <c r="K100" s="1874">
        <f t="shared" si="29"/>
        <v>11366666.666666666</v>
      </c>
      <c r="L100" s="1977">
        <v>3589268</v>
      </c>
      <c r="M100" s="1851">
        <v>16000000</v>
      </c>
      <c r="N100" s="1855">
        <v>24000000</v>
      </c>
      <c r="O100" s="1911"/>
      <c r="P100" s="2141">
        <f t="shared" si="30"/>
        <v>11128732.508804759</v>
      </c>
      <c r="Q100" s="1911">
        <v>3300000</v>
      </c>
      <c r="R100" s="1911">
        <v>14000000</v>
      </c>
      <c r="Y100" s="3087">
        <v>66662444</v>
      </c>
      <c r="Z100" s="3087">
        <v>42489966</v>
      </c>
      <c r="AB100">
        <v>18654046.712980986</v>
      </c>
    </row>
    <row r="101" spans="2:28" ht="15" customHeight="1">
      <c r="B101" s="1961" t="s">
        <v>93</v>
      </c>
      <c r="C101" s="1908">
        <v>73165.086793954659</v>
      </c>
      <c r="D101" s="1908">
        <v>52591.475898550918</v>
      </c>
      <c r="E101" s="1908">
        <v>51042.462638011792</v>
      </c>
      <c r="F101" s="1909">
        <v>243662.23533288279</v>
      </c>
      <c r="G101" s="1938">
        <v>1693333.33</v>
      </c>
      <c r="H101" s="1908">
        <v>230000</v>
      </c>
      <c r="I101" s="1908">
        <v>253000</v>
      </c>
      <c r="J101" s="1976">
        <v>176333</v>
      </c>
      <c r="K101" s="1874">
        <f t="shared" si="29"/>
        <v>588166.58250000002</v>
      </c>
      <c r="L101" s="1977">
        <v>290716</v>
      </c>
      <c r="M101" s="1851">
        <v>230000</v>
      </c>
      <c r="N101" s="1855">
        <v>540000</v>
      </c>
      <c r="O101" s="1911"/>
      <c r="P101" s="2141">
        <f t="shared" si="30"/>
        <v>330519.31456750375</v>
      </c>
      <c r="Q101" s="1911">
        <v>490000</v>
      </c>
      <c r="R101" s="1911"/>
      <c r="Y101" s="3087">
        <v>985078</v>
      </c>
      <c r="Z101" s="3100">
        <v>680524.67</v>
      </c>
      <c r="AB101">
        <v>987798.19037697709</v>
      </c>
    </row>
    <row r="102" spans="2:28" ht="15" customHeight="1">
      <c r="B102" s="1961" t="s">
        <v>99</v>
      </c>
      <c r="C102" s="1908">
        <v>3967843.4749000571</v>
      </c>
      <c r="D102" s="1908">
        <v>3955190.1362160733</v>
      </c>
      <c r="E102" s="1908">
        <v>2116780.3061016179</v>
      </c>
      <c r="F102" s="1909">
        <v>1720734.0093629949</v>
      </c>
      <c r="G102" s="1938">
        <v>11100000</v>
      </c>
      <c r="H102" s="1908">
        <v>3633333</v>
      </c>
      <c r="I102" s="1908">
        <v>1673333.3333333333</v>
      </c>
      <c r="J102" s="1976">
        <v>7243333</v>
      </c>
      <c r="K102" s="1874">
        <f t="shared" si="29"/>
        <v>5912499.833333334</v>
      </c>
      <c r="L102" s="1977">
        <v>6230993</v>
      </c>
      <c r="M102" s="1851">
        <v>9200000</v>
      </c>
      <c r="N102" s="1855">
        <v>5400000</v>
      </c>
      <c r="O102" s="1911"/>
      <c r="P102" s="2141">
        <f t="shared" si="30"/>
        <v>6764664.8316499526</v>
      </c>
      <c r="Q102" s="1911">
        <v>1700000</v>
      </c>
      <c r="R102" s="1911"/>
      <c r="Y102" s="3087">
        <v>1302347</v>
      </c>
      <c r="Z102" s="3087">
        <v>406247</v>
      </c>
      <c r="AB102">
        <v>422828.5967505537</v>
      </c>
    </row>
    <row r="103" spans="2:28" ht="15" customHeight="1">
      <c r="B103" s="1961" t="s">
        <v>89</v>
      </c>
      <c r="C103" s="1908">
        <v>24820.06674548754</v>
      </c>
      <c r="D103" s="1908">
        <v>35840.246342157196</v>
      </c>
      <c r="E103" s="1908">
        <v>77317.103061805537</v>
      </c>
      <c r="F103" s="1909">
        <v>80951.116383820423</v>
      </c>
      <c r="G103" s="1938">
        <v>264333.33</v>
      </c>
      <c r="H103" s="1908">
        <v>32000</v>
      </c>
      <c r="I103" s="1908">
        <v>17000</v>
      </c>
      <c r="J103" s="1976">
        <v>11000</v>
      </c>
      <c r="K103" s="1874">
        <f t="shared" si="29"/>
        <v>81083.332500000004</v>
      </c>
      <c r="L103" s="1977">
        <v>41952</v>
      </c>
      <c r="M103" s="1851">
        <v>7800</v>
      </c>
      <c r="N103" s="1855">
        <v>170000</v>
      </c>
      <c r="O103" s="1911"/>
      <c r="P103" s="2141">
        <f t="shared" si="30"/>
        <v>38173.800369639823</v>
      </c>
      <c r="Q103" s="1911">
        <v>350000</v>
      </c>
      <c r="R103" s="1911">
        <v>170000</v>
      </c>
      <c r="Y103" s="3087">
        <v>183646</v>
      </c>
      <c r="Z103" s="3087">
        <v>123756</v>
      </c>
      <c r="AB103">
        <v>172828.56174972045</v>
      </c>
    </row>
    <row r="104" spans="2:28" ht="15" customHeight="1">
      <c r="B104" s="1961" t="s">
        <v>88</v>
      </c>
      <c r="C104" s="1908">
        <v>15873.487030533481</v>
      </c>
      <c r="D104" s="1908">
        <v>13190.470248154617</v>
      </c>
      <c r="E104" s="1908">
        <v>54903.98780122945</v>
      </c>
      <c r="F104" s="1909">
        <v>692579.80359014403</v>
      </c>
      <c r="G104" s="1938">
        <v>79333.33</v>
      </c>
      <c r="H104" s="1908">
        <v>45000</v>
      </c>
      <c r="I104" s="1908">
        <v>70666.666666666672</v>
      </c>
      <c r="J104" s="1976">
        <v>333333</v>
      </c>
      <c r="K104" s="1874">
        <f t="shared" si="29"/>
        <v>132083.24916666668</v>
      </c>
      <c r="L104" s="1977">
        <v>235543</v>
      </c>
      <c r="M104" s="1851">
        <v>49000</v>
      </c>
      <c r="N104" s="1855">
        <v>240000</v>
      </c>
      <c r="O104" s="1911"/>
      <c r="P104" s="2141">
        <f t="shared" si="30"/>
        <v>140440.54559053478</v>
      </c>
      <c r="Q104" s="1911">
        <v>11000</v>
      </c>
      <c r="R104" s="1911">
        <v>94000</v>
      </c>
      <c r="Y104" s="3087">
        <v>42951</v>
      </c>
      <c r="Z104" s="3087">
        <v>67989</v>
      </c>
      <c r="AB104">
        <v>168956.50352010489</v>
      </c>
    </row>
    <row r="105" spans="2:28" ht="15" customHeight="1">
      <c r="B105" s="1961" t="s">
        <v>86</v>
      </c>
      <c r="C105" s="1908">
        <v>27673.685694931035</v>
      </c>
      <c r="D105" s="1908">
        <v>42459.10547493901</v>
      </c>
      <c r="E105" s="1908">
        <v>89763.486329960564</v>
      </c>
      <c r="F105" s="1909">
        <v>54645.867109676801</v>
      </c>
      <c r="G105" s="1938">
        <v>144333.32999999999</v>
      </c>
      <c r="H105" s="1908">
        <v>149667</v>
      </c>
      <c r="I105" s="1908">
        <v>133000</v>
      </c>
      <c r="J105" s="1976">
        <v>59000</v>
      </c>
      <c r="K105" s="1874">
        <f t="shared" si="29"/>
        <v>121500.08249999999</v>
      </c>
      <c r="L105" s="1977">
        <v>86981</v>
      </c>
      <c r="M105" s="1851" t="s">
        <v>343</v>
      </c>
      <c r="N105" s="1855"/>
      <c r="O105" s="1911"/>
      <c r="P105" s="2141">
        <f t="shared" si="30"/>
        <v>86981</v>
      </c>
      <c r="Q105" s="1911">
        <v>240000</v>
      </c>
      <c r="R105" s="1911">
        <v>540000</v>
      </c>
      <c r="Y105" s="3087">
        <v>101052</v>
      </c>
      <c r="Z105" s="3087">
        <v>141989.67000000001</v>
      </c>
      <c r="AB105">
        <v>177564.89896389982</v>
      </c>
    </row>
    <row r="106" spans="2:28" s="3454" customFormat="1" ht="15" customHeight="1">
      <c r="B106" s="1961"/>
      <c r="C106" s="1908"/>
      <c r="D106" s="1908"/>
      <c r="E106" s="1908"/>
      <c r="F106" s="1909"/>
      <c r="G106" s="1938"/>
      <c r="H106" s="1908"/>
      <c r="I106" s="1908"/>
      <c r="J106" s="1976"/>
      <c r="K106" s="1874"/>
      <c r="L106" s="1977"/>
      <c r="M106" s="1851"/>
      <c r="N106" s="1855"/>
      <c r="O106" s="1911"/>
      <c r="P106" s="2141"/>
      <c r="Q106" s="1911"/>
      <c r="R106" s="1911"/>
      <c r="U106" s="2367"/>
      <c r="X106" s="1746"/>
      <c r="Y106" s="3087"/>
      <c r="Z106" s="3087"/>
      <c r="AB106" s="3454">
        <v>64991.686321652902</v>
      </c>
    </row>
    <row r="107" spans="2:28" ht="15" customHeight="1">
      <c r="B107" s="1961" t="s">
        <v>100</v>
      </c>
      <c r="C107" s="1908">
        <v>6115672.3217236353</v>
      </c>
      <c r="D107" s="1908">
        <v>3955190.1362160733</v>
      </c>
      <c r="E107" s="1908">
        <v>2287276.6653405381</v>
      </c>
      <c r="F107" s="1909">
        <v>24283616.335998353</v>
      </c>
      <c r="G107" s="1938">
        <v>5866666.6699999999</v>
      </c>
      <c r="H107" s="1908">
        <v>12766667</v>
      </c>
      <c r="I107" s="1908">
        <v>13000000</v>
      </c>
      <c r="J107" s="1976">
        <v>6666667</v>
      </c>
      <c r="K107" s="1874">
        <f t="shared" si="29"/>
        <v>9575000.1675000004</v>
      </c>
      <c r="L107" s="1977">
        <v>2540379</v>
      </c>
      <c r="M107" s="1851" t="s">
        <v>343</v>
      </c>
      <c r="N107" s="1855"/>
      <c r="O107" s="1911"/>
      <c r="P107" s="2141">
        <f t="shared" si="30"/>
        <v>2540379</v>
      </c>
      <c r="Q107" s="1911">
        <v>3500000</v>
      </c>
      <c r="R107" s="1911">
        <v>5400000</v>
      </c>
      <c r="Y107" s="3087">
        <v>2447052</v>
      </c>
      <c r="Z107" s="3087">
        <v>3501609</v>
      </c>
      <c r="AB107">
        <v>5270836.4064348759</v>
      </c>
    </row>
    <row r="108" spans="2:28" s="3454" customFormat="1" ht="15" customHeight="1">
      <c r="B108" s="1961"/>
      <c r="C108" s="1908"/>
      <c r="D108" s="1908"/>
      <c r="E108" s="1908"/>
      <c r="F108" s="1909"/>
      <c r="G108" s="1938"/>
      <c r="H108" s="1908"/>
      <c r="I108" s="1908"/>
      <c r="J108" s="1976"/>
      <c r="K108" s="1874"/>
      <c r="L108" s="1977"/>
      <c r="M108" s="1851"/>
      <c r="N108" s="1855"/>
      <c r="O108" s="1911"/>
      <c r="P108" s="2141"/>
      <c r="Q108" s="1911"/>
      <c r="R108" s="1911"/>
      <c r="U108" s="2367"/>
      <c r="X108" s="1746"/>
      <c r="Y108" s="3087"/>
      <c r="Z108" s="3087"/>
      <c r="AB108" s="3454">
        <v>3919053.3103405442</v>
      </c>
    </row>
    <row r="109" spans="2:28" s="3454" customFormat="1" ht="15" customHeight="1">
      <c r="B109" s="1961"/>
      <c r="C109" s="1908"/>
      <c r="D109" s="1908"/>
      <c r="E109" s="1908"/>
      <c r="F109" s="1909"/>
      <c r="G109" s="1938"/>
      <c r="H109" s="1908"/>
      <c r="I109" s="1908"/>
      <c r="J109" s="1976"/>
      <c r="K109" s="1874"/>
      <c r="L109" s="1977"/>
      <c r="M109" s="1851"/>
      <c r="N109" s="1855"/>
      <c r="O109" s="1911"/>
      <c r="P109" s="2141"/>
      <c r="Q109" s="1911"/>
      <c r="R109" s="1911"/>
      <c r="U109" s="2367"/>
      <c r="X109" s="1746"/>
      <c r="Y109" s="3087"/>
      <c r="Z109" s="3087"/>
      <c r="AB109" s="3454">
        <v>1588512.1005413753</v>
      </c>
    </row>
    <row r="110" spans="2:28" ht="15" customHeight="1">
      <c r="B110" s="1961" t="s">
        <v>91</v>
      </c>
      <c r="C110" s="1908">
        <v>58983.144658612262</v>
      </c>
      <c r="D110" s="1908">
        <v>145083.68454783119</v>
      </c>
      <c r="E110" s="1908">
        <v>302283.39672836353</v>
      </c>
      <c r="F110" s="1909">
        <v>320681.41413405479</v>
      </c>
      <c r="G110" s="1938">
        <v>316966.67</v>
      </c>
      <c r="H110" s="1908">
        <v>164333</v>
      </c>
      <c r="I110" s="1908">
        <v>1246666.6666666667</v>
      </c>
      <c r="J110" s="1976">
        <v>330000</v>
      </c>
      <c r="K110" s="1874">
        <f t="shared" si="29"/>
        <v>514491.58416666667</v>
      </c>
      <c r="L110" s="1977">
        <v>400541</v>
      </c>
      <c r="M110" s="1851" t="s">
        <v>343</v>
      </c>
      <c r="N110" s="1855"/>
      <c r="O110" s="1911"/>
      <c r="P110" s="2141">
        <f t="shared" si="30"/>
        <v>400541</v>
      </c>
      <c r="Q110" s="1911">
        <v>33000</v>
      </c>
      <c r="R110" s="1911">
        <v>7800</v>
      </c>
      <c r="Y110" s="3087">
        <v>31391</v>
      </c>
      <c r="AB110" t="e">
        <v>#NUM!</v>
      </c>
    </row>
    <row r="111" spans="2:28" s="3267" customFormat="1" ht="15" customHeight="1">
      <c r="B111" s="3274" t="s">
        <v>405</v>
      </c>
      <c r="C111" s="1908"/>
      <c r="D111" s="1908"/>
      <c r="E111" s="1908"/>
      <c r="F111" s="1909"/>
      <c r="G111" s="1938"/>
      <c r="H111" s="1908"/>
      <c r="I111" s="1908"/>
      <c r="J111" s="1976"/>
      <c r="K111" s="1874"/>
      <c r="L111" s="1977"/>
      <c r="M111" s="1851"/>
      <c r="N111" s="1855"/>
      <c r="O111" s="1911"/>
      <c r="P111" s="2141"/>
      <c r="Q111" s="1911"/>
      <c r="R111" s="1911"/>
      <c r="U111" s="2367"/>
      <c r="X111" s="1746"/>
      <c r="Y111" s="3087"/>
      <c r="Z111" s="3087">
        <v>22631</v>
      </c>
      <c r="AB111" s="3267">
        <v>746434.53408433171</v>
      </c>
    </row>
    <row r="112" spans="2:28" s="3267" customFormat="1" ht="15" customHeight="1">
      <c r="B112" s="3274" t="s">
        <v>406</v>
      </c>
      <c r="C112" s="1908"/>
      <c r="D112" s="1908"/>
      <c r="E112" s="1908"/>
      <c r="F112" s="1909"/>
      <c r="G112" s="1938"/>
      <c r="H112" s="1908"/>
      <c r="I112" s="1908"/>
      <c r="J112" s="1976"/>
      <c r="K112" s="1874"/>
      <c r="L112" s="1977"/>
      <c r="M112" s="1851"/>
      <c r="N112" s="1855"/>
      <c r="O112" s="1911"/>
      <c r="P112" s="2141"/>
      <c r="Q112" s="1911"/>
      <c r="R112" s="1911"/>
      <c r="U112" s="2367"/>
      <c r="X112" s="1746"/>
      <c r="Y112" s="3087"/>
      <c r="Z112" s="3087">
        <v>13365</v>
      </c>
      <c r="AB112" s="3267">
        <v>84123.338176803969</v>
      </c>
    </row>
    <row r="113" spans="1:28" s="3267" customFormat="1" ht="15" customHeight="1">
      <c r="B113" s="3274" t="s">
        <v>407</v>
      </c>
      <c r="C113" s="1908"/>
      <c r="D113" s="1908"/>
      <c r="E113" s="1908"/>
      <c r="F113" s="1909"/>
      <c r="G113" s="1938"/>
      <c r="H113" s="1908"/>
      <c r="I113" s="1908"/>
      <c r="J113" s="1976"/>
      <c r="K113" s="1874"/>
      <c r="L113" s="1977"/>
      <c r="M113" s="1851"/>
      <c r="N113" s="1855"/>
      <c r="O113" s="1911"/>
      <c r="P113" s="2141"/>
      <c r="Q113" s="1911"/>
      <c r="R113" s="1911"/>
      <c r="U113" s="2367"/>
      <c r="X113" s="1746"/>
      <c r="Y113" s="3087"/>
      <c r="Z113" s="3087">
        <v>6493.67</v>
      </c>
      <c r="AB113" s="3267">
        <v>159999.99999999991</v>
      </c>
    </row>
    <row r="114" spans="1:28" ht="15" customHeight="1">
      <c r="B114" s="1961" t="s">
        <v>108</v>
      </c>
      <c r="C114" s="1908">
        <v>264952.28834478284</v>
      </c>
      <c r="D114" s="1908">
        <v>502973.37187317444</v>
      </c>
      <c r="E114" s="1908">
        <v>234739.01780706158</v>
      </c>
      <c r="F114" s="1909">
        <v>117010.31308183417</v>
      </c>
      <c r="G114" s="1914"/>
      <c r="H114" s="1962" t="s">
        <v>155</v>
      </c>
      <c r="I114" s="1908"/>
      <c r="J114" s="1976" t="s">
        <v>109</v>
      </c>
      <c r="K114" s="1874" t="e">
        <f t="shared" si="29"/>
        <v>#DIV/0!</v>
      </c>
      <c r="L114" s="1977"/>
      <c r="M114" s="1851">
        <v>220000</v>
      </c>
      <c r="N114" s="1855">
        <v>330000</v>
      </c>
      <c r="O114" s="1911"/>
      <c r="P114" s="2141">
        <f t="shared" si="30"/>
        <v>269443.8717061496</v>
      </c>
      <c r="Q114" s="1911">
        <v>790000</v>
      </c>
      <c r="R114" s="1911"/>
      <c r="Y114" s="3087">
        <v>362750</v>
      </c>
      <c r="Z114" s="3087">
        <v>467021</v>
      </c>
      <c r="AB114">
        <v>239862.33280901017</v>
      </c>
    </row>
    <row r="115" spans="1:28" ht="15" customHeight="1" thickBot="1">
      <c r="B115" s="1986" t="s">
        <v>106</v>
      </c>
      <c r="C115" s="1915">
        <v>16421524.309604488</v>
      </c>
      <c r="D115" s="1915">
        <v>15307942.260605391</v>
      </c>
      <c r="E115" s="1915">
        <v>13449926.585348155</v>
      </c>
      <c r="F115" s="1916">
        <v>16700663.835793016</v>
      </c>
      <c r="G115" s="1987">
        <v>19066666.670000002</v>
      </c>
      <c r="H115" s="1966">
        <v>65000000</v>
      </c>
      <c r="I115" s="1966">
        <v>17000000</v>
      </c>
      <c r="J115" s="1988">
        <v>2765000</v>
      </c>
      <c r="K115" s="1874">
        <f t="shared" si="29"/>
        <v>25957916.6675</v>
      </c>
      <c r="L115" s="1989">
        <v>14460854</v>
      </c>
      <c r="M115" s="1990" t="s">
        <v>343</v>
      </c>
      <c r="N115" s="1991"/>
      <c r="O115" s="1920"/>
      <c r="P115" s="2141">
        <f t="shared" si="30"/>
        <v>14460854</v>
      </c>
      <c r="Q115" s="1920">
        <v>160000000</v>
      </c>
      <c r="R115" s="1920"/>
      <c r="Y115" s="3087">
        <v>27972415</v>
      </c>
      <c r="Z115" s="3087">
        <v>51839163</v>
      </c>
      <c r="AB115">
        <v>26118019.160941426</v>
      </c>
    </row>
    <row r="116" spans="1:28" s="3454" customFormat="1" ht="15" customHeight="1">
      <c r="B116" s="3471"/>
      <c r="C116" s="3472"/>
      <c r="D116" s="3472"/>
      <c r="E116" s="3472"/>
      <c r="F116" s="3472"/>
      <c r="G116" s="3473"/>
      <c r="H116" s="3472"/>
      <c r="I116" s="3472"/>
      <c r="J116" s="3474"/>
      <c r="K116" s="3475"/>
      <c r="L116" s="3476"/>
      <c r="M116" s="3475"/>
      <c r="N116" s="3475"/>
      <c r="O116" s="3006"/>
      <c r="P116" s="2141"/>
      <c r="Q116" s="3006"/>
      <c r="R116" s="3006"/>
      <c r="U116" s="2367"/>
      <c r="X116" s="1746"/>
      <c r="Y116" s="3087"/>
      <c r="Z116" s="3087"/>
      <c r="AB116" s="3454">
        <v>216454.63414097065</v>
      </c>
    </row>
    <row r="117" spans="1:28" s="3454" customFormat="1" ht="15" customHeight="1">
      <c r="B117" s="3275" t="s">
        <v>408</v>
      </c>
      <c r="C117" s="3472"/>
      <c r="D117" s="3472"/>
      <c r="E117" s="3472"/>
      <c r="F117" s="3472"/>
      <c r="G117" s="3473"/>
      <c r="H117" s="3472"/>
      <c r="I117" s="3472"/>
      <c r="J117" s="3474"/>
      <c r="K117" s="3475"/>
      <c r="L117" s="3476"/>
      <c r="M117" s="3475"/>
      <c r="N117" s="3475"/>
      <c r="O117" s="3006"/>
      <c r="P117" s="2141"/>
      <c r="Q117" s="3006"/>
      <c r="R117" s="3006"/>
      <c r="U117" s="2367"/>
      <c r="X117" s="1746"/>
      <c r="Y117" s="3087"/>
      <c r="Z117" s="2140">
        <v>2192273.67</v>
      </c>
      <c r="AB117" s="3454">
        <v>1909529.5250360984</v>
      </c>
    </row>
    <row r="118" spans="1:28" s="1040" customFormat="1" ht="15" customHeight="1">
      <c r="A118" s="1064"/>
      <c r="B118" s="1891" t="s">
        <v>285</v>
      </c>
      <c r="C118" s="1892">
        <f>COUNTIF(C80:C115,"&lt;=5000")</f>
        <v>0</v>
      </c>
      <c r="D118" s="1892">
        <f t="shared" ref="D118:AB118" si="31">COUNTIF(D80:D115,"&lt;=5000")</f>
        <v>0</v>
      </c>
      <c r="E118" s="1892">
        <f t="shared" si="31"/>
        <v>0</v>
      </c>
      <c r="F118" s="1892">
        <f t="shared" si="31"/>
        <v>0</v>
      </c>
      <c r="G118" s="1892">
        <f t="shared" si="31"/>
        <v>0</v>
      </c>
      <c r="H118" s="1892">
        <f t="shared" si="31"/>
        <v>0</v>
      </c>
      <c r="I118" s="1892">
        <f t="shared" si="31"/>
        <v>0</v>
      </c>
      <c r="J118" s="1892">
        <f t="shared" si="31"/>
        <v>0</v>
      </c>
      <c r="K118" s="1892">
        <f t="shared" si="31"/>
        <v>0</v>
      </c>
      <c r="L118" s="1892">
        <f t="shared" si="31"/>
        <v>0</v>
      </c>
      <c r="M118" s="1892">
        <f t="shared" si="31"/>
        <v>0</v>
      </c>
      <c r="N118" s="1892">
        <f t="shared" si="31"/>
        <v>0</v>
      </c>
      <c r="O118" s="1892">
        <f t="shared" si="31"/>
        <v>0</v>
      </c>
      <c r="P118" s="1892">
        <f t="shared" si="31"/>
        <v>0</v>
      </c>
      <c r="Q118" s="1892">
        <f t="shared" si="31"/>
        <v>0</v>
      </c>
      <c r="R118" s="1892">
        <f t="shared" si="31"/>
        <v>0</v>
      </c>
      <c r="S118" s="1892">
        <f t="shared" si="31"/>
        <v>0</v>
      </c>
      <c r="T118" s="1892">
        <f t="shared" si="31"/>
        <v>0</v>
      </c>
      <c r="U118" s="1892">
        <f t="shared" si="31"/>
        <v>0</v>
      </c>
      <c r="V118" s="1892">
        <f t="shared" si="31"/>
        <v>0</v>
      </c>
      <c r="W118" s="1892">
        <f t="shared" si="31"/>
        <v>0</v>
      </c>
      <c r="X118" s="1892">
        <f t="shared" si="31"/>
        <v>0</v>
      </c>
      <c r="Y118" s="1892">
        <f t="shared" si="31"/>
        <v>0</v>
      </c>
      <c r="Z118" s="1892">
        <f t="shared" si="31"/>
        <v>0</v>
      </c>
      <c r="AA118" s="1892">
        <f t="shared" si="31"/>
        <v>0</v>
      </c>
      <c r="AB118" s="1892">
        <f t="shared" si="31"/>
        <v>0</v>
      </c>
    </row>
    <row r="119" spans="1:28" s="1040" customFormat="1" ht="15" customHeight="1">
      <c r="A119" s="1064"/>
      <c r="B119" s="1891" t="s">
        <v>287</v>
      </c>
      <c r="C119" s="1892">
        <f t="shared" ref="C119:AA119" si="32">COUNT(C80:C115)</f>
        <v>25</v>
      </c>
      <c r="D119" s="1892">
        <f t="shared" si="32"/>
        <v>25</v>
      </c>
      <c r="E119" s="1892">
        <f t="shared" si="32"/>
        <v>25</v>
      </c>
      <c r="F119" s="1892">
        <f t="shared" si="32"/>
        <v>25</v>
      </c>
      <c r="G119" s="1892">
        <f t="shared" si="32"/>
        <v>26</v>
      </c>
      <c r="H119" s="1892">
        <f t="shared" si="32"/>
        <v>25</v>
      </c>
      <c r="I119" s="1892">
        <f t="shared" si="32"/>
        <v>26</v>
      </c>
      <c r="J119" s="1892">
        <f t="shared" si="32"/>
        <v>26</v>
      </c>
      <c r="K119" s="1892">
        <f t="shared" si="32"/>
        <v>26</v>
      </c>
      <c r="L119" s="1892">
        <f t="shared" si="32"/>
        <v>26</v>
      </c>
      <c r="M119" s="1892">
        <f t="shared" si="32"/>
        <v>18</v>
      </c>
      <c r="N119" s="1892">
        <f t="shared" si="32"/>
        <v>17</v>
      </c>
      <c r="O119" s="1892">
        <f t="shared" si="32"/>
        <v>0</v>
      </c>
      <c r="P119" s="1892">
        <f t="shared" si="32"/>
        <v>27</v>
      </c>
      <c r="Q119" s="1892">
        <f t="shared" si="32"/>
        <v>25</v>
      </c>
      <c r="R119" s="1892">
        <f t="shared" si="32"/>
        <v>20</v>
      </c>
      <c r="S119" s="1892">
        <f t="shared" si="32"/>
        <v>0</v>
      </c>
      <c r="T119" s="1892">
        <f t="shared" si="32"/>
        <v>0</v>
      </c>
      <c r="U119" s="1892">
        <f t="shared" si="32"/>
        <v>0</v>
      </c>
      <c r="V119" s="1892">
        <f t="shared" si="32"/>
        <v>0</v>
      </c>
      <c r="W119" s="1892">
        <f t="shared" si="32"/>
        <v>0</v>
      </c>
      <c r="X119" s="1892">
        <f t="shared" si="32"/>
        <v>0</v>
      </c>
      <c r="Y119" s="1892">
        <f t="shared" si="32"/>
        <v>25</v>
      </c>
      <c r="Z119" s="1892">
        <f t="shared" si="32"/>
        <v>27</v>
      </c>
      <c r="AA119" s="1892">
        <f t="shared" si="32"/>
        <v>0</v>
      </c>
      <c r="AB119" s="1892">
        <f>COUNT(AB80:AB117)</f>
        <v>35</v>
      </c>
    </row>
    <row r="120" spans="1:28" s="1040" customFormat="1" ht="15" customHeight="1">
      <c r="A120" s="1064"/>
      <c r="B120" s="1891" t="s">
        <v>202</v>
      </c>
      <c r="C120" s="1892">
        <f t="shared" ref="C120:AB120" si="33">C118/C119</f>
        <v>0</v>
      </c>
      <c r="D120" s="1892">
        <f t="shared" si="33"/>
        <v>0</v>
      </c>
      <c r="E120" s="1892">
        <f t="shared" si="33"/>
        <v>0</v>
      </c>
      <c r="F120" s="1892">
        <f t="shared" si="33"/>
        <v>0</v>
      </c>
      <c r="G120" s="1892">
        <f t="shared" si="33"/>
        <v>0</v>
      </c>
      <c r="H120" s="1892">
        <f t="shared" si="33"/>
        <v>0</v>
      </c>
      <c r="I120" s="1892">
        <f t="shared" si="33"/>
        <v>0</v>
      </c>
      <c r="J120" s="1892">
        <f t="shared" si="33"/>
        <v>0</v>
      </c>
      <c r="K120" s="1892">
        <f t="shared" si="33"/>
        <v>0</v>
      </c>
      <c r="L120" s="1892">
        <f t="shared" si="33"/>
        <v>0</v>
      </c>
      <c r="M120" s="1892">
        <f t="shared" si="33"/>
        <v>0</v>
      </c>
      <c r="N120" s="1892">
        <f t="shared" si="33"/>
        <v>0</v>
      </c>
      <c r="O120" s="1892" t="e">
        <f t="shared" si="33"/>
        <v>#DIV/0!</v>
      </c>
      <c r="P120" s="1892">
        <f t="shared" si="33"/>
        <v>0</v>
      </c>
      <c r="Q120" s="1892">
        <f t="shared" si="33"/>
        <v>0</v>
      </c>
      <c r="R120" s="1892">
        <f t="shared" si="33"/>
        <v>0</v>
      </c>
      <c r="S120" s="1892" t="e">
        <f t="shared" si="33"/>
        <v>#DIV/0!</v>
      </c>
      <c r="T120" s="1892" t="e">
        <f t="shared" si="33"/>
        <v>#DIV/0!</v>
      </c>
      <c r="U120" s="1892" t="e">
        <f t="shared" si="33"/>
        <v>#DIV/0!</v>
      </c>
      <c r="V120" s="1892" t="e">
        <f t="shared" si="33"/>
        <v>#DIV/0!</v>
      </c>
      <c r="W120" s="1892" t="e">
        <f t="shared" si="33"/>
        <v>#DIV/0!</v>
      </c>
      <c r="X120" s="1892" t="e">
        <f t="shared" si="33"/>
        <v>#DIV/0!</v>
      </c>
      <c r="Y120" s="1892">
        <f t="shared" si="33"/>
        <v>0</v>
      </c>
      <c r="Z120" s="1892">
        <f t="shared" si="33"/>
        <v>0</v>
      </c>
      <c r="AA120" s="1892" t="e">
        <f t="shared" si="33"/>
        <v>#DIV/0!</v>
      </c>
      <c r="AB120" s="1892">
        <f t="shared" si="33"/>
        <v>0</v>
      </c>
    </row>
    <row r="121" spans="1:28" ht="15" customHeight="1">
      <c r="B121" s="1923"/>
      <c r="C121" s="1921"/>
      <c r="D121" s="1921"/>
      <c r="E121" s="1921"/>
      <c r="F121" s="1921"/>
      <c r="G121" s="1877"/>
      <c r="H121" s="1877"/>
      <c r="I121" s="1892"/>
      <c r="J121" s="1892"/>
      <c r="K121" s="1892"/>
      <c r="L121" s="1892"/>
      <c r="M121" s="1892"/>
      <c r="N121" s="1892"/>
      <c r="O121" s="1877"/>
      <c r="P121" s="1877"/>
      <c r="Q121" s="1878"/>
    </row>
    <row r="122" spans="1:28" ht="15" customHeight="1">
      <c r="B122" s="1923"/>
      <c r="C122" s="1921"/>
      <c r="D122" s="1921"/>
      <c r="E122" s="1921"/>
      <c r="F122" s="1921"/>
      <c r="G122" s="1877"/>
      <c r="H122" s="1877"/>
      <c r="I122" s="1892"/>
      <c r="J122" s="1892"/>
      <c r="K122" s="1892"/>
      <c r="L122" s="1892"/>
      <c r="M122" s="1892"/>
      <c r="N122" s="1892"/>
      <c r="O122" s="1877"/>
      <c r="P122" s="1877"/>
      <c r="Q122" s="1878"/>
    </row>
    <row r="123" spans="1:28" ht="15" customHeight="1">
      <c r="B123" s="1923"/>
      <c r="C123" s="1921"/>
      <c r="D123" s="1921"/>
      <c r="E123" s="1877"/>
      <c r="F123" s="3697" t="s">
        <v>111</v>
      </c>
      <c r="G123" s="3697"/>
      <c r="H123" s="1877"/>
      <c r="I123" s="1892"/>
      <c r="J123" s="1892"/>
      <c r="K123" s="1892"/>
      <c r="L123" s="1892"/>
      <c r="M123" s="1892"/>
      <c r="N123" s="1877"/>
      <c r="O123" s="3697" t="s">
        <v>111</v>
      </c>
      <c r="P123" s="3697"/>
      <c r="Q123" s="3698"/>
    </row>
    <row r="124" spans="1:28" ht="15" customHeight="1" thickBot="1">
      <c r="B124" s="1992"/>
      <c r="C124" s="1970"/>
      <c r="D124" s="1971"/>
      <c r="E124" s="1877"/>
      <c r="F124" s="3699"/>
      <c r="G124" s="3699"/>
      <c r="H124" s="1877"/>
      <c r="I124" s="1892"/>
      <c r="J124" s="1892"/>
      <c r="K124" s="1892"/>
      <c r="L124" s="1892"/>
      <c r="M124" s="1892"/>
      <c r="N124" s="1877"/>
      <c r="O124" s="3699"/>
      <c r="P124" s="3697"/>
      <c r="Q124" s="3698"/>
    </row>
    <row r="125" spans="1:28" ht="15" customHeight="1" thickBot="1">
      <c r="B125" s="1895" t="s">
        <v>168</v>
      </c>
      <c r="C125" s="1896">
        <v>5000</v>
      </c>
      <c r="D125" s="1896">
        <v>5000</v>
      </c>
      <c r="E125" s="1896">
        <v>5000</v>
      </c>
      <c r="F125" s="1896">
        <v>5000</v>
      </c>
      <c r="G125" s="1896">
        <v>5000</v>
      </c>
      <c r="H125" s="1896">
        <v>5000</v>
      </c>
      <c r="I125" s="1896">
        <v>5000</v>
      </c>
      <c r="J125" s="1896">
        <v>5000</v>
      </c>
      <c r="K125" s="1896">
        <v>5000</v>
      </c>
      <c r="L125" s="1896">
        <v>5000</v>
      </c>
      <c r="M125" s="1896">
        <v>5000</v>
      </c>
      <c r="N125" s="1896">
        <v>5000</v>
      </c>
      <c r="O125" s="1896">
        <v>5000</v>
      </c>
      <c r="P125" s="1896">
        <v>5000</v>
      </c>
      <c r="Q125" s="1896">
        <v>5000</v>
      </c>
      <c r="R125" s="1896">
        <v>5000</v>
      </c>
      <c r="S125" s="1896">
        <v>5000</v>
      </c>
      <c r="T125" s="1896">
        <v>5000</v>
      </c>
      <c r="U125" s="1896">
        <v>5000</v>
      </c>
      <c r="V125" s="1896">
        <v>5000</v>
      </c>
      <c r="W125" s="1896">
        <v>5000</v>
      </c>
      <c r="X125" s="1896">
        <v>5000</v>
      </c>
      <c r="Y125" s="1896">
        <v>5000</v>
      </c>
      <c r="Z125" s="1896">
        <v>5000</v>
      </c>
      <c r="AA125" s="1896">
        <v>5000</v>
      </c>
      <c r="AB125" s="1896">
        <v>5000</v>
      </c>
    </row>
    <row r="126" spans="1:28" ht="15" customHeight="1" thickBot="1">
      <c r="B126" s="1993" t="s">
        <v>116</v>
      </c>
      <c r="C126" s="1994">
        <v>5800000</v>
      </c>
      <c r="D126" s="1994">
        <v>898600000</v>
      </c>
      <c r="E126" s="1995">
        <v>15950000</v>
      </c>
      <c r="F126" s="1996">
        <v>158000</v>
      </c>
      <c r="G126" s="1997">
        <v>7666666.666666667</v>
      </c>
      <c r="H126" s="1998">
        <v>12000000</v>
      </c>
      <c r="I126" s="1999">
        <v>141333.33333333334</v>
      </c>
      <c r="J126" s="2000">
        <v>3003333.3333333335</v>
      </c>
      <c r="K126" s="1874">
        <f t="shared" ref="K126:K139" si="34">AVERAGE(G126:J126)</f>
        <v>5702833.333333333</v>
      </c>
      <c r="L126" s="2001">
        <v>23930000</v>
      </c>
      <c r="M126" s="2002">
        <v>86766666.670000002</v>
      </c>
      <c r="N126" s="2003">
        <v>1283333</v>
      </c>
      <c r="O126" s="2004"/>
      <c r="P126" s="2141">
        <f t="shared" ref="P126:P139" si="35">GEOMEAN(L126:O126)</f>
        <v>13863673.589560721</v>
      </c>
      <c r="Q126" s="2372">
        <v>35564189.888017498</v>
      </c>
      <c r="R126" s="2364"/>
      <c r="S126" s="2003">
        <v>1140000</v>
      </c>
      <c r="T126" s="2960">
        <v>79800</v>
      </c>
      <c r="U126" s="2974">
        <v>4870000</v>
      </c>
      <c r="V126" s="2963">
        <v>149000000</v>
      </c>
      <c r="W126" s="2963">
        <v>20100000</v>
      </c>
      <c r="X126" s="2370">
        <v>7470000</v>
      </c>
      <c r="Y126" s="2368"/>
      <c r="Z126" s="2368"/>
      <c r="AA126" s="2367"/>
    </row>
    <row r="127" spans="1:28" ht="15" customHeight="1" thickBot="1">
      <c r="B127" s="2005" t="s">
        <v>124</v>
      </c>
      <c r="C127" s="1994">
        <v>115000000</v>
      </c>
      <c r="D127" s="1994">
        <v>1087500000</v>
      </c>
      <c r="E127" s="1995">
        <v>132000000</v>
      </c>
      <c r="F127" s="1996">
        <v>30333333.333333332</v>
      </c>
      <c r="G127" s="2006">
        <v>859733333.33333337</v>
      </c>
      <c r="H127" s="1995">
        <v>64400000</v>
      </c>
      <c r="I127" s="2007">
        <v>63833333.333333336</v>
      </c>
      <c r="J127" s="2008">
        <v>2551333333.3333335</v>
      </c>
      <c r="K127" s="1874">
        <f t="shared" si="34"/>
        <v>884825000</v>
      </c>
      <c r="L127" s="2001">
        <v>30738000000</v>
      </c>
      <c r="M127" s="2009">
        <v>207000000</v>
      </c>
      <c r="N127" s="1943">
        <v>41666666.670000002</v>
      </c>
      <c r="O127" s="2004"/>
      <c r="P127" s="2141">
        <f t="shared" si="35"/>
        <v>642408930.9743681</v>
      </c>
      <c r="Q127" s="2373">
        <v>3187450851.4784951</v>
      </c>
      <c r="R127" s="2363"/>
      <c r="S127" s="1943">
        <v>21200000</v>
      </c>
      <c r="T127" s="2961">
        <v>24700000</v>
      </c>
      <c r="U127" s="2974">
        <v>48700000</v>
      </c>
      <c r="V127" s="2963">
        <v>62100000</v>
      </c>
      <c r="W127" s="2963">
        <v>64500000</v>
      </c>
      <c r="X127" s="2370">
        <v>1850000000</v>
      </c>
      <c r="Y127" s="2368"/>
      <c r="Z127" s="2368"/>
      <c r="AA127" s="2367"/>
    </row>
    <row r="128" spans="1:28" ht="15" customHeight="1" thickBot="1">
      <c r="B128" s="2005" t="s">
        <v>118</v>
      </c>
      <c r="C128" s="1994">
        <v>34000</v>
      </c>
      <c r="D128" s="1994">
        <v>760000</v>
      </c>
      <c r="E128" s="1995">
        <v>114666.66666666667</v>
      </c>
      <c r="F128" s="1996">
        <v>23100</v>
      </c>
      <c r="G128" s="2006">
        <v>58666.666666666664</v>
      </c>
      <c r="H128" s="1995">
        <v>31845000</v>
      </c>
      <c r="I128" s="2007">
        <v>77333.333333333328</v>
      </c>
      <c r="J128" s="2010"/>
      <c r="K128" s="1874">
        <f t="shared" si="34"/>
        <v>10660333.333333334</v>
      </c>
      <c r="L128" s="2001">
        <v>7451800</v>
      </c>
      <c r="M128" s="2009">
        <v>3966666.67</v>
      </c>
      <c r="N128" s="1943">
        <v>10766.67</v>
      </c>
      <c r="O128" s="2004"/>
      <c r="P128" s="2141">
        <f t="shared" si="35"/>
        <v>682741.18218071642</v>
      </c>
      <c r="Q128" s="2373">
        <v>27976.170201254285</v>
      </c>
      <c r="R128" s="2363"/>
      <c r="S128" s="1943">
        <v>9530</v>
      </c>
      <c r="T128" s="2961">
        <v>9210</v>
      </c>
      <c r="U128" s="2974">
        <v>3770</v>
      </c>
      <c r="V128" s="2963">
        <v>1820000</v>
      </c>
      <c r="W128" s="2963">
        <v>159000</v>
      </c>
      <c r="X128" s="2370">
        <v>27700</v>
      </c>
      <c r="Y128" s="2368"/>
      <c r="Z128" s="2368"/>
      <c r="AA128" s="2367"/>
    </row>
    <row r="129" spans="1:28" ht="15" customHeight="1" thickBot="1">
      <c r="B129" s="2005" t="s">
        <v>113</v>
      </c>
      <c r="C129" s="1994">
        <v>1080000</v>
      </c>
      <c r="D129" s="1994">
        <v>2733000000</v>
      </c>
      <c r="E129" s="1995">
        <v>1566666.6666666667</v>
      </c>
      <c r="F129" s="1996">
        <v>291666.66666666669</v>
      </c>
      <c r="G129" s="2006">
        <v>6080000</v>
      </c>
      <c r="H129" s="1995">
        <v>23640000</v>
      </c>
      <c r="I129" s="2007">
        <v>180306666.66666666</v>
      </c>
      <c r="J129" s="2008">
        <v>5543333.333333333</v>
      </c>
      <c r="K129" s="1874">
        <f t="shared" si="34"/>
        <v>53892500</v>
      </c>
      <c r="L129" s="2001">
        <v>31933333.333333332</v>
      </c>
      <c r="M129" s="2009">
        <v>15400000</v>
      </c>
      <c r="N129" s="1943">
        <v>3700000</v>
      </c>
      <c r="O129" s="2004"/>
      <c r="P129" s="2141">
        <f t="shared" si="35"/>
        <v>12208310.501212087</v>
      </c>
      <c r="Q129" s="2373">
        <v>31844295.692400418</v>
      </c>
      <c r="R129" s="2363"/>
      <c r="S129" s="1943">
        <v>1040000</v>
      </c>
      <c r="T129" s="2961">
        <v>330000</v>
      </c>
      <c r="U129" s="2974">
        <v>835000</v>
      </c>
      <c r="V129" s="2963">
        <v>4830000</v>
      </c>
      <c r="W129" s="2963">
        <v>5000000</v>
      </c>
      <c r="X129" s="2370">
        <v>893000</v>
      </c>
      <c r="Y129" s="2368"/>
      <c r="Z129" s="2368"/>
      <c r="AA129" s="2367"/>
    </row>
    <row r="130" spans="1:28" ht="15" customHeight="1" thickBot="1">
      <c r="B130" s="2005" t="s">
        <v>156</v>
      </c>
      <c r="C130" s="1994">
        <v>355000000</v>
      </c>
      <c r="D130" s="1994">
        <v>3975000000</v>
      </c>
      <c r="E130" s="1995">
        <v>80583333.333333328</v>
      </c>
      <c r="F130" s="1996">
        <v>37766666.666666664</v>
      </c>
      <c r="G130" s="2006">
        <v>581666666.66666663</v>
      </c>
      <c r="H130" s="1995">
        <v>65306666.666666664</v>
      </c>
      <c r="I130" s="2007">
        <v>37166666.666666664</v>
      </c>
      <c r="J130" s="2008">
        <v>8035333333.333333</v>
      </c>
      <c r="K130" s="1874">
        <f t="shared" si="34"/>
        <v>2179868333.333333</v>
      </c>
      <c r="L130" s="2001">
        <v>365666666.66666669</v>
      </c>
      <c r="M130" s="2009">
        <v>403333333.32999998</v>
      </c>
      <c r="N130" s="1943">
        <v>102000000</v>
      </c>
      <c r="O130" s="2004"/>
      <c r="P130" s="2141">
        <f t="shared" si="35"/>
        <v>246859523.71358567</v>
      </c>
      <c r="Q130" s="2373">
        <v>4921879115.6428165</v>
      </c>
      <c r="R130" s="2363"/>
      <c r="S130" s="1943">
        <v>85200000</v>
      </c>
      <c r="T130" s="2961">
        <v>26400000</v>
      </c>
      <c r="U130" s="2974">
        <v>16000000</v>
      </c>
      <c r="V130" s="2963">
        <v>161000000</v>
      </c>
      <c r="W130" s="2963">
        <v>2590000000</v>
      </c>
      <c r="X130" s="2368">
        <v>132000000000</v>
      </c>
      <c r="Y130" s="2368"/>
      <c r="Z130" s="2368"/>
      <c r="AA130" s="2367"/>
    </row>
    <row r="131" spans="1:28" ht="15" customHeight="1" thickBot="1">
      <c r="B131" s="2005" t="s">
        <v>157</v>
      </c>
      <c r="C131" s="1994">
        <v>82000000</v>
      </c>
      <c r="D131" s="1994">
        <v>6303650000</v>
      </c>
      <c r="E131" s="1995">
        <v>55783333.333333336</v>
      </c>
      <c r="F131" s="1996">
        <v>16416666.666666666</v>
      </c>
      <c r="G131" s="2006">
        <v>76966666.666666672</v>
      </c>
      <c r="H131" s="1995">
        <v>31646666.666666668</v>
      </c>
      <c r="I131" s="2007">
        <v>7200000</v>
      </c>
      <c r="J131" s="2008">
        <v>30709000000</v>
      </c>
      <c r="K131" s="1874">
        <f t="shared" si="34"/>
        <v>7706203333.333333</v>
      </c>
      <c r="L131" s="2001">
        <v>594666666.66666663</v>
      </c>
      <c r="M131" s="2009">
        <v>428666666.67000002</v>
      </c>
      <c r="N131" s="1943">
        <v>112333333.33</v>
      </c>
      <c r="O131" s="2004"/>
      <c r="P131" s="2141">
        <f t="shared" si="35"/>
        <v>305938395.79540449</v>
      </c>
      <c r="Q131" s="2373">
        <v>1821953383.1253974</v>
      </c>
      <c r="R131" s="2363"/>
      <c r="S131" s="1943">
        <v>36400000</v>
      </c>
      <c r="T131" s="2961">
        <v>6700000</v>
      </c>
      <c r="U131" s="2974">
        <v>8180000</v>
      </c>
      <c r="V131" s="2963">
        <v>76700000</v>
      </c>
      <c r="W131" s="2963">
        <v>512000000</v>
      </c>
      <c r="X131" s="2370">
        <v>128000000000</v>
      </c>
      <c r="Y131" s="2368"/>
      <c r="Z131" s="2368"/>
      <c r="AA131" s="2367"/>
    </row>
    <row r="132" spans="1:28" ht="15" customHeight="1" thickBot="1">
      <c r="B132" s="2005" t="s">
        <v>122</v>
      </c>
      <c r="C132" s="1994">
        <v>200000000</v>
      </c>
      <c r="D132" s="1994">
        <v>24390000000</v>
      </c>
      <c r="E132" s="1995">
        <v>147333333.33333334</v>
      </c>
      <c r="F132" s="1996">
        <v>67833333.333333328</v>
      </c>
      <c r="G132" s="2006">
        <v>43133333.333333336</v>
      </c>
      <c r="H132" s="1995">
        <v>355333333.33333331</v>
      </c>
      <c r="I132" s="2007">
        <v>842333333.33333337</v>
      </c>
      <c r="J132" s="2008">
        <v>1865000000</v>
      </c>
      <c r="K132" s="1874">
        <f t="shared" si="34"/>
        <v>776450000</v>
      </c>
      <c r="L132" s="2001">
        <v>563333333.33333337</v>
      </c>
      <c r="M132" s="2009">
        <v>313333333.32999998</v>
      </c>
      <c r="N132" s="1943">
        <v>227333333.33000001</v>
      </c>
      <c r="O132" s="2004"/>
      <c r="P132" s="2141">
        <f t="shared" si="35"/>
        <v>342356351.59787875</v>
      </c>
      <c r="Q132" s="2373">
        <v>754052141.5111593</v>
      </c>
      <c r="R132" s="2363"/>
      <c r="S132" s="1943">
        <v>4030000</v>
      </c>
      <c r="T132" s="2961">
        <v>23700000</v>
      </c>
      <c r="U132" s="2974">
        <v>80100000</v>
      </c>
      <c r="V132" s="2963">
        <v>89700000</v>
      </c>
      <c r="W132" s="2963">
        <v>347000000</v>
      </c>
      <c r="X132" s="2370">
        <v>15100000000</v>
      </c>
      <c r="Y132" s="2368"/>
      <c r="Z132" s="2368"/>
      <c r="AA132" s="2367"/>
    </row>
    <row r="133" spans="1:28" ht="15" customHeight="1" thickBot="1">
      <c r="B133" s="2005" t="s">
        <v>114</v>
      </c>
      <c r="C133" s="1994">
        <v>1450000</v>
      </c>
      <c r="D133" s="1994">
        <v>148770000</v>
      </c>
      <c r="E133" s="1995">
        <v>1371666.6666666667</v>
      </c>
      <c r="F133" s="1996">
        <v>528333.33333333337</v>
      </c>
      <c r="G133" s="2006">
        <v>1073333.3333333333</v>
      </c>
      <c r="H133" s="1995">
        <v>19283333.333333332</v>
      </c>
      <c r="I133" s="2007">
        <v>2033333.3333333333</v>
      </c>
      <c r="J133" s="2008">
        <v>2980000</v>
      </c>
      <c r="K133" s="1874">
        <f t="shared" si="34"/>
        <v>6342499.9999999991</v>
      </c>
      <c r="L133" s="2001">
        <v>13600000</v>
      </c>
      <c r="M133" s="2009">
        <v>3273333.33</v>
      </c>
      <c r="N133" s="1943">
        <v>85300003</v>
      </c>
      <c r="O133" s="2004"/>
      <c r="P133" s="2141">
        <f t="shared" si="35"/>
        <v>15601249.986156402</v>
      </c>
      <c r="Q133" s="2373">
        <v>14627632.66215786</v>
      </c>
      <c r="R133" s="2363"/>
      <c r="S133" s="1943">
        <v>2130000</v>
      </c>
      <c r="T133" s="2961">
        <v>306000</v>
      </c>
      <c r="U133" s="2974">
        <v>121000</v>
      </c>
      <c r="V133" s="2963">
        <v>621000</v>
      </c>
      <c r="W133" s="2963">
        <v>922000</v>
      </c>
      <c r="X133" s="2370">
        <v>10800000</v>
      </c>
      <c r="Y133" s="2368"/>
      <c r="Z133" s="2368"/>
      <c r="AA133" s="2367"/>
    </row>
    <row r="134" spans="1:28" ht="15" customHeight="1" thickBot="1">
      <c r="B134" s="1914" t="s">
        <v>115</v>
      </c>
      <c r="C134" s="1994">
        <v>1250000</v>
      </c>
      <c r="D134" s="1994">
        <v>23050490000</v>
      </c>
      <c r="E134" s="1995">
        <v>633333.33333333337</v>
      </c>
      <c r="F134" s="1996">
        <v>3106666.6666666665</v>
      </c>
      <c r="G134" s="2006">
        <v>2513333.3333333335</v>
      </c>
      <c r="H134" s="1995">
        <v>18497333.333333332</v>
      </c>
      <c r="I134" s="2007">
        <v>806666.66666666663</v>
      </c>
      <c r="J134" s="2008">
        <v>2150000</v>
      </c>
      <c r="K134" s="1874">
        <f t="shared" si="34"/>
        <v>5991833.333333333</v>
      </c>
      <c r="L134" s="2001">
        <v>823333.33333333337</v>
      </c>
      <c r="M134" s="2009">
        <v>16383333.33</v>
      </c>
      <c r="N134" s="2011">
        <v>853333.33</v>
      </c>
      <c r="O134" s="2004"/>
      <c r="P134" s="2141">
        <f t="shared" si="35"/>
        <v>2257869.7837117282</v>
      </c>
      <c r="Q134" s="2373">
        <v>7770897.4679272119</v>
      </c>
      <c r="R134" s="2363"/>
      <c r="S134" s="2011">
        <v>477000</v>
      </c>
      <c r="T134" s="2961">
        <v>229000</v>
      </c>
      <c r="U134" s="2974">
        <v>131000</v>
      </c>
      <c r="V134" s="2963">
        <v>53800000</v>
      </c>
      <c r="W134" s="2963">
        <v>458000</v>
      </c>
      <c r="X134" s="2370">
        <v>707000</v>
      </c>
      <c r="Y134" s="2368"/>
      <c r="Z134" s="2368"/>
      <c r="AA134" s="2367"/>
    </row>
    <row r="135" spans="1:28" ht="15" customHeight="1" thickBot="1">
      <c r="B135" s="2005" t="s">
        <v>112</v>
      </c>
      <c r="C135" s="1994">
        <v>2050000</v>
      </c>
      <c r="D135" s="1994">
        <v>31972500</v>
      </c>
      <c r="E135" s="1995">
        <v>1227666.6666666667</v>
      </c>
      <c r="F135" s="1996">
        <v>6413333.333333333</v>
      </c>
      <c r="G135" s="2006">
        <v>3067150000</v>
      </c>
      <c r="H135" s="1995">
        <v>54046666.666666664</v>
      </c>
      <c r="I135" s="2007">
        <v>1396666.6666666667</v>
      </c>
      <c r="J135" s="2008">
        <v>3016666.6666666665</v>
      </c>
      <c r="K135" s="1874">
        <f t="shared" si="34"/>
        <v>781402499.99999988</v>
      </c>
      <c r="L135" s="2001">
        <v>4506666.666666667</v>
      </c>
      <c r="M135" s="2009">
        <v>165166.67000000001</v>
      </c>
      <c r="N135" s="2012">
        <v>1246666.67</v>
      </c>
      <c r="O135" s="2004"/>
      <c r="P135" s="2141">
        <f t="shared" si="35"/>
        <v>975384.98571794818</v>
      </c>
      <c r="Q135" s="2373">
        <v>11848084.9332742</v>
      </c>
      <c r="R135" s="2363"/>
      <c r="S135" s="2012">
        <v>710000</v>
      </c>
      <c r="T135" s="2961">
        <v>401000</v>
      </c>
      <c r="U135" s="2974">
        <v>540000</v>
      </c>
      <c r="V135" s="2963">
        <v>1780000</v>
      </c>
      <c r="W135" s="2963">
        <v>8090000</v>
      </c>
      <c r="X135" s="2370">
        <v>7030000</v>
      </c>
      <c r="Y135" s="2368"/>
      <c r="Z135" s="2368"/>
      <c r="AA135" s="2367"/>
    </row>
    <row r="136" spans="1:28" ht="15" customHeight="1" thickBot="1">
      <c r="B136" s="2005" t="s">
        <v>187</v>
      </c>
      <c r="C136" s="1994">
        <v>7300000</v>
      </c>
      <c r="D136" s="1994">
        <v>400709000</v>
      </c>
      <c r="E136" s="1995">
        <v>6553333.333333333</v>
      </c>
      <c r="F136" s="1996">
        <v>476666.66666666669</v>
      </c>
      <c r="G136" s="2006">
        <v>6246666.666666667</v>
      </c>
      <c r="H136" s="1995">
        <v>2513333.3333333335</v>
      </c>
      <c r="I136" s="2007">
        <v>336666.66666666669</v>
      </c>
      <c r="J136" s="2008">
        <v>530000</v>
      </c>
      <c r="K136" s="1874">
        <f t="shared" si="34"/>
        <v>2406666.6666666665</v>
      </c>
      <c r="L136" s="2001">
        <v>32933333.333333332</v>
      </c>
      <c r="M136" s="2009">
        <v>55833333.329999998</v>
      </c>
      <c r="N136" s="1943">
        <v>1846666.67</v>
      </c>
      <c r="O136" s="2004"/>
      <c r="P136" s="2141">
        <f t="shared" si="35"/>
        <v>15030470.853309982</v>
      </c>
      <c r="Q136" s="2373">
        <v>1227158487.9323919</v>
      </c>
      <c r="R136" s="2363"/>
      <c r="S136" s="1943">
        <v>403000</v>
      </c>
      <c r="T136" s="2961">
        <v>294000</v>
      </c>
      <c r="U136" s="2974">
        <v>462000</v>
      </c>
      <c r="V136" s="2963">
        <v>4170000</v>
      </c>
      <c r="W136" s="2963">
        <v>1390000</v>
      </c>
      <c r="X136" s="2370">
        <v>14300000</v>
      </c>
      <c r="Y136" s="2368"/>
      <c r="Z136" s="2368"/>
      <c r="AA136" s="2367"/>
    </row>
    <row r="137" spans="1:28" ht="15" customHeight="1" thickBot="1">
      <c r="B137" s="2005" t="s">
        <v>117</v>
      </c>
      <c r="C137" s="1994">
        <v>2300000</v>
      </c>
      <c r="D137" s="1994">
        <v>9380000</v>
      </c>
      <c r="E137" s="1995">
        <v>6818333.333333333</v>
      </c>
      <c r="F137" s="1996">
        <v>3966666.6666666665</v>
      </c>
      <c r="G137" s="2006">
        <v>4166666.6666666665</v>
      </c>
      <c r="H137" s="1995">
        <v>6126666.666666667</v>
      </c>
      <c r="I137" s="2007">
        <v>8080000</v>
      </c>
      <c r="J137" s="2008">
        <v>19766666.666666668</v>
      </c>
      <c r="K137" s="1874">
        <f t="shared" si="34"/>
        <v>9535000</v>
      </c>
      <c r="L137" s="2001">
        <v>10073333.333333334</v>
      </c>
      <c r="M137" s="2009">
        <v>5816666.6699999999</v>
      </c>
      <c r="N137" s="1943">
        <v>12766666.67</v>
      </c>
      <c r="O137" s="2004"/>
      <c r="P137" s="2141">
        <f t="shared" si="35"/>
        <v>9077682.0468227174</v>
      </c>
      <c r="Q137" s="2373">
        <v>33983613.787943885</v>
      </c>
      <c r="R137" s="2363"/>
      <c r="S137" s="1943">
        <v>577000</v>
      </c>
      <c r="T137" s="2961">
        <v>8950000</v>
      </c>
      <c r="U137" s="2974">
        <v>1380000</v>
      </c>
      <c r="V137" s="2963">
        <v>33900000</v>
      </c>
      <c r="W137" s="2963">
        <v>1160000</v>
      </c>
      <c r="X137" s="2370">
        <v>15100000</v>
      </c>
      <c r="Y137" s="2368"/>
      <c r="Z137" s="2368"/>
      <c r="AA137" s="2367"/>
    </row>
    <row r="138" spans="1:28" ht="15" customHeight="1" thickBot="1">
      <c r="B138" s="2005" t="s">
        <v>121</v>
      </c>
      <c r="C138" s="1994">
        <v>54000000</v>
      </c>
      <c r="D138" s="1994">
        <v>5555000000</v>
      </c>
      <c r="E138" s="1995">
        <v>44500000</v>
      </c>
      <c r="F138" s="1996">
        <v>38066666.666666664</v>
      </c>
      <c r="G138" s="2006">
        <v>35533333.333333336</v>
      </c>
      <c r="H138" s="1995">
        <v>47666666.666666664</v>
      </c>
      <c r="I138" s="2007">
        <v>557400000</v>
      </c>
      <c r="J138" s="2008">
        <v>320966666.66666669</v>
      </c>
      <c r="K138" s="1874">
        <f t="shared" si="34"/>
        <v>240391666.66666669</v>
      </c>
      <c r="L138" s="2001">
        <v>76000000</v>
      </c>
      <c r="M138" s="2009">
        <v>98833333.329999998</v>
      </c>
      <c r="N138" s="1943">
        <v>62500000</v>
      </c>
      <c r="O138" s="2004"/>
      <c r="P138" s="2141">
        <f t="shared" si="35"/>
        <v>77719921.068564355</v>
      </c>
      <c r="Q138" s="2373">
        <v>964056905.67009199</v>
      </c>
      <c r="R138" s="2363"/>
      <c r="S138" s="1943">
        <v>13600000</v>
      </c>
      <c r="T138" s="2961">
        <v>10400000</v>
      </c>
      <c r="U138" s="2974">
        <v>4680000</v>
      </c>
      <c r="V138" s="2963">
        <v>6490000</v>
      </c>
      <c r="W138" s="2963">
        <v>62300000</v>
      </c>
      <c r="X138" s="2370">
        <v>16100000</v>
      </c>
      <c r="Y138" s="2368"/>
      <c r="Z138" s="2368"/>
      <c r="AA138" s="2367"/>
    </row>
    <row r="139" spans="1:28" ht="15" customHeight="1" thickBot="1">
      <c r="B139" s="2013" t="s">
        <v>119</v>
      </c>
      <c r="C139" s="1994">
        <v>28800000</v>
      </c>
      <c r="D139" s="1994">
        <v>13850000</v>
      </c>
      <c r="E139" s="1995">
        <v>298333.33333333331</v>
      </c>
      <c r="F139" s="1996">
        <v>3518666.6666666665</v>
      </c>
      <c r="G139" s="2014">
        <v>11466666.666666666</v>
      </c>
      <c r="H139" s="2015">
        <v>3430000</v>
      </c>
      <c r="I139" s="2016">
        <v>597000</v>
      </c>
      <c r="J139" s="2017">
        <v>4950000</v>
      </c>
      <c r="K139" s="1874">
        <f t="shared" si="34"/>
        <v>5110916.666666666</v>
      </c>
      <c r="L139" s="2018">
        <v>203666666.66666666</v>
      </c>
      <c r="M139" s="2009">
        <v>13906666.67</v>
      </c>
      <c r="N139" s="1946">
        <v>5056666.67</v>
      </c>
      <c r="O139" s="2004"/>
      <c r="P139" s="2141">
        <f t="shared" si="35"/>
        <v>24284869.591244265</v>
      </c>
      <c r="Q139" s="2374">
        <v>74419819.747601837</v>
      </c>
      <c r="R139" s="2365"/>
      <c r="S139" s="1946">
        <v>8270000</v>
      </c>
      <c r="T139" s="2962">
        <v>1960000</v>
      </c>
      <c r="U139" s="2974">
        <v>3160000</v>
      </c>
      <c r="V139" s="2963">
        <v>3930000</v>
      </c>
      <c r="W139" s="2963">
        <v>1620000</v>
      </c>
      <c r="X139" s="2370">
        <v>8730000</v>
      </c>
      <c r="Y139" s="2368"/>
      <c r="Z139" s="2368"/>
      <c r="AA139" s="2367"/>
    </row>
    <row r="140" spans="1:28" s="1040" customFormat="1" ht="15" customHeight="1">
      <c r="A140" s="1064"/>
      <c r="B140" s="1891" t="s">
        <v>285</v>
      </c>
      <c r="C140" s="1892">
        <f>COUNTIF(C126:C139,"&lt;=5000")</f>
        <v>0</v>
      </c>
      <c r="D140" s="1892">
        <f t="shared" ref="D140:AB140" si="36">COUNTIF(D126:D139,"&lt;=5000")</f>
        <v>0</v>
      </c>
      <c r="E140" s="1892">
        <f t="shared" si="36"/>
        <v>0</v>
      </c>
      <c r="F140" s="1892">
        <f t="shared" si="36"/>
        <v>0</v>
      </c>
      <c r="G140" s="1892">
        <f t="shared" si="36"/>
        <v>0</v>
      </c>
      <c r="H140" s="1892">
        <f t="shared" si="36"/>
        <v>0</v>
      </c>
      <c r="I140" s="1892">
        <f t="shared" si="36"/>
        <v>0</v>
      </c>
      <c r="J140" s="1892">
        <f t="shared" si="36"/>
        <v>0</v>
      </c>
      <c r="K140" s="1892">
        <f t="shared" si="36"/>
        <v>0</v>
      </c>
      <c r="L140" s="1892">
        <f t="shared" si="36"/>
        <v>0</v>
      </c>
      <c r="M140" s="1892">
        <f t="shared" si="36"/>
        <v>0</v>
      </c>
      <c r="N140" s="1892">
        <f t="shared" si="36"/>
        <v>0</v>
      </c>
      <c r="O140" s="1892">
        <f t="shared" si="36"/>
        <v>0</v>
      </c>
      <c r="P140" s="1892">
        <f t="shared" si="36"/>
        <v>0</v>
      </c>
      <c r="Q140" s="1892">
        <f t="shared" si="36"/>
        <v>0</v>
      </c>
      <c r="R140" s="1892">
        <f t="shared" si="36"/>
        <v>0</v>
      </c>
      <c r="S140" s="1892">
        <f t="shared" si="36"/>
        <v>0</v>
      </c>
      <c r="T140" s="1892">
        <f t="shared" si="36"/>
        <v>0</v>
      </c>
      <c r="U140" s="1892">
        <f t="shared" si="36"/>
        <v>1</v>
      </c>
      <c r="V140" s="1892">
        <f t="shared" si="36"/>
        <v>0</v>
      </c>
      <c r="W140" s="1892">
        <f t="shared" si="36"/>
        <v>0</v>
      </c>
      <c r="X140" s="1892">
        <f t="shared" si="36"/>
        <v>0</v>
      </c>
      <c r="Y140" s="1892">
        <f t="shared" si="36"/>
        <v>0</v>
      </c>
      <c r="Z140" s="1892">
        <f t="shared" si="36"/>
        <v>0</v>
      </c>
      <c r="AA140" s="1892">
        <f t="shared" si="36"/>
        <v>0</v>
      </c>
      <c r="AB140" s="1892">
        <f t="shared" si="36"/>
        <v>0</v>
      </c>
    </row>
    <row r="141" spans="1:28" s="1040" customFormat="1" ht="15" customHeight="1">
      <c r="A141" s="1064"/>
      <c r="B141" s="1891" t="s">
        <v>287</v>
      </c>
      <c r="C141" s="1892">
        <f>COUNTA(C126:C139)</f>
        <v>14</v>
      </c>
      <c r="D141" s="1892">
        <f t="shared" ref="D141:N141" si="37">COUNTA(D126:D139)</f>
        <v>14</v>
      </c>
      <c r="E141" s="1892">
        <f t="shared" si="37"/>
        <v>14</v>
      </c>
      <c r="F141" s="1892">
        <f t="shared" si="37"/>
        <v>14</v>
      </c>
      <c r="G141" s="1892">
        <f t="shared" si="37"/>
        <v>14</v>
      </c>
      <c r="H141" s="1892">
        <f t="shared" si="37"/>
        <v>14</v>
      </c>
      <c r="I141" s="1892">
        <f t="shared" si="37"/>
        <v>14</v>
      </c>
      <c r="J141" s="1892">
        <f t="shared" si="37"/>
        <v>13</v>
      </c>
      <c r="K141" s="1892"/>
      <c r="L141" s="1892">
        <f t="shared" si="37"/>
        <v>14</v>
      </c>
      <c r="M141" s="1892">
        <f t="shared" si="37"/>
        <v>14</v>
      </c>
      <c r="N141" s="1892">
        <f t="shared" si="37"/>
        <v>14</v>
      </c>
      <c r="O141" s="1892">
        <f>COUNTA(#REF!)</f>
        <v>1</v>
      </c>
      <c r="P141" s="1892"/>
      <c r="Q141" s="1892">
        <f>COUNTA(Q130:Q139)</f>
        <v>10</v>
      </c>
      <c r="R141" s="1892">
        <f>COUNTA(R130:R139)</f>
        <v>0</v>
      </c>
      <c r="S141" s="1892">
        <f>COUNT(S126:S139)</f>
        <v>14</v>
      </c>
      <c r="T141" s="1892">
        <f>COUNT(T126:T139)</f>
        <v>14</v>
      </c>
      <c r="U141" s="1892">
        <f t="shared" ref="U141:V141" si="38">COUNT(U126:U139)</f>
        <v>14</v>
      </c>
      <c r="V141" s="1892">
        <f t="shared" si="38"/>
        <v>14</v>
      </c>
      <c r="W141" s="1892">
        <f t="shared" ref="W141" si="39">COUNT(W126:W139)</f>
        <v>14</v>
      </c>
    </row>
    <row r="142" spans="1:28" s="1040" customFormat="1" ht="15" customHeight="1">
      <c r="A142" s="1064"/>
      <c r="B142" s="1891" t="s">
        <v>202</v>
      </c>
      <c r="C142" s="1892">
        <f t="shared" ref="C142:J142" si="40">C140/C141</f>
        <v>0</v>
      </c>
      <c r="D142" s="1892">
        <f t="shared" si="40"/>
        <v>0</v>
      </c>
      <c r="E142" s="1892">
        <f t="shared" si="40"/>
        <v>0</v>
      </c>
      <c r="F142" s="1892">
        <f t="shared" si="40"/>
        <v>0</v>
      </c>
      <c r="G142" s="1892">
        <f t="shared" si="40"/>
        <v>0</v>
      </c>
      <c r="H142" s="1892">
        <f t="shared" si="40"/>
        <v>0</v>
      </c>
      <c r="I142" s="1892">
        <f t="shared" si="40"/>
        <v>0</v>
      </c>
      <c r="J142" s="1892">
        <f t="shared" si="40"/>
        <v>0</v>
      </c>
      <c r="K142" s="1892"/>
      <c r="L142" s="1892">
        <f>L140/L141</f>
        <v>0</v>
      </c>
      <c r="M142" s="1892">
        <f>M140/M141</f>
        <v>0</v>
      </c>
      <c r="N142" s="1892">
        <f>N140/N141</f>
        <v>0</v>
      </c>
      <c r="O142" s="1892">
        <f>O140/O141</f>
        <v>0</v>
      </c>
      <c r="P142" s="1892" t="e">
        <f t="shared" ref="P142:S142" si="41">P140/P141</f>
        <v>#DIV/0!</v>
      </c>
      <c r="Q142" s="1892">
        <f t="shared" si="41"/>
        <v>0</v>
      </c>
      <c r="R142" s="1892" t="e">
        <f t="shared" si="41"/>
        <v>#DIV/0!</v>
      </c>
      <c r="S142" s="1892">
        <f t="shared" si="41"/>
        <v>0</v>
      </c>
      <c r="T142" s="1892">
        <f>T140/T141</f>
        <v>0</v>
      </c>
      <c r="U142" s="1892">
        <f t="shared" ref="U142:W142" si="42">U140/U141</f>
        <v>7.1428571428571425E-2</v>
      </c>
      <c r="V142" s="1892">
        <f t="shared" si="42"/>
        <v>0</v>
      </c>
      <c r="W142" s="1892">
        <f t="shared" si="42"/>
        <v>0</v>
      </c>
    </row>
    <row r="143" spans="1:28" s="1560" customFormat="1" ht="15" customHeight="1">
      <c r="B143" s="1891"/>
      <c r="C143" s="1892"/>
      <c r="D143" s="1892"/>
      <c r="E143" s="1892"/>
      <c r="F143" s="1892"/>
      <c r="G143" s="1892"/>
      <c r="H143" s="1892"/>
      <c r="I143" s="1892"/>
      <c r="J143" s="1892"/>
      <c r="K143" s="1892"/>
      <c r="L143" s="1892"/>
      <c r="M143" s="1892"/>
      <c r="N143" s="1892"/>
      <c r="O143" s="1892"/>
      <c r="P143" s="1892"/>
      <c r="Q143" s="1877"/>
      <c r="S143" s="2366"/>
      <c r="T143" s="2371"/>
      <c r="U143" s="2367"/>
    </row>
    <row r="144" spans="1:28" s="1560" customFormat="1" ht="15" customHeight="1">
      <c r="B144" s="1891"/>
      <c r="C144" s="1892"/>
      <c r="D144" s="1892"/>
      <c r="E144" s="1892"/>
      <c r="F144" s="1892"/>
      <c r="G144" s="1892"/>
      <c r="H144" s="1892"/>
      <c r="I144" s="1892"/>
      <c r="J144" s="1892"/>
      <c r="K144" s="1892"/>
      <c r="L144" s="1892"/>
      <c r="M144" s="1892"/>
      <c r="N144" s="1892"/>
      <c r="O144" s="1892"/>
      <c r="P144" s="1892"/>
      <c r="Q144" s="1877"/>
      <c r="S144" s="2366"/>
      <c r="T144" s="2371"/>
      <c r="U144" s="2367"/>
    </row>
    <row r="145" spans="2:21" s="1560" customFormat="1" ht="15" customHeight="1">
      <c r="B145" s="1891"/>
      <c r="C145" s="1892"/>
      <c r="D145" s="1892"/>
      <c r="E145" s="1892"/>
      <c r="F145" s="1892"/>
      <c r="G145" s="1892"/>
      <c r="H145" s="1892"/>
      <c r="I145" s="1892"/>
      <c r="J145" s="1892"/>
      <c r="K145" s="1892"/>
      <c r="L145" s="1892"/>
      <c r="M145" s="1892"/>
      <c r="N145" s="1892"/>
      <c r="O145" s="1892"/>
      <c r="P145" s="1892"/>
      <c r="Q145" s="1877"/>
      <c r="S145" s="2366"/>
      <c r="T145" s="2371"/>
      <c r="U145" s="2367"/>
    </row>
    <row r="146" spans="2:21" s="1560" customFormat="1" ht="15" customHeight="1">
      <c r="B146" s="1891"/>
      <c r="C146" s="1892"/>
      <c r="D146" s="1892"/>
      <c r="E146" s="1892"/>
      <c r="F146" s="1892"/>
      <c r="G146" s="1892"/>
      <c r="H146" s="1892"/>
      <c r="I146" s="1892"/>
      <c r="J146" s="1892"/>
      <c r="K146" s="1892"/>
      <c r="L146" s="1892"/>
      <c r="M146" s="1892"/>
      <c r="N146" s="1892"/>
      <c r="O146" s="1892"/>
      <c r="P146" s="1892"/>
      <c r="Q146" s="1877"/>
      <c r="S146" s="2366"/>
      <c r="T146" s="2371"/>
      <c r="U146" s="2367"/>
    </row>
    <row r="147" spans="2:21" s="1560" customFormat="1" ht="15" customHeight="1">
      <c r="B147" s="1891"/>
      <c r="C147" s="1892"/>
      <c r="D147" s="1892"/>
      <c r="E147" s="1892"/>
      <c r="F147" s="1892"/>
      <c r="G147" s="1892"/>
      <c r="H147" s="1892"/>
      <c r="I147" s="1892"/>
      <c r="J147" s="1892"/>
      <c r="K147" s="1892"/>
      <c r="L147" s="1892"/>
      <c r="M147" s="1892"/>
      <c r="N147" s="1892"/>
      <c r="O147" s="1892"/>
      <c r="P147" s="1892"/>
      <c r="Q147" s="1877"/>
      <c r="S147" s="2366"/>
      <c r="T147" s="2371"/>
      <c r="U147" s="2367"/>
    </row>
    <row r="148" spans="2:21">
      <c r="B148" s="1877"/>
      <c r="C148" s="1877"/>
      <c r="D148" s="1877"/>
      <c r="E148" s="1877"/>
      <c r="F148" s="1877"/>
      <c r="G148" s="1877"/>
      <c r="H148" s="1877"/>
      <c r="I148" s="1892"/>
      <c r="J148" s="1892"/>
      <c r="K148" s="1892"/>
      <c r="L148" s="1892"/>
      <c r="M148" s="1892"/>
      <c r="N148" s="1892"/>
      <c r="O148" s="1892"/>
      <c r="P148" s="1892"/>
      <c r="Q148" s="1878"/>
      <c r="S148" s="2366"/>
      <c r="T148" s="2371"/>
    </row>
    <row r="149" spans="2:21">
      <c r="B149" s="771"/>
      <c r="C149" s="771"/>
      <c r="D149" s="771"/>
      <c r="E149" s="771"/>
      <c r="F149" s="771"/>
      <c r="G149" s="771"/>
      <c r="H149" s="771"/>
      <c r="I149" s="771"/>
      <c r="J149" s="771"/>
      <c r="K149" s="771"/>
      <c r="L149" s="1744"/>
      <c r="M149" s="1744"/>
      <c r="N149" s="1745"/>
      <c r="O149" s="771"/>
      <c r="P149" s="771"/>
      <c r="Q149" s="334"/>
      <c r="S149" s="2366"/>
      <c r="T149" s="2371"/>
    </row>
    <row r="150" spans="2:21">
      <c r="S150" s="2366"/>
      <c r="T150" s="2371"/>
    </row>
    <row r="151" spans="2:21">
      <c r="S151" s="2366"/>
      <c r="T151" s="2371"/>
    </row>
    <row r="152" spans="2:21">
      <c r="S152" s="2366"/>
      <c r="T152" s="2371"/>
    </row>
    <row r="153" spans="2:21">
      <c r="S153" s="2366"/>
      <c r="T153" s="2371"/>
    </row>
    <row r="154" spans="2:21">
      <c r="S154" s="2366"/>
      <c r="T154" s="2371"/>
    </row>
    <row r="272" spans="26:26">
      <c r="Z272" s="3263"/>
    </row>
  </sheetData>
  <mergeCells count="44">
    <mergeCell ref="L9:L10"/>
    <mergeCell ref="P9:P10"/>
    <mergeCell ref="Q9:Q10"/>
    <mergeCell ref="E2:L3"/>
    <mergeCell ref="E5:L5"/>
    <mergeCell ref="F6:J6"/>
    <mergeCell ref="M9:M10"/>
    <mergeCell ref="N9:N10"/>
    <mergeCell ref="O9:O10"/>
    <mergeCell ref="O77:Q78"/>
    <mergeCell ref="O123:Q124"/>
    <mergeCell ref="F123:G124"/>
    <mergeCell ref="O24:Q25"/>
    <mergeCell ref="O39:Q40"/>
    <mergeCell ref="F77:G78"/>
    <mergeCell ref="F60:G61"/>
    <mergeCell ref="O60:Q61"/>
    <mergeCell ref="F39:G40"/>
    <mergeCell ref="F24:G25"/>
    <mergeCell ref="B8:B10"/>
    <mergeCell ref="C8:F8"/>
    <mergeCell ref="G8:J8"/>
    <mergeCell ref="C9:C10"/>
    <mergeCell ref="D9:D10"/>
    <mergeCell ref="E9:E10"/>
    <mergeCell ref="G9:G10"/>
    <mergeCell ref="H9:H10"/>
    <mergeCell ref="I9:I10"/>
    <mergeCell ref="J9:J10"/>
    <mergeCell ref="F9:F10"/>
    <mergeCell ref="Y8:AB8"/>
    <mergeCell ref="U9:U10"/>
    <mergeCell ref="Q8:T8"/>
    <mergeCell ref="U8:X8"/>
    <mergeCell ref="V9:V10"/>
    <mergeCell ref="W9:W10"/>
    <mergeCell ref="X9:X10"/>
    <mergeCell ref="S9:S10"/>
    <mergeCell ref="T9:T10"/>
    <mergeCell ref="R9:R10"/>
    <mergeCell ref="Y9:Y10"/>
    <mergeCell ref="Z9:Z10"/>
    <mergeCell ref="AA9:AA10"/>
    <mergeCell ref="AB9:AB10"/>
  </mergeCells>
  <conditionalFormatting sqref="E121:F122 C121:D123 E75:F76 C75:D77 E38:F38 C60:D60 C38:D39 C55:F55">
    <cfRule type="cellIs" dxfId="94" priority="104" operator="greaterThanOrEqual">
      <formula>5</formula>
    </cfRule>
  </conditionalFormatting>
  <conditionalFormatting sqref="N126:N139 C126:L139 C80:P117 C14:Q18 S14:T18 V14:V18 C42:V51 C63:R71 C27:U33">
    <cfRule type="cellIs" dxfId="93" priority="84" operator="lessThanOrEqual">
      <formula>1000</formula>
    </cfRule>
  </conditionalFormatting>
  <conditionalFormatting sqref="U41:AB41 G13:P18 Q14:Q18 S14:T18 V14:V18 Q13:AB13 G26:T33 G41:T51 U42:V51 G63:R71 G80:R117 U27:U33 U26:AB26 G126:P139">
    <cfRule type="cellIs" dxfId="92" priority="81" operator="lessThan">
      <formula>1000</formula>
    </cfRule>
    <cfRule type="cellIs" dxfId="91" priority="82" operator="greaterThan">
      <formula>1000</formula>
    </cfRule>
  </conditionalFormatting>
  <conditionalFormatting sqref="P126:P139">
    <cfRule type="cellIs" dxfId="90" priority="80" operator="lessThanOrEqual">
      <formula>1000</formula>
    </cfRule>
  </conditionalFormatting>
  <conditionalFormatting sqref="S126:S139">
    <cfRule type="cellIs" dxfId="89" priority="70" operator="lessThanOrEqual">
      <formula>1000</formula>
    </cfRule>
  </conditionalFormatting>
  <conditionalFormatting sqref="R126:T139">
    <cfRule type="cellIs" dxfId="88" priority="68" operator="lessThan">
      <formula>1000</formula>
    </cfRule>
    <cfRule type="cellIs" dxfId="87" priority="69" operator="greaterThan">
      <formula>1000</formula>
    </cfRule>
  </conditionalFormatting>
  <conditionalFormatting sqref="Q126:T139">
    <cfRule type="cellIs" dxfId="86" priority="58" operator="lessThan">
      <formula>1000</formula>
    </cfRule>
    <cfRule type="cellIs" dxfId="85" priority="59" operator="greaterThan">
      <formula>1000</formula>
    </cfRule>
  </conditionalFormatting>
  <conditionalFormatting sqref="Q80:Q117">
    <cfRule type="cellIs" dxfId="84" priority="57" operator="lessThanOrEqual">
      <formula>1000</formula>
    </cfRule>
  </conditionalFormatting>
  <conditionalFormatting sqref="R80:R117">
    <cfRule type="cellIs" dxfId="83" priority="48" operator="lessThanOrEqual">
      <formula>1000</formula>
    </cfRule>
  </conditionalFormatting>
  <conditionalFormatting sqref="Z117">
    <cfRule type="cellIs" dxfId="82" priority="1" operator="lessThan">
      <formula>1000</formula>
    </cfRule>
    <cfRule type="cellIs" dxfId="81" priority="2" operator="greaterThan">
      <formula>1000</formula>
    </cfRule>
  </conditionalFormatting>
  <pageMargins left="0.7" right="0.7" top="0.75" bottom="0.75" header="0.3" footer="0.3"/>
  <pageSetup paperSize="9" orientation="portrait" r:id="rId1"/>
  <rowBreaks count="2" manualBreakCount="2">
    <brk id="1" max="16383" man="1"/>
    <brk id="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dimension ref="A1:AA68"/>
  <sheetViews>
    <sheetView topLeftCell="A46" workbookViewId="0">
      <pane xSplit="3" topLeftCell="N1" activePane="topRight" state="frozen"/>
      <selection activeCell="A10" sqref="A10"/>
      <selection pane="topRight" activeCell="N45" sqref="N45"/>
    </sheetView>
  </sheetViews>
  <sheetFormatPr defaultRowHeight="15"/>
  <cols>
    <col min="1" max="1" width="14.5703125" style="59" customWidth="1"/>
    <col min="2" max="2" width="9.140625" style="59"/>
    <col min="3" max="3" width="35.28515625" style="59" customWidth="1"/>
    <col min="4" max="4" width="11.5703125" style="59" bestFit="1" customWidth="1"/>
    <col min="5" max="6" width="9.140625" style="59"/>
    <col min="7" max="7" width="11.5703125" style="59" bestFit="1" customWidth="1"/>
    <col min="8" max="16384" width="9.140625" style="59"/>
  </cols>
  <sheetData>
    <row r="1" spans="1:27" ht="21">
      <c r="A1" s="977"/>
      <c r="B1" s="1012"/>
      <c r="C1" s="977"/>
      <c r="D1" s="977"/>
      <c r="E1" s="762"/>
      <c r="F1" s="762"/>
      <c r="G1" s="762"/>
      <c r="H1" s="762"/>
      <c r="I1" s="762"/>
      <c r="J1" s="762"/>
      <c r="K1" s="762"/>
      <c r="L1" s="762"/>
      <c r="M1" s="762"/>
      <c r="N1" s="975"/>
      <c r="O1" s="975"/>
      <c r="P1" s="975"/>
      <c r="Q1" s="975"/>
      <c r="R1" s="975"/>
      <c r="S1" s="975"/>
      <c r="T1" s="975"/>
      <c r="U1" s="975"/>
      <c r="V1" s="975"/>
      <c r="W1" s="975"/>
      <c r="X1" s="975"/>
      <c r="Y1" s="975"/>
      <c r="Z1" s="976"/>
      <c r="AA1" s="3354"/>
    </row>
    <row r="2" spans="1:27">
      <c r="A2" s="977"/>
      <c r="B2" s="1012"/>
      <c r="C2" s="977"/>
      <c r="D2" s="3544" t="s">
        <v>264</v>
      </c>
      <c r="E2" s="3544"/>
      <c r="F2" s="3544"/>
      <c r="G2" s="3544"/>
      <c r="H2" s="3544"/>
      <c r="I2" s="3544"/>
      <c r="J2" s="3544"/>
      <c r="K2" s="3544"/>
      <c r="L2" s="3544"/>
      <c r="M2" s="3544"/>
      <c r="N2" s="3544"/>
      <c r="O2" s="975"/>
      <c r="P2" s="975"/>
      <c r="Q2" s="975"/>
      <c r="R2" s="975"/>
      <c r="S2" s="975"/>
      <c r="T2" s="975"/>
      <c r="U2" s="975"/>
      <c r="V2" s="975"/>
      <c r="W2" s="975"/>
      <c r="X2" s="975"/>
      <c r="Y2" s="975"/>
      <c r="Z2" s="976"/>
      <c r="AA2" s="3354"/>
    </row>
    <row r="3" spans="1:27">
      <c r="A3" s="977"/>
      <c r="B3" s="1012"/>
      <c r="C3" s="977"/>
      <c r="D3" s="3544"/>
      <c r="E3" s="3544"/>
      <c r="F3" s="3544"/>
      <c r="G3" s="3544"/>
      <c r="H3" s="3544"/>
      <c r="I3" s="3544"/>
      <c r="J3" s="3544"/>
      <c r="K3" s="3544"/>
      <c r="L3" s="3544"/>
      <c r="M3" s="3544"/>
      <c r="N3" s="3544"/>
      <c r="O3" s="975"/>
      <c r="P3" s="975"/>
      <c r="Q3" s="975"/>
      <c r="R3" s="975"/>
      <c r="S3" s="975"/>
      <c r="T3" s="975"/>
      <c r="U3" s="975"/>
      <c r="V3" s="975"/>
      <c r="W3" s="975"/>
      <c r="X3" s="975"/>
      <c r="Y3" s="975"/>
      <c r="Z3" s="976"/>
      <c r="AA3" s="3354"/>
    </row>
    <row r="4" spans="1:27" ht="15.75" thickBot="1">
      <c r="A4" s="977"/>
      <c r="B4" s="1012"/>
      <c r="C4" s="977"/>
      <c r="D4" s="977"/>
      <c r="E4" s="977"/>
      <c r="F4" s="977"/>
      <c r="G4" s="977"/>
      <c r="H4" s="977"/>
      <c r="I4" s="977"/>
      <c r="J4" s="975"/>
      <c r="K4" s="975"/>
      <c r="L4" s="975"/>
      <c r="M4" s="975"/>
      <c r="N4" s="975"/>
      <c r="O4" s="975"/>
      <c r="P4" s="975"/>
      <c r="Q4" s="975"/>
      <c r="R4" s="975"/>
      <c r="S4" s="975"/>
      <c r="T4" s="975"/>
      <c r="U4" s="975"/>
      <c r="V4" s="975"/>
      <c r="W4" s="975"/>
      <c r="X4" s="975"/>
      <c r="Y4" s="975"/>
      <c r="Z4" s="976"/>
      <c r="AA4" s="3354"/>
    </row>
    <row r="5" spans="1:27" ht="15.75" thickBot="1">
      <c r="A5" s="977"/>
      <c r="B5" s="1012"/>
      <c r="C5" s="977"/>
      <c r="D5" s="977"/>
      <c r="E5" s="3538" t="s">
        <v>206</v>
      </c>
      <c r="F5" s="3539"/>
      <c r="G5" s="3539"/>
      <c r="H5" s="3539"/>
      <c r="I5" s="3539"/>
      <c r="J5" s="3539"/>
      <c r="K5" s="3539"/>
      <c r="L5" s="3539"/>
      <c r="M5" s="3540"/>
      <c r="N5" s="750"/>
      <c r="O5" s="3355"/>
      <c r="P5" s="975"/>
      <c r="Q5" s="975"/>
      <c r="R5" s="975"/>
      <c r="S5" s="975"/>
      <c r="T5" s="975"/>
      <c r="U5" s="975"/>
      <c r="V5" s="975"/>
      <c r="W5" s="975"/>
      <c r="X5" s="975"/>
      <c r="Y5" s="975"/>
      <c r="Z5" s="976"/>
      <c r="AA5" s="3354"/>
    </row>
    <row r="6" spans="1:27" ht="15.75" thickBot="1">
      <c r="A6" s="977"/>
      <c r="B6" s="1012"/>
      <c r="C6" s="977"/>
      <c r="D6" s="3356"/>
      <c r="E6" s="751"/>
      <c r="F6" s="3541" t="s">
        <v>428</v>
      </c>
      <c r="G6" s="3542"/>
      <c r="H6" s="3542"/>
      <c r="I6" s="3542"/>
      <c r="J6" s="3542"/>
      <c r="K6" s="3542"/>
      <c r="L6" s="3543"/>
      <c r="M6" s="3355"/>
      <c r="N6" s="3355"/>
      <c r="O6" s="3355"/>
      <c r="P6" s="975"/>
      <c r="Q6" s="975"/>
      <c r="R6" s="975"/>
      <c r="S6" s="975"/>
      <c r="T6" s="975"/>
      <c r="U6" s="975"/>
      <c r="V6" s="975"/>
      <c r="W6" s="975"/>
      <c r="X6" s="975"/>
      <c r="Y6" s="975"/>
      <c r="Z6" s="976"/>
      <c r="AA6" s="3354"/>
    </row>
    <row r="7" spans="1:27" ht="15.75" thickBot="1">
      <c r="A7" s="2252"/>
      <c r="B7" s="580"/>
      <c r="C7" s="2252"/>
      <c r="D7" s="3357"/>
      <c r="E7" s="3357"/>
      <c r="F7" s="3357"/>
      <c r="G7" s="3357"/>
      <c r="H7" s="3357"/>
      <c r="I7" s="193"/>
      <c r="J7" s="979"/>
      <c r="K7" s="979"/>
      <c r="L7" s="979"/>
      <c r="M7" s="979"/>
      <c r="N7" s="979"/>
      <c r="O7" s="979"/>
      <c r="P7" s="979"/>
      <c r="Q7" s="979"/>
      <c r="R7" s="979"/>
      <c r="S7" s="979"/>
      <c r="T7" s="979"/>
      <c r="U7" s="979"/>
      <c r="V7" s="979"/>
      <c r="W7" s="979"/>
      <c r="X7" s="979"/>
      <c r="Y7" s="979"/>
      <c r="Z7" s="790"/>
      <c r="AA7" s="3354"/>
    </row>
    <row r="8" spans="1:27" ht="15.75" thickBot="1">
      <c r="A8" s="1006"/>
      <c r="B8" s="1006"/>
      <c r="C8" s="3715" t="s">
        <v>1</v>
      </c>
      <c r="D8" s="3683">
        <v>2016</v>
      </c>
      <c r="E8" s="3684"/>
      <c r="F8" s="3684"/>
      <c r="G8" s="3685"/>
      <c r="H8" s="3547"/>
      <c r="I8" s="3548"/>
      <c r="J8" s="3548"/>
      <c r="K8" s="3549"/>
      <c r="L8" s="3516"/>
      <c r="M8" s="3517"/>
      <c r="N8" s="3517"/>
      <c r="O8" s="3517"/>
      <c r="P8" s="3516"/>
      <c r="Q8" s="3517"/>
      <c r="R8" s="3517"/>
      <c r="S8" s="3518"/>
      <c r="T8" s="3516"/>
      <c r="U8" s="3517"/>
      <c r="V8" s="3517"/>
      <c r="W8" s="3518"/>
      <c r="X8" s="2848"/>
      <c r="Y8" s="2848"/>
      <c r="Z8" s="768"/>
      <c r="AA8" s="3354"/>
    </row>
    <row r="9" spans="1:27" ht="15.75" thickBot="1">
      <c r="A9" s="1007"/>
      <c r="B9" s="1007"/>
      <c r="C9" s="3716"/>
      <c r="D9" s="3358" t="s">
        <v>2</v>
      </c>
      <c r="E9" s="3304" t="s">
        <v>3</v>
      </c>
      <c r="F9" s="3305" t="s">
        <v>4</v>
      </c>
      <c r="G9" s="3306" t="s">
        <v>5</v>
      </c>
      <c r="H9" s="3303" t="s">
        <v>2</v>
      </c>
      <c r="I9" s="3304" t="s">
        <v>3</v>
      </c>
      <c r="J9" s="3305" t="s">
        <v>4</v>
      </c>
      <c r="K9" s="724" t="s">
        <v>5</v>
      </c>
      <c r="L9" s="3303" t="s">
        <v>2</v>
      </c>
      <c r="M9" s="3304" t="s">
        <v>3</v>
      </c>
      <c r="N9" s="3305" t="s">
        <v>4</v>
      </c>
      <c r="O9" s="724" t="s">
        <v>5</v>
      </c>
      <c r="P9" s="3303" t="s">
        <v>2</v>
      </c>
      <c r="Q9" s="3304" t="s">
        <v>3</v>
      </c>
      <c r="R9" s="3305" t="s">
        <v>4</v>
      </c>
      <c r="S9" s="724" t="s">
        <v>5</v>
      </c>
      <c r="T9" s="3303" t="s">
        <v>2</v>
      </c>
      <c r="U9" s="3304" t="s">
        <v>3</v>
      </c>
      <c r="V9" s="3305" t="s">
        <v>4</v>
      </c>
      <c r="W9" s="724" t="s">
        <v>5</v>
      </c>
      <c r="X9" s="3119" t="s">
        <v>2</v>
      </c>
      <c r="Y9" s="3304" t="s">
        <v>3</v>
      </c>
      <c r="Z9" s="3305" t="s">
        <v>4</v>
      </c>
      <c r="AA9" s="724" t="s">
        <v>5</v>
      </c>
    </row>
    <row r="10" spans="1:27">
      <c r="A10" s="113"/>
      <c r="B10" s="113"/>
      <c r="C10" s="113"/>
      <c r="D10" s="3359"/>
      <c r="E10" s="3359"/>
      <c r="F10" s="3359"/>
      <c r="G10" s="3359"/>
      <c r="H10" s="3359"/>
      <c r="I10" s="3359"/>
      <c r="J10" s="3359"/>
      <c r="K10" s="113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</row>
    <row r="11" spans="1:27">
      <c r="A11" s="113"/>
      <c r="B11" s="113"/>
      <c r="C11" s="113"/>
      <c r="D11" s="3359"/>
      <c r="E11" s="3359"/>
      <c r="F11" s="3359"/>
      <c r="G11" s="3359"/>
      <c r="H11" s="3359"/>
      <c r="I11" s="3359"/>
      <c r="J11" s="3359"/>
      <c r="K11" s="113"/>
      <c r="L11" s="979"/>
      <c r="M11" s="979"/>
      <c r="N11" s="979"/>
      <c r="O11" s="979"/>
      <c r="P11" s="979"/>
      <c r="Q11" s="979"/>
      <c r="R11" s="979"/>
      <c r="S11" s="979"/>
      <c r="T11" s="979"/>
      <c r="U11" s="979"/>
      <c r="V11" s="979"/>
      <c r="W11" s="979"/>
      <c r="X11" s="979"/>
      <c r="Y11" s="979"/>
      <c r="Z11" s="979"/>
      <c r="AA11" s="979"/>
    </row>
    <row r="12" spans="1:27" ht="15.75">
      <c r="A12" s="113"/>
      <c r="B12" s="113"/>
      <c r="C12" s="113"/>
      <c r="D12" s="3359"/>
      <c r="E12" s="3359"/>
      <c r="F12" s="3553" t="s">
        <v>125</v>
      </c>
      <c r="G12" s="3713"/>
      <c r="H12" s="3713"/>
      <c r="I12" s="3713"/>
      <c r="J12" s="979"/>
      <c r="K12" s="3360"/>
      <c r="L12" s="979"/>
      <c r="M12" s="979"/>
      <c r="N12" s="3553" t="s">
        <v>125</v>
      </c>
      <c r="O12" s="3553"/>
      <c r="P12" s="3553"/>
      <c r="Q12" s="3553"/>
      <c r="R12" s="979"/>
      <c r="S12" s="979"/>
      <c r="T12" s="979"/>
      <c r="U12" s="979"/>
      <c r="V12" s="979"/>
      <c r="W12" s="979"/>
      <c r="X12" s="979"/>
      <c r="Y12" s="979"/>
      <c r="Z12" s="979"/>
      <c r="AA12" s="979"/>
    </row>
    <row r="13" spans="1:27" ht="16.5" thickBot="1">
      <c r="A13" s="328"/>
      <c r="B13" s="113"/>
      <c r="C13" s="2252"/>
      <c r="D13" s="2252"/>
      <c r="E13" s="2252"/>
      <c r="F13" s="3714"/>
      <c r="G13" s="3714"/>
      <c r="H13" s="3714"/>
      <c r="I13" s="3714"/>
      <c r="J13" s="979"/>
      <c r="K13" s="3360"/>
      <c r="L13" s="979"/>
      <c r="M13" s="979"/>
      <c r="N13" s="3553"/>
      <c r="O13" s="3553"/>
      <c r="P13" s="3553"/>
      <c r="Q13" s="3553"/>
      <c r="R13" s="979"/>
      <c r="S13" s="979"/>
      <c r="T13" s="979"/>
      <c r="U13" s="979"/>
      <c r="V13" s="979"/>
      <c r="W13" s="979"/>
      <c r="X13" s="979"/>
      <c r="Y13" s="979"/>
      <c r="Z13" s="979"/>
      <c r="AA13" s="979"/>
    </row>
    <row r="14" spans="1:27" ht="15.75" thickBot="1">
      <c r="A14" s="328"/>
      <c r="B14" s="113" t="s">
        <v>283</v>
      </c>
      <c r="C14" s="3361" t="s">
        <v>168</v>
      </c>
      <c r="D14" s="3362">
        <v>5000</v>
      </c>
      <c r="E14" s="3362">
        <v>5000</v>
      </c>
      <c r="F14" s="3362">
        <v>5000</v>
      </c>
      <c r="G14" s="3362">
        <v>5000</v>
      </c>
      <c r="H14" s="3362">
        <v>5000</v>
      </c>
      <c r="I14" s="3362">
        <v>5000</v>
      </c>
      <c r="J14" s="3362">
        <v>5000</v>
      </c>
      <c r="K14" s="3362">
        <v>5000</v>
      </c>
      <c r="L14" s="3362">
        <v>5000</v>
      </c>
      <c r="M14" s="3362">
        <v>5000</v>
      </c>
      <c r="N14" s="3362">
        <v>5000</v>
      </c>
      <c r="O14" s="3362">
        <v>5000</v>
      </c>
      <c r="P14" s="3362">
        <v>5000</v>
      </c>
      <c r="Q14" s="3362">
        <v>5000</v>
      </c>
      <c r="R14" s="3362">
        <v>5000</v>
      </c>
      <c r="S14" s="3362">
        <v>5000</v>
      </c>
      <c r="T14" s="3362">
        <v>5000</v>
      </c>
      <c r="U14" s="3362">
        <v>5000</v>
      </c>
      <c r="V14" s="3362">
        <v>5000</v>
      </c>
      <c r="W14" s="3362">
        <v>5000</v>
      </c>
      <c r="X14" s="3362">
        <v>5000</v>
      </c>
      <c r="Y14" s="3362">
        <v>5000</v>
      </c>
      <c r="Z14" s="3362">
        <v>5000</v>
      </c>
      <c r="AA14" s="3362">
        <v>5000</v>
      </c>
    </row>
    <row r="15" spans="1:27">
      <c r="A15" s="3710" t="s">
        <v>16</v>
      </c>
      <c r="B15" s="3363">
        <f>COUNTA(C15:C18)</f>
        <v>4</v>
      </c>
      <c r="C15" s="3353" t="s">
        <v>21</v>
      </c>
      <c r="D15" s="3364">
        <v>28000</v>
      </c>
      <c r="E15" s="1185"/>
      <c r="F15" s="1185"/>
      <c r="G15" s="1185">
        <v>19674.740000000002</v>
      </c>
      <c r="H15" s="3365"/>
      <c r="I15" s="3366"/>
      <c r="J15" s="3367"/>
      <c r="K15" s="3368"/>
      <c r="L15" s="3369"/>
      <c r="M15" s="3370"/>
      <c r="N15" s="3370"/>
      <c r="O15" s="3370"/>
      <c r="P15" s="3371"/>
      <c r="Q15" s="3372"/>
      <c r="R15" s="3372"/>
      <c r="S15" s="3038"/>
      <c r="T15" s="3038"/>
      <c r="U15" s="3038"/>
      <c r="V15" s="3038"/>
      <c r="W15" s="3038"/>
      <c r="X15" s="3168"/>
      <c r="Y15" s="3168"/>
      <c r="Z15" s="3168"/>
      <c r="AA15" s="3373"/>
    </row>
    <row r="16" spans="1:27">
      <c r="A16" s="3711"/>
      <c r="B16" s="3374"/>
      <c r="C16" s="3375" t="s">
        <v>20</v>
      </c>
      <c r="D16" s="1188">
        <v>16000</v>
      </c>
      <c r="E16" s="1188"/>
      <c r="F16" s="1188"/>
      <c r="G16" s="1188">
        <v>16000</v>
      </c>
      <c r="H16" s="3376"/>
      <c r="I16" s="3377"/>
      <c r="J16" s="3378"/>
      <c r="K16" s="3379"/>
      <c r="L16" s="1447"/>
      <c r="M16" s="3380"/>
      <c r="N16" s="3380"/>
      <c r="O16" s="3380"/>
      <c r="P16" s="3381"/>
      <c r="Q16" s="1449"/>
      <c r="R16" s="1449"/>
      <c r="S16" s="1450"/>
      <c r="T16" s="1450"/>
      <c r="U16" s="1450"/>
      <c r="V16" s="1450"/>
      <c r="W16" s="1450"/>
      <c r="X16" s="3015"/>
      <c r="Y16" s="3015"/>
      <c r="Z16" s="3015"/>
      <c r="AA16" s="3382"/>
    </row>
    <row r="17" spans="1:27">
      <c r="A17" s="3711"/>
      <c r="B17" s="3374"/>
      <c r="C17" s="3375" t="s">
        <v>17</v>
      </c>
      <c r="D17" s="1188" t="s">
        <v>336</v>
      </c>
      <c r="E17" s="1188"/>
      <c r="F17" s="1188"/>
      <c r="G17" s="1188"/>
      <c r="H17" s="3376"/>
      <c r="I17" s="3377"/>
      <c r="J17" s="3378"/>
      <c r="K17" s="3379"/>
      <c r="L17" s="1447"/>
      <c r="M17" s="3380"/>
      <c r="N17" s="3380"/>
      <c r="O17" s="3380"/>
      <c r="P17" s="3381"/>
      <c r="Q17" s="1449"/>
      <c r="R17" s="1449"/>
      <c r="S17" s="1450"/>
      <c r="T17" s="1450"/>
      <c r="U17" s="1450"/>
      <c r="V17" s="1450"/>
      <c r="W17" s="1450"/>
      <c r="X17" s="3015"/>
      <c r="Y17" s="3268"/>
      <c r="Z17" s="3015"/>
      <c r="AA17" s="3382"/>
    </row>
    <row r="18" spans="1:27" ht="15.75" thickBot="1">
      <c r="A18" s="3712"/>
      <c r="B18" s="3383"/>
      <c r="C18" s="3384" t="s">
        <v>18</v>
      </c>
      <c r="D18" s="1193">
        <v>54000</v>
      </c>
      <c r="E18" s="1193"/>
      <c r="F18" s="1193"/>
      <c r="G18" s="1193">
        <v>24247.439999999999</v>
      </c>
      <c r="H18" s="3385"/>
      <c r="I18" s="3386"/>
      <c r="J18" s="3387"/>
      <c r="K18" s="3388"/>
      <c r="L18" s="3389"/>
      <c r="M18" s="3390"/>
      <c r="N18" s="3390"/>
      <c r="O18" s="3391"/>
      <c r="P18" s="3392"/>
      <c r="Q18" s="3393"/>
      <c r="R18" s="3393"/>
      <c r="S18" s="3394"/>
      <c r="T18" s="3394"/>
      <c r="U18" s="3394"/>
      <c r="V18" s="3394"/>
      <c r="W18" s="3394"/>
      <c r="X18" s="3165"/>
      <c r="Y18" s="3165"/>
      <c r="Z18" s="3165"/>
      <c r="AA18" s="3395"/>
    </row>
    <row r="19" spans="1:27">
      <c r="A19" s="3529" t="s">
        <v>131</v>
      </c>
      <c r="B19" s="3396">
        <f>COUNTA(C19:C21)</f>
        <v>3</v>
      </c>
      <c r="C19" s="3397" t="s">
        <v>25</v>
      </c>
      <c r="D19" s="1185">
        <v>35000</v>
      </c>
      <c r="E19" s="1185"/>
      <c r="F19" s="1185"/>
      <c r="G19" s="1296">
        <v>192605.08</v>
      </c>
      <c r="H19" s="3398"/>
      <c r="I19" s="3366"/>
      <c r="J19" s="3367"/>
      <c r="K19" s="3368"/>
      <c r="L19" s="3399"/>
      <c r="M19" s="3370"/>
      <c r="N19" s="3370"/>
      <c r="O19" s="3400"/>
      <c r="P19" s="3401"/>
      <c r="Q19" s="3372"/>
      <c r="R19" s="3372"/>
      <c r="S19" s="3038"/>
      <c r="T19" s="3038"/>
      <c r="U19" s="3038"/>
      <c r="V19" s="3038"/>
      <c r="W19" s="3038"/>
      <c r="X19" s="3382"/>
      <c r="Y19" s="67"/>
      <c r="Z19" s="3168"/>
      <c r="AA19" s="3373"/>
    </row>
    <row r="20" spans="1:27">
      <c r="A20" s="3530"/>
      <c r="B20" s="3402"/>
      <c r="C20" s="3403" t="s">
        <v>33</v>
      </c>
      <c r="D20" s="1282">
        <v>54000</v>
      </c>
      <c r="E20" s="1282"/>
      <c r="F20" s="1282"/>
      <c r="G20" s="3404">
        <v>306327.46999999997</v>
      </c>
      <c r="H20" s="2448"/>
      <c r="I20" s="1282"/>
      <c r="J20" s="3405"/>
      <c r="K20" s="3406"/>
      <c r="L20" s="3407"/>
      <c r="M20" s="3380"/>
      <c r="N20" s="3380"/>
      <c r="O20" s="3408"/>
      <c r="P20" s="3407"/>
      <c r="Q20" s="1449"/>
      <c r="R20" s="1449"/>
      <c r="S20" s="1450"/>
      <c r="T20" s="1450"/>
      <c r="U20" s="1450"/>
      <c r="V20" s="1450"/>
      <c r="W20" s="1450"/>
      <c r="X20" s="3382"/>
      <c r="Y20" s="67"/>
      <c r="Z20" s="3015"/>
      <c r="AA20" s="3382"/>
    </row>
    <row r="21" spans="1:27" ht="15.75" thickBot="1">
      <c r="A21" s="3531"/>
      <c r="B21" s="3409"/>
      <c r="C21" s="3410" t="s">
        <v>31</v>
      </c>
      <c r="D21" s="1193">
        <v>35000</v>
      </c>
      <c r="E21" s="1193"/>
      <c r="F21" s="1193"/>
      <c r="G21" s="1313">
        <v>378586.62</v>
      </c>
      <c r="H21" s="3411"/>
      <c r="I21" s="3386"/>
      <c r="J21" s="3387"/>
      <c r="K21" s="3412"/>
      <c r="L21" s="3413"/>
      <c r="M21" s="3390"/>
      <c r="N21" s="3390"/>
      <c r="O21" s="3391"/>
      <c r="P21" s="3413"/>
      <c r="Q21" s="3393"/>
      <c r="R21" s="3393"/>
      <c r="S21" s="3394"/>
      <c r="T21" s="3394"/>
      <c r="U21" s="3394"/>
      <c r="V21" s="3394"/>
      <c r="W21" s="3394"/>
      <c r="X21" s="3382"/>
      <c r="Y21" s="67"/>
      <c r="Z21" s="3165"/>
      <c r="AA21" s="3395"/>
    </row>
    <row r="22" spans="1:27">
      <c r="A22" s="3710" t="s">
        <v>185</v>
      </c>
      <c r="B22" s="3363">
        <f>COUNTA(C22:C24)</f>
        <v>3</v>
      </c>
      <c r="C22" s="3353" t="s">
        <v>19</v>
      </c>
      <c r="D22" s="1280">
        <v>920000</v>
      </c>
      <c r="E22" s="1280"/>
      <c r="F22" s="1280"/>
      <c r="G22" s="3414">
        <v>483030.59</v>
      </c>
      <c r="H22" s="2447"/>
      <c r="I22" s="1280"/>
      <c r="J22" s="3415"/>
      <c r="K22" s="3416"/>
      <c r="L22" s="3401"/>
      <c r="M22" s="3370"/>
      <c r="N22" s="3370"/>
      <c r="O22" s="3400"/>
      <c r="P22" s="3371"/>
      <c r="Q22" s="3372"/>
      <c r="R22" s="3372"/>
      <c r="S22" s="3038"/>
      <c r="T22" s="3038"/>
      <c r="U22" s="3038"/>
      <c r="V22" s="3038"/>
      <c r="W22" s="3038"/>
      <c r="X22" s="3168"/>
      <c r="Y22" s="3417"/>
      <c r="Z22" s="3168"/>
      <c r="AA22" s="3373"/>
    </row>
    <row r="23" spans="1:27">
      <c r="A23" s="3711"/>
      <c r="B23" s="3374"/>
      <c r="C23" s="3375" t="s">
        <v>37</v>
      </c>
      <c r="D23" s="1282">
        <v>9200000</v>
      </c>
      <c r="E23" s="1282"/>
      <c r="F23" s="1282"/>
      <c r="G23" s="3404">
        <v>1573177.87</v>
      </c>
      <c r="H23" s="2448"/>
      <c r="I23" s="1282"/>
      <c r="J23" s="3405"/>
      <c r="K23" s="3406"/>
      <c r="L23" s="3407"/>
      <c r="M23" s="3380"/>
      <c r="N23" s="3380"/>
      <c r="O23" s="3408"/>
      <c r="P23" s="3381"/>
      <c r="Q23" s="1449"/>
      <c r="R23" s="1449"/>
      <c r="S23" s="1450"/>
      <c r="T23" s="1450"/>
      <c r="U23" s="1450"/>
      <c r="V23" s="1450"/>
      <c r="W23" s="1450"/>
      <c r="X23" s="3015"/>
      <c r="Y23" s="3418"/>
      <c r="Z23" s="3015"/>
      <c r="AA23" s="3382"/>
    </row>
    <row r="24" spans="1:27" ht="15.75" thickBot="1">
      <c r="A24" s="3712"/>
      <c r="B24" s="3383"/>
      <c r="C24" s="3384" t="s">
        <v>15</v>
      </c>
      <c r="D24" s="1284">
        <v>350000</v>
      </c>
      <c r="E24" s="1284"/>
      <c r="F24" s="1284"/>
      <c r="G24" s="3419">
        <v>404429.93</v>
      </c>
      <c r="H24" s="2449"/>
      <c r="I24" s="1284"/>
      <c r="J24" s="3420"/>
      <c r="K24" s="3412"/>
      <c r="L24" s="3413"/>
      <c r="M24" s="3390"/>
      <c r="N24" s="3390"/>
      <c r="O24" s="3391"/>
      <c r="P24" s="3392"/>
      <c r="Q24" s="3393"/>
      <c r="R24" s="3393"/>
      <c r="S24" s="3394"/>
      <c r="T24" s="3394"/>
      <c r="U24" s="3394"/>
      <c r="V24" s="3394"/>
      <c r="W24" s="3394"/>
      <c r="X24" s="3165"/>
      <c r="Y24" s="3421"/>
      <c r="Z24" s="3165"/>
      <c r="AA24" s="3395"/>
    </row>
    <row r="25" spans="1:27">
      <c r="A25" s="3710" t="s">
        <v>132</v>
      </c>
      <c r="B25" s="3422"/>
      <c r="C25" s="3397" t="s">
        <v>20</v>
      </c>
      <c r="D25" s="1185">
        <v>790000</v>
      </c>
      <c r="E25" s="1185"/>
      <c r="F25" s="1185"/>
      <c r="G25" s="1296">
        <v>3715649.05</v>
      </c>
      <c r="H25" s="3423"/>
      <c r="I25" s="3366"/>
      <c r="J25" s="3367"/>
      <c r="K25" s="3416"/>
      <c r="L25" s="3401"/>
      <c r="M25" s="3370"/>
      <c r="N25" s="3370"/>
      <c r="O25" s="3424"/>
      <c r="P25" s="3371"/>
      <c r="Q25" s="3372"/>
      <c r="R25" s="3372"/>
      <c r="S25" s="3038"/>
      <c r="T25" s="3038"/>
      <c r="U25" s="3038"/>
      <c r="V25" s="3038"/>
      <c r="W25" s="3038"/>
      <c r="X25" s="3168"/>
      <c r="Y25" s="3417"/>
      <c r="Z25" s="3168"/>
      <c r="AA25" s="3373"/>
    </row>
    <row r="26" spans="1:27">
      <c r="A26" s="3711"/>
      <c r="B26" s="3425"/>
      <c r="C26" s="3403" t="s">
        <v>30</v>
      </c>
      <c r="D26" s="1282">
        <v>2400000</v>
      </c>
      <c r="E26" s="1282"/>
      <c r="F26" s="1282"/>
      <c r="G26" s="3404">
        <v>4497793.91</v>
      </c>
      <c r="H26" s="2448"/>
      <c r="I26" s="1282"/>
      <c r="J26" s="3405"/>
      <c r="K26" s="3406"/>
      <c r="L26" s="3407"/>
      <c r="M26" s="3380"/>
      <c r="N26" s="3380"/>
      <c r="O26" s="3408"/>
      <c r="P26" s="3381"/>
      <c r="Q26" s="1449"/>
      <c r="R26" s="1449"/>
      <c r="S26" s="1450"/>
      <c r="T26" s="1450"/>
      <c r="U26" s="1450"/>
      <c r="V26" s="1450"/>
      <c r="W26" s="1450"/>
      <c r="X26" s="3015"/>
      <c r="Y26" s="3418"/>
      <c r="Z26" s="3015"/>
      <c r="AA26" s="3382"/>
    </row>
    <row r="27" spans="1:27">
      <c r="A27" s="3711"/>
      <c r="B27" s="3425"/>
      <c r="C27" s="3403" t="s">
        <v>12</v>
      </c>
      <c r="D27" s="1188">
        <v>9200000</v>
      </c>
      <c r="E27" s="1188"/>
      <c r="F27" s="1188"/>
      <c r="G27" s="1304">
        <v>10133518.76</v>
      </c>
      <c r="H27" s="3426"/>
      <c r="I27" s="3377"/>
      <c r="J27" s="3378"/>
      <c r="K27" s="3406"/>
      <c r="L27" s="3407"/>
      <c r="M27" s="3380"/>
      <c r="N27" s="3380"/>
      <c r="O27" s="3424"/>
      <c r="P27" s="3381"/>
      <c r="Q27" s="1449"/>
      <c r="R27" s="1449"/>
      <c r="S27" s="1450"/>
      <c r="T27" s="1450"/>
      <c r="U27" s="1450"/>
      <c r="V27" s="1450"/>
      <c r="W27" s="1450"/>
      <c r="X27" s="3015"/>
      <c r="Y27" s="3418"/>
      <c r="Z27" s="3015"/>
      <c r="AA27" s="3382"/>
    </row>
    <row r="28" spans="1:27">
      <c r="A28" s="3711"/>
      <c r="B28" s="3425"/>
      <c r="C28" s="3403" t="s">
        <v>26</v>
      </c>
      <c r="D28" s="1282">
        <v>940000</v>
      </c>
      <c r="E28" s="1282"/>
      <c r="F28" s="1282"/>
      <c r="G28" s="3404">
        <v>2767977.59</v>
      </c>
      <c r="H28" s="2448"/>
      <c r="I28" s="1282"/>
      <c r="J28" s="3405"/>
      <c r="K28" s="3406"/>
      <c r="L28" s="3407"/>
      <c r="M28" s="3380"/>
      <c r="N28" s="3380"/>
      <c r="O28" s="3408"/>
      <c r="P28" s="3381"/>
      <c r="Q28" s="1449"/>
      <c r="R28" s="1449"/>
      <c r="S28" s="1450"/>
      <c r="T28" s="1450"/>
      <c r="U28" s="1450"/>
      <c r="V28" s="1450"/>
      <c r="W28" s="1450"/>
      <c r="X28" s="3015"/>
      <c r="Y28" s="3418"/>
      <c r="Z28" s="3015"/>
      <c r="AA28" s="3382"/>
    </row>
    <row r="29" spans="1:27" ht="15.75" thickBot="1">
      <c r="A29" s="3712"/>
      <c r="B29" s="3427">
        <f>COUNTA(C29:C33)</f>
        <v>5</v>
      </c>
      <c r="C29" s="3410" t="s">
        <v>22</v>
      </c>
      <c r="D29" s="1193">
        <v>3500000</v>
      </c>
      <c r="E29" s="1193"/>
      <c r="F29" s="1193"/>
      <c r="G29" s="1313">
        <v>6297438.0199999996</v>
      </c>
      <c r="H29" s="3428"/>
      <c r="I29" s="3386"/>
      <c r="J29" s="3387"/>
      <c r="K29" s="3412"/>
      <c r="L29" s="3413"/>
      <c r="M29" s="3390"/>
      <c r="N29" s="3390"/>
      <c r="O29" s="3391"/>
      <c r="P29" s="3392"/>
      <c r="Q29" s="3393"/>
      <c r="R29" s="3393"/>
      <c r="S29" s="3394"/>
      <c r="T29" s="3394"/>
      <c r="U29" s="3394"/>
      <c r="V29" s="3394"/>
      <c r="W29" s="3394"/>
      <c r="X29" s="3165"/>
      <c r="Y29" s="3429"/>
      <c r="Z29" s="3165"/>
      <c r="AA29" s="3395"/>
    </row>
    <row r="30" spans="1:27">
      <c r="A30" s="3529" t="s">
        <v>364</v>
      </c>
      <c r="B30" s="3396"/>
      <c r="C30" s="3397" t="s">
        <v>20</v>
      </c>
      <c r="D30" s="1185">
        <v>17000000</v>
      </c>
      <c r="E30" s="1185"/>
      <c r="F30" s="1185"/>
      <c r="G30" s="1296">
        <v>4256043.5999999996</v>
      </c>
      <c r="H30" s="3365"/>
      <c r="I30" s="3366"/>
      <c r="J30" s="3367"/>
      <c r="K30" s="3416"/>
      <c r="L30" s="3401"/>
      <c r="M30" s="3370"/>
      <c r="N30" s="3370"/>
      <c r="O30" s="3400"/>
      <c r="P30" s="3371"/>
      <c r="Q30" s="3372"/>
      <c r="R30" s="3372"/>
      <c r="S30" s="3038"/>
      <c r="T30" s="3038"/>
      <c r="U30" s="3038"/>
      <c r="V30" s="3038"/>
      <c r="W30" s="3038"/>
      <c r="X30" s="3168"/>
      <c r="Y30" s="3417"/>
      <c r="Z30" s="3168"/>
      <c r="AA30" s="3373"/>
    </row>
    <row r="31" spans="1:27">
      <c r="A31" s="3530"/>
      <c r="B31" s="3402"/>
      <c r="C31" s="3403" t="s">
        <v>26</v>
      </c>
      <c r="D31" s="1188">
        <v>54000000</v>
      </c>
      <c r="E31" s="1188"/>
      <c r="F31" s="1188"/>
      <c r="G31" s="1304">
        <v>5392171.0300000003</v>
      </c>
      <c r="H31" s="3376"/>
      <c r="I31" s="3377"/>
      <c r="J31" s="3378"/>
      <c r="K31" s="3406"/>
      <c r="L31" s="3407"/>
      <c r="M31" s="3380"/>
      <c r="N31" s="3380"/>
      <c r="O31" s="3408"/>
      <c r="P31" s="3381"/>
      <c r="Q31" s="1449"/>
      <c r="R31" s="1449"/>
      <c r="S31" s="1450"/>
      <c r="T31" s="1450"/>
      <c r="U31" s="1450"/>
      <c r="V31" s="1450"/>
      <c r="W31" s="1450"/>
      <c r="X31" s="3015"/>
      <c r="Y31" s="3418"/>
      <c r="Z31" s="3015"/>
      <c r="AA31" s="3382"/>
    </row>
    <row r="32" spans="1:27">
      <c r="A32" s="3530"/>
      <c r="B32" s="3402"/>
      <c r="C32" s="3403" t="s">
        <v>39</v>
      </c>
      <c r="D32" s="1188">
        <v>17000000</v>
      </c>
      <c r="E32" s="1188"/>
      <c r="F32" s="1188"/>
      <c r="G32" s="1304">
        <v>4540449.12</v>
      </c>
      <c r="H32" s="3376"/>
      <c r="I32" s="3377"/>
      <c r="J32" s="3378"/>
      <c r="K32" s="3406"/>
      <c r="L32" s="3407"/>
      <c r="M32" s="3380"/>
      <c r="N32" s="3380"/>
      <c r="O32" s="3408"/>
      <c r="P32" s="3407"/>
      <c r="Q32" s="1449"/>
      <c r="R32" s="1449"/>
      <c r="S32" s="1450"/>
      <c r="T32" s="1450"/>
      <c r="U32" s="1450"/>
      <c r="V32" s="1450"/>
      <c r="W32" s="1450"/>
      <c r="X32" s="3015"/>
      <c r="Y32" s="3418"/>
      <c r="Z32" s="3015"/>
      <c r="AA32" s="3382"/>
    </row>
    <row r="33" spans="1:27">
      <c r="A33" s="3530"/>
      <c r="B33" s="3402">
        <f>COUNTA(C33:C37)</f>
        <v>5</v>
      </c>
      <c r="C33" s="3403" t="s">
        <v>34</v>
      </c>
      <c r="D33" s="1188">
        <v>1300000</v>
      </c>
      <c r="E33" s="1188"/>
      <c r="F33" s="1188"/>
      <c r="G33" s="1304">
        <v>8315280.7300000004</v>
      </c>
      <c r="H33" s="3376"/>
      <c r="I33" s="3377"/>
      <c r="J33" s="3378"/>
      <c r="K33" s="3406"/>
      <c r="L33" s="3407"/>
      <c r="M33" s="3380"/>
      <c r="N33" s="3380"/>
      <c r="O33" s="3408"/>
      <c r="P33" s="3381"/>
      <c r="Q33" s="1449"/>
      <c r="R33" s="1449"/>
      <c r="S33" s="1450"/>
      <c r="T33" s="1450"/>
      <c r="U33" s="1450"/>
      <c r="V33" s="1450"/>
      <c r="W33" s="1450"/>
      <c r="X33" s="3015"/>
      <c r="Y33" s="3418"/>
      <c r="Z33" s="3015"/>
      <c r="AA33" s="3382"/>
    </row>
    <row r="34" spans="1:27" ht="15.75" thickBot="1">
      <c r="A34" s="3531"/>
      <c r="B34" s="3409"/>
      <c r="C34" s="3410" t="s">
        <v>38</v>
      </c>
      <c r="D34" s="1284">
        <v>35000000</v>
      </c>
      <c r="E34" s="1284"/>
      <c r="F34" s="1284"/>
      <c r="G34" s="3419">
        <v>6122665.04</v>
      </c>
      <c r="H34" s="2449"/>
      <c r="I34" s="1284"/>
      <c r="J34" s="3420"/>
      <c r="K34" s="3412"/>
      <c r="L34" s="3413"/>
      <c r="M34" s="3390"/>
      <c r="N34" s="3390"/>
      <c r="O34" s="3391"/>
      <c r="P34" s="3392"/>
      <c r="Q34" s="3393"/>
      <c r="R34" s="3393"/>
      <c r="S34" s="3394"/>
      <c r="T34" s="3394"/>
      <c r="U34" s="3394"/>
      <c r="V34" s="3394"/>
      <c r="W34" s="3394"/>
      <c r="X34" s="3165"/>
      <c r="Y34" s="3429"/>
      <c r="Z34" s="3165"/>
      <c r="AA34" s="3395"/>
    </row>
    <row r="35" spans="1:27" ht="15.75" thickBot="1">
      <c r="A35" s="3529" t="s">
        <v>23</v>
      </c>
      <c r="B35" s="3396"/>
      <c r="C35" s="3397" t="s">
        <v>32</v>
      </c>
      <c r="D35" s="1280">
        <v>240000</v>
      </c>
      <c r="E35" s="1280"/>
      <c r="F35" s="1280"/>
      <c r="G35" s="3414">
        <v>59715.96</v>
      </c>
      <c r="H35" s="2447"/>
      <c r="I35" s="1280"/>
      <c r="J35" s="3415"/>
      <c r="K35" s="3416"/>
      <c r="L35" s="3401"/>
      <c r="M35" s="3370"/>
      <c r="N35" s="3370"/>
      <c r="O35" s="3400"/>
      <c r="P35" s="3371"/>
      <c r="Q35" s="3372"/>
      <c r="R35" s="3372"/>
      <c r="S35" s="3038"/>
      <c r="T35" s="3038"/>
      <c r="U35" s="3038"/>
      <c r="V35" s="3038"/>
      <c r="W35" s="3038"/>
      <c r="X35" s="3168"/>
      <c r="Y35" s="3417"/>
      <c r="Z35" s="3168"/>
      <c r="AA35" s="3373"/>
    </row>
    <row r="36" spans="1:27" ht="15.75" thickBot="1">
      <c r="A36" s="3530"/>
      <c r="B36" s="3402">
        <f>COUNTA(C36:C38)</f>
        <v>3</v>
      </c>
      <c r="C36" s="3403" t="s">
        <v>24</v>
      </c>
      <c r="D36" s="1280">
        <v>240000</v>
      </c>
      <c r="E36" s="1188"/>
      <c r="F36" s="1188"/>
      <c r="G36" s="1304">
        <v>108403.01</v>
      </c>
      <c r="H36" s="3426"/>
      <c r="I36" s="3377"/>
      <c r="J36" s="3378"/>
      <c r="K36" s="3406"/>
      <c r="L36" s="3407"/>
      <c r="M36" s="3380"/>
      <c r="N36" s="3380"/>
      <c r="O36" s="3408"/>
      <c r="P36" s="3381"/>
      <c r="Q36" s="1449"/>
      <c r="R36" s="1449"/>
      <c r="S36" s="1450"/>
      <c r="T36" s="1450"/>
      <c r="U36" s="1450"/>
      <c r="V36" s="1450"/>
      <c r="W36" s="1450"/>
      <c r="X36" s="3015"/>
      <c r="Y36" s="3418"/>
      <c r="Z36" s="3015"/>
      <c r="AA36" s="3382"/>
    </row>
    <row r="37" spans="1:27" ht="15.75" thickBot="1">
      <c r="A37" s="3531"/>
      <c r="B37" s="3409"/>
      <c r="C37" s="3410" t="s">
        <v>27</v>
      </c>
      <c r="D37" s="1280">
        <v>240000</v>
      </c>
      <c r="E37" s="1193"/>
      <c r="F37" s="1193"/>
      <c r="G37" s="1313">
        <v>14426.4</v>
      </c>
      <c r="H37" s="3428"/>
      <c r="I37" s="3386"/>
      <c r="J37" s="3387"/>
      <c r="K37" s="3412"/>
      <c r="L37" s="3413"/>
      <c r="M37" s="3390"/>
      <c r="N37" s="3390"/>
      <c r="O37" s="3391"/>
      <c r="P37" s="3392"/>
      <c r="Q37" s="3393"/>
      <c r="R37" s="3393"/>
      <c r="S37" s="3394"/>
      <c r="T37" s="3394"/>
      <c r="U37" s="3394"/>
      <c r="V37" s="3394"/>
      <c r="W37" s="3394"/>
      <c r="X37" s="3165"/>
      <c r="Y37" s="3429"/>
      <c r="Z37" s="3165"/>
      <c r="AA37" s="3395"/>
    </row>
    <row r="38" spans="1:27">
      <c r="A38" s="3529" t="s">
        <v>6</v>
      </c>
      <c r="B38" s="3396"/>
      <c r="C38" s="3397" t="s">
        <v>10</v>
      </c>
      <c r="D38" s="3448" t="s">
        <v>336</v>
      </c>
      <c r="E38" s="1185"/>
      <c r="F38" s="1185"/>
      <c r="G38" s="1296">
        <v>49839.74</v>
      </c>
      <c r="H38" s="3423"/>
      <c r="I38" s="3366"/>
      <c r="J38" s="3367"/>
      <c r="K38" s="3416"/>
      <c r="L38" s="3401"/>
      <c r="M38" s="3370"/>
      <c r="N38" s="3370"/>
      <c r="O38" s="3400"/>
      <c r="P38" s="3371"/>
      <c r="Q38" s="3372"/>
      <c r="R38" s="3372"/>
      <c r="S38" s="3038"/>
      <c r="T38" s="3038"/>
      <c r="U38" s="3038"/>
      <c r="V38" s="3038"/>
      <c r="W38" s="3038"/>
      <c r="X38" s="3168"/>
      <c r="Y38" s="3256"/>
      <c r="Z38" s="3168"/>
      <c r="AA38" s="3373"/>
    </row>
    <row r="39" spans="1:27">
      <c r="A39" s="3530"/>
      <c r="B39" s="3402">
        <f>COUNTA(C39:C43)</f>
        <v>5</v>
      </c>
      <c r="C39" s="3403" t="s">
        <v>20</v>
      </c>
      <c r="D39" s="3449" t="s">
        <v>336</v>
      </c>
      <c r="E39" s="1188"/>
      <c r="F39" s="1188"/>
      <c r="G39" s="1304">
        <v>23664.32</v>
      </c>
      <c r="H39" s="3426"/>
      <c r="I39" s="3377"/>
      <c r="J39" s="3378"/>
      <c r="K39" s="3406"/>
      <c r="L39" s="3407"/>
      <c r="M39" s="3380"/>
      <c r="N39" s="3380"/>
      <c r="O39" s="3408"/>
      <c r="P39" s="3381"/>
      <c r="Q39" s="1449"/>
      <c r="R39" s="1449"/>
      <c r="S39" s="1450"/>
      <c r="T39" s="1450"/>
      <c r="U39" s="1450"/>
      <c r="V39" s="1450"/>
      <c r="W39" s="1450"/>
      <c r="X39" s="3015"/>
      <c r="Y39" s="3257"/>
      <c r="Z39" s="3015"/>
      <c r="AA39" s="3382"/>
    </row>
    <row r="40" spans="1:27">
      <c r="A40" s="3530"/>
      <c r="B40" s="3402"/>
      <c r="C40" s="3403" t="s">
        <v>11</v>
      </c>
      <c r="D40" s="3449" t="s">
        <v>336</v>
      </c>
      <c r="E40" s="1188"/>
      <c r="F40" s="1188"/>
      <c r="G40" s="1304">
        <v>33226.5</v>
      </c>
      <c r="H40" s="3426"/>
      <c r="I40" s="3377"/>
      <c r="J40" s="3378"/>
      <c r="K40" s="3406"/>
      <c r="L40" s="3407"/>
      <c r="M40" s="3380"/>
      <c r="N40" s="3380"/>
      <c r="O40" s="3408"/>
      <c r="P40" s="3381"/>
      <c r="Q40" s="1449"/>
      <c r="R40" s="1449"/>
      <c r="S40" s="1450"/>
      <c r="T40" s="1450"/>
      <c r="U40" s="1450"/>
      <c r="V40" s="1450"/>
      <c r="W40" s="1450"/>
      <c r="X40" s="3015"/>
      <c r="Y40" s="3257"/>
      <c r="Z40" s="3015"/>
      <c r="AA40" s="3382"/>
    </row>
    <row r="41" spans="1:27">
      <c r="A41" s="3530"/>
      <c r="B41" s="3402"/>
      <c r="C41" s="3403" t="s">
        <v>14</v>
      </c>
      <c r="D41" s="3449" t="s">
        <v>336</v>
      </c>
      <c r="E41" s="1188"/>
      <c r="F41" s="1188"/>
      <c r="G41" s="1304">
        <v>26495.279999999999</v>
      </c>
      <c r="H41" s="3426"/>
      <c r="I41" s="3377"/>
      <c r="J41" s="3378"/>
      <c r="K41" s="3406"/>
      <c r="L41" s="3407"/>
      <c r="M41" s="3380"/>
      <c r="N41" s="3380"/>
      <c r="O41" s="3408"/>
      <c r="P41" s="3381"/>
      <c r="Q41" s="1449"/>
      <c r="R41" s="1449"/>
      <c r="S41" s="1450"/>
      <c r="T41" s="1450"/>
      <c r="U41" s="1450"/>
      <c r="V41" s="1450"/>
      <c r="W41" s="1450"/>
      <c r="X41" s="3015"/>
      <c r="Y41" s="3257"/>
      <c r="Z41" s="3015"/>
      <c r="AA41" s="3382"/>
    </row>
    <row r="42" spans="1:27" ht="15.75" thickBot="1">
      <c r="A42" s="3531"/>
      <c r="B42" s="3409"/>
      <c r="C42" s="3410" t="s">
        <v>7</v>
      </c>
      <c r="D42" s="3450" t="s">
        <v>336</v>
      </c>
      <c r="E42" s="1193"/>
      <c r="F42" s="1193"/>
      <c r="G42" s="1313">
        <v>48908.08</v>
      </c>
      <c r="H42" s="3428"/>
      <c r="I42" s="3386"/>
      <c r="J42" s="3387"/>
      <c r="K42" s="3412"/>
      <c r="L42" s="3413"/>
      <c r="M42" s="3390"/>
      <c r="N42" s="3390"/>
      <c r="O42" s="3391"/>
      <c r="P42" s="3392"/>
      <c r="Q42" s="3393"/>
      <c r="R42" s="3393"/>
      <c r="S42" s="3394"/>
      <c r="T42" s="3394"/>
      <c r="U42" s="3394"/>
      <c r="V42" s="3394"/>
      <c r="W42" s="3394"/>
      <c r="X42" s="3165"/>
      <c r="Y42" s="3258"/>
      <c r="Z42" s="3165"/>
      <c r="AA42" s="3395"/>
    </row>
    <row r="43" spans="1:27">
      <c r="A43" s="3529" t="s">
        <v>28</v>
      </c>
      <c r="B43" s="3396"/>
      <c r="C43" s="3397" t="s">
        <v>35</v>
      </c>
      <c r="D43" s="1185">
        <v>1600000</v>
      </c>
      <c r="E43" s="1185"/>
      <c r="F43" s="1185"/>
      <c r="G43" s="1296">
        <v>671213.37</v>
      </c>
      <c r="H43" s="3365"/>
      <c r="I43" s="3366"/>
      <c r="J43" s="3367"/>
      <c r="K43" s="3416"/>
      <c r="L43" s="3401"/>
      <c r="M43" s="3370"/>
      <c r="N43" s="3370"/>
      <c r="O43" s="3400"/>
      <c r="P43" s="3371"/>
      <c r="Q43" s="3372"/>
      <c r="R43" s="3372"/>
      <c r="S43" s="3038"/>
      <c r="T43" s="3038"/>
      <c r="U43" s="3038"/>
      <c r="V43" s="3038"/>
      <c r="W43" s="3038"/>
      <c r="X43" s="3168"/>
      <c r="Y43" s="3417"/>
      <c r="Z43" s="3168"/>
      <c r="AA43" s="3373"/>
    </row>
    <row r="44" spans="1:27">
      <c r="A44" s="3530"/>
      <c r="B44" s="3402"/>
      <c r="C44" s="3403" t="s">
        <v>29</v>
      </c>
      <c r="D44" s="1188">
        <v>3500000</v>
      </c>
      <c r="E44" s="1188"/>
      <c r="F44" s="1188"/>
      <c r="G44" s="1304">
        <v>1446085.36</v>
      </c>
      <c r="H44" s="3376"/>
      <c r="I44" s="3377"/>
      <c r="J44" s="3378"/>
      <c r="K44" s="3406"/>
      <c r="L44" s="3407"/>
      <c r="M44" s="3380"/>
      <c r="N44" s="3380"/>
      <c r="O44" s="3408"/>
      <c r="P44" s="3381"/>
      <c r="Q44" s="1449"/>
      <c r="R44" s="1449"/>
      <c r="S44" s="1450"/>
      <c r="T44" s="1450"/>
      <c r="U44" s="1450"/>
      <c r="V44" s="1450"/>
      <c r="W44" s="1450"/>
      <c r="X44" s="3015"/>
      <c r="Y44" s="3418"/>
      <c r="Z44" s="3015"/>
      <c r="AA44" s="3382"/>
    </row>
    <row r="45" spans="1:27" ht="15.75" thickBot="1">
      <c r="A45" s="3531"/>
      <c r="B45" s="3409">
        <f>COUNTA(C45:C47)</f>
        <v>3</v>
      </c>
      <c r="C45" s="3410" t="s">
        <v>36</v>
      </c>
      <c r="D45" s="1193">
        <v>9200000</v>
      </c>
      <c r="E45" s="1193"/>
      <c r="F45" s="1193"/>
      <c r="G45" s="1313">
        <v>10051995.84</v>
      </c>
      <c r="H45" s="3385"/>
      <c r="I45" s="3386"/>
      <c r="J45" s="3387"/>
      <c r="K45" s="3412"/>
      <c r="L45" s="3413"/>
      <c r="M45" s="3390"/>
      <c r="N45" s="3390"/>
      <c r="O45" s="3391"/>
      <c r="P45" s="3392"/>
      <c r="Q45" s="3393"/>
      <c r="R45" s="3393"/>
      <c r="S45" s="3394"/>
      <c r="T45" s="3394"/>
      <c r="U45" s="3394"/>
      <c r="V45" s="3394"/>
      <c r="W45" s="3394"/>
      <c r="X45" s="3165"/>
      <c r="Y45" s="3429"/>
      <c r="Z45" s="3165"/>
      <c r="AA45" s="3395"/>
    </row>
    <row r="46" spans="1:27">
      <c r="A46" s="3529" t="s">
        <v>8</v>
      </c>
      <c r="B46" s="3396">
        <f>COUNTA(C46:C48)</f>
        <v>3</v>
      </c>
      <c r="C46" s="3430" t="s">
        <v>9</v>
      </c>
      <c r="D46" s="3366"/>
      <c r="E46" s="3366"/>
      <c r="F46" s="3366"/>
      <c r="G46" s="3431">
        <v>56745.04</v>
      </c>
      <c r="H46" s="3365"/>
      <c r="I46" s="3366"/>
      <c r="J46" s="3367"/>
      <c r="K46" s="3416"/>
      <c r="L46" s="3401"/>
      <c r="M46" s="3370"/>
      <c r="N46" s="3370"/>
      <c r="O46" s="3400"/>
      <c r="P46" s="3371"/>
      <c r="Q46" s="3372"/>
      <c r="R46" s="3372"/>
      <c r="S46" s="3038"/>
      <c r="T46" s="3038"/>
      <c r="U46" s="3038"/>
      <c r="V46" s="3038"/>
      <c r="W46" s="3038"/>
      <c r="X46" s="3168"/>
      <c r="Y46" s="3418"/>
      <c r="Z46" s="3015"/>
      <c r="AA46" s="3382"/>
    </row>
    <row r="47" spans="1:27">
      <c r="A47" s="3530"/>
      <c r="B47" s="3402"/>
      <c r="C47" s="3432" t="s">
        <v>271</v>
      </c>
      <c r="D47" s="3377"/>
      <c r="E47" s="3377"/>
      <c r="F47" s="3377"/>
      <c r="G47" s="3433">
        <v>86948.26</v>
      </c>
      <c r="H47" s="3376"/>
      <c r="I47" s="3377"/>
      <c r="J47" s="3378"/>
      <c r="K47" s="3406"/>
      <c r="L47" s="3407"/>
      <c r="M47" s="3380"/>
      <c r="N47" s="3380"/>
      <c r="O47" s="3408"/>
      <c r="P47" s="3381"/>
      <c r="Q47" s="1449"/>
      <c r="R47" s="1449"/>
      <c r="S47" s="1450"/>
      <c r="T47" s="1450"/>
      <c r="U47" s="1450"/>
      <c r="V47" s="1450"/>
      <c r="W47" s="1450"/>
      <c r="X47" s="3015"/>
      <c r="Y47" s="3418"/>
      <c r="Z47" s="3015"/>
      <c r="AA47" s="3382"/>
    </row>
    <row r="48" spans="1:27" ht="15.75" thickBot="1">
      <c r="A48" s="3531"/>
      <c r="B48" s="3409"/>
      <c r="C48" s="3434" t="s">
        <v>13</v>
      </c>
      <c r="D48" s="3386"/>
      <c r="E48" s="3386"/>
      <c r="F48" s="3386"/>
      <c r="G48" s="3435">
        <v>7000</v>
      </c>
      <c r="H48" s="3385"/>
      <c r="I48" s="3386"/>
      <c r="J48" s="3387"/>
      <c r="K48" s="3412"/>
      <c r="L48" s="3413"/>
      <c r="M48" s="3390"/>
      <c r="N48" s="3390"/>
      <c r="O48" s="3391"/>
      <c r="P48" s="3392"/>
      <c r="Q48" s="3393"/>
      <c r="R48" s="3393"/>
      <c r="S48" s="3394"/>
      <c r="T48" s="3394"/>
      <c r="U48" s="3394"/>
      <c r="V48" s="3394"/>
      <c r="W48" s="3394"/>
      <c r="X48" s="3165"/>
      <c r="Y48" s="3418"/>
      <c r="Z48" s="3165"/>
      <c r="AA48" s="3395"/>
    </row>
    <row r="49" spans="1:27">
      <c r="A49" s="3529" t="s">
        <v>386</v>
      </c>
      <c r="B49" s="3396">
        <v>4</v>
      </c>
      <c r="C49" s="3436" t="s">
        <v>391</v>
      </c>
      <c r="D49" s="3437" t="s">
        <v>336</v>
      </c>
      <c r="E49" s="3437"/>
      <c r="F49" s="3437"/>
      <c r="G49" s="3438">
        <v>35000</v>
      </c>
      <c r="H49" s="3437"/>
      <c r="I49" s="3437"/>
      <c r="J49" s="87"/>
      <c r="K49" s="3439"/>
      <c r="L49" s="3440"/>
      <c r="M49" s="3440"/>
      <c r="N49" s="3440"/>
      <c r="O49" s="3440"/>
      <c r="P49" s="67"/>
      <c r="Q49" s="67"/>
      <c r="R49" s="67"/>
      <c r="S49" s="67"/>
      <c r="T49" s="67"/>
      <c r="U49" s="67"/>
      <c r="V49" s="67"/>
      <c r="W49" s="67"/>
      <c r="X49" s="3168"/>
      <c r="Y49" s="3168"/>
      <c r="Z49" s="3168"/>
      <c r="AA49" s="3373"/>
    </row>
    <row r="50" spans="1:27">
      <c r="A50" s="3530"/>
      <c r="B50" s="3402"/>
      <c r="C50" s="3441" t="s">
        <v>392</v>
      </c>
      <c r="D50" s="3437" t="s">
        <v>336</v>
      </c>
      <c r="E50" s="3437"/>
      <c r="F50" s="3437"/>
      <c r="G50" s="3438">
        <v>77136.240000000005</v>
      </c>
      <c r="H50" s="3437"/>
      <c r="I50" s="3437"/>
      <c r="J50" s="87"/>
      <c r="K50" s="3439"/>
      <c r="L50" s="3440"/>
      <c r="M50" s="3440"/>
      <c r="N50" s="3440"/>
      <c r="O50" s="3440"/>
      <c r="P50" s="67"/>
      <c r="Q50" s="67"/>
      <c r="R50" s="67"/>
      <c r="S50" s="67"/>
      <c r="T50" s="67"/>
      <c r="U50" s="67"/>
      <c r="V50" s="67"/>
      <c r="W50" s="67"/>
      <c r="X50" s="3015"/>
      <c r="Y50" s="3015"/>
      <c r="Z50" s="3015"/>
      <c r="AA50" s="3382"/>
    </row>
    <row r="51" spans="1:27">
      <c r="A51" s="3530"/>
      <c r="B51" s="3402"/>
      <c r="C51" s="3441" t="s">
        <v>393</v>
      </c>
      <c r="D51" s="3437" t="s">
        <v>336</v>
      </c>
      <c r="E51" s="3437"/>
      <c r="F51" s="3437"/>
      <c r="G51" s="3438">
        <v>121326.01</v>
      </c>
      <c r="H51" s="3437"/>
      <c r="I51" s="3437"/>
      <c r="J51" s="87"/>
      <c r="K51" s="3439"/>
      <c r="L51" s="3440"/>
      <c r="M51" s="3440"/>
      <c r="N51" s="3440"/>
      <c r="O51" s="3440"/>
      <c r="P51" s="67"/>
      <c r="Q51" s="67"/>
      <c r="R51" s="67"/>
      <c r="S51" s="67"/>
      <c r="T51" s="67"/>
      <c r="U51" s="67"/>
      <c r="V51" s="67"/>
      <c r="W51" s="67"/>
      <c r="X51" s="3015"/>
      <c r="Y51" s="3015"/>
      <c r="Z51" s="3015"/>
      <c r="AA51" s="3382"/>
    </row>
    <row r="52" spans="1:27" ht="15.75" thickBot="1">
      <c r="A52" s="3531"/>
      <c r="B52" s="3409"/>
      <c r="C52" s="3442" t="s">
        <v>394</v>
      </c>
      <c r="D52" s="3437" t="s">
        <v>336</v>
      </c>
      <c r="E52" s="3437"/>
      <c r="F52" s="3437"/>
      <c r="G52" s="3438">
        <v>66932.800000000003</v>
      </c>
      <c r="H52" s="3437"/>
      <c r="I52" s="3437"/>
      <c r="J52" s="87"/>
      <c r="K52" s="3439"/>
      <c r="L52" s="3440"/>
      <c r="M52" s="3440"/>
      <c r="N52" s="3440"/>
      <c r="O52" s="3440"/>
      <c r="P52" s="67"/>
      <c r="Q52" s="67"/>
      <c r="R52" s="67"/>
      <c r="S52" s="67"/>
      <c r="T52" s="67"/>
      <c r="U52" s="67"/>
      <c r="V52" s="67"/>
      <c r="W52" s="67"/>
      <c r="X52" s="3165"/>
      <c r="Y52" s="3165"/>
      <c r="Z52" s="3165"/>
      <c r="AA52" s="3395"/>
    </row>
    <row r="53" spans="1:27">
      <c r="A53" s="3529" t="s">
        <v>387</v>
      </c>
      <c r="B53" s="3396">
        <v>3</v>
      </c>
      <c r="C53" s="3436" t="s">
        <v>395</v>
      </c>
      <c r="D53" s="3437" t="s">
        <v>336</v>
      </c>
      <c r="E53" s="3437"/>
      <c r="F53" s="3437"/>
      <c r="G53" s="3438">
        <v>5400</v>
      </c>
      <c r="H53" s="3437"/>
      <c r="I53" s="3437"/>
      <c r="J53" s="87"/>
      <c r="K53" s="3439"/>
      <c r="L53" s="3440"/>
      <c r="M53" s="3440"/>
      <c r="N53" s="3440"/>
      <c r="O53" s="3440"/>
      <c r="P53" s="67"/>
      <c r="Q53" s="67"/>
      <c r="R53" s="67"/>
      <c r="S53" s="67"/>
      <c r="T53" s="67"/>
      <c r="U53" s="67"/>
      <c r="V53" s="67"/>
      <c r="W53" s="67"/>
      <c r="X53" s="3168"/>
      <c r="Y53" s="3168"/>
      <c r="Z53" s="3168"/>
      <c r="AA53" s="3373"/>
    </row>
    <row r="54" spans="1:27">
      <c r="A54" s="3530"/>
      <c r="B54" s="3402"/>
      <c r="C54" s="3441" t="s">
        <v>396</v>
      </c>
      <c r="D54" s="3437" t="s">
        <v>336</v>
      </c>
      <c r="E54" s="3437"/>
      <c r="F54" s="3437"/>
      <c r="G54" s="3438">
        <v>5400</v>
      </c>
      <c r="H54" s="3437"/>
      <c r="I54" s="3437"/>
      <c r="J54" s="87"/>
      <c r="K54" s="3439"/>
      <c r="L54" s="3440"/>
      <c r="M54" s="3440"/>
      <c r="N54" s="3440"/>
      <c r="O54" s="3440"/>
      <c r="P54" s="67"/>
      <c r="Q54" s="67"/>
      <c r="R54" s="67"/>
      <c r="S54" s="67"/>
      <c r="T54" s="67"/>
      <c r="U54" s="67"/>
      <c r="V54" s="67"/>
      <c r="W54" s="67"/>
      <c r="X54" s="3015"/>
      <c r="Y54" s="3015"/>
      <c r="Z54" s="3015"/>
      <c r="AA54" s="3382"/>
    </row>
    <row r="55" spans="1:27" ht="15.75" thickBot="1">
      <c r="A55" s="3531"/>
      <c r="B55" s="3409"/>
      <c r="C55" s="3442" t="s">
        <v>397</v>
      </c>
      <c r="D55" s="3437" t="s">
        <v>336</v>
      </c>
      <c r="E55" s="3437"/>
      <c r="F55" s="3437"/>
      <c r="G55" s="3438">
        <v>1100</v>
      </c>
      <c r="H55" s="3437"/>
      <c r="I55" s="3437"/>
      <c r="J55" s="87"/>
      <c r="K55" s="3439"/>
      <c r="L55" s="3440"/>
      <c r="M55" s="3440"/>
      <c r="N55" s="3440"/>
      <c r="O55" s="3440"/>
      <c r="P55" s="67"/>
      <c r="Q55" s="67"/>
      <c r="R55" s="67"/>
      <c r="S55" s="67"/>
      <c r="T55" s="67"/>
      <c r="U55" s="67"/>
      <c r="V55" s="67"/>
      <c r="W55" s="67"/>
      <c r="X55" s="3165"/>
      <c r="Y55" s="3165"/>
      <c r="Z55" s="3165"/>
      <c r="AA55" s="3395"/>
    </row>
    <row r="56" spans="1:27">
      <c r="A56" s="3529" t="s">
        <v>388</v>
      </c>
      <c r="B56" s="3396">
        <v>3</v>
      </c>
      <c r="C56" s="3436" t="s">
        <v>398</v>
      </c>
      <c r="D56" s="3437">
        <v>540000</v>
      </c>
      <c r="E56" s="3437"/>
      <c r="F56" s="3437"/>
      <c r="G56" s="3438">
        <v>361278.65</v>
      </c>
      <c r="H56" s="3437"/>
      <c r="I56" s="3437"/>
      <c r="J56" s="87"/>
      <c r="K56" s="3439"/>
      <c r="L56" s="3440"/>
      <c r="M56" s="3440"/>
      <c r="N56" s="3440"/>
      <c r="O56" s="3440"/>
      <c r="P56" s="67"/>
      <c r="Q56" s="67"/>
      <c r="R56" s="67"/>
      <c r="S56" s="67"/>
      <c r="T56" s="67"/>
      <c r="U56" s="67"/>
      <c r="V56" s="67"/>
      <c r="W56" s="67"/>
      <c r="X56" s="3168"/>
      <c r="Y56" s="3168"/>
      <c r="Z56" s="3168"/>
      <c r="AA56" s="3373"/>
    </row>
    <row r="57" spans="1:27">
      <c r="A57" s="3530"/>
      <c r="B57" s="3402"/>
      <c r="C57" s="3441" t="s">
        <v>399</v>
      </c>
      <c r="D57" s="3437">
        <v>540000</v>
      </c>
      <c r="E57" s="3437"/>
      <c r="F57" s="3437"/>
      <c r="G57" s="3438">
        <v>539705.55000000005</v>
      </c>
      <c r="H57" s="3437"/>
      <c r="I57" s="3437"/>
      <c r="J57" s="87"/>
      <c r="K57" s="3439"/>
      <c r="L57" s="3440"/>
      <c r="M57" s="3440"/>
      <c r="N57" s="3440"/>
      <c r="O57" s="3440"/>
      <c r="P57" s="67"/>
      <c r="Q57" s="67"/>
      <c r="R57" s="67"/>
      <c r="S57" s="67"/>
      <c r="T57" s="67"/>
      <c r="U57" s="67"/>
      <c r="V57" s="67"/>
      <c r="W57" s="67"/>
      <c r="X57" s="3015"/>
      <c r="Y57" s="3015"/>
      <c r="Z57" s="3015"/>
      <c r="AA57" s="3382"/>
    </row>
    <row r="58" spans="1:27" ht="15.75" thickBot="1">
      <c r="A58" s="3531"/>
      <c r="B58" s="3409"/>
      <c r="C58" s="3442" t="s">
        <v>400</v>
      </c>
      <c r="D58" s="3437">
        <v>35000</v>
      </c>
      <c r="E58" s="3437"/>
      <c r="F58" s="3437"/>
      <c r="G58" s="3438">
        <v>109459.74</v>
      </c>
      <c r="H58" s="3437"/>
      <c r="I58" s="3437"/>
      <c r="J58" s="87"/>
      <c r="K58" s="3439"/>
      <c r="L58" s="3440"/>
      <c r="M58" s="3440"/>
      <c r="N58" s="3440"/>
      <c r="O58" s="3440"/>
      <c r="P58" s="67"/>
      <c r="Q58" s="67"/>
      <c r="R58" s="67"/>
      <c r="S58" s="67"/>
      <c r="T58" s="67"/>
      <c r="U58" s="67"/>
      <c r="V58" s="67"/>
      <c r="W58" s="67"/>
      <c r="X58" s="3165"/>
      <c r="Y58" s="3165"/>
      <c r="Z58" s="3165"/>
      <c r="AA58" s="3395"/>
    </row>
    <row r="59" spans="1:27">
      <c r="A59" s="3529" t="s">
        <v>389</v>
      </c>
      <c r="B59" s="3396">
        <v>3</v>
      </c>
      <c r="C59" s="3436" t="s">
        <v>17</v>
      </c>
      <c r="D59" s="3437">
        <v>22000</v>
      </c>
      <c r="E59" s="3437"/>
      <c r="F59" s="3437"/>
      <c r="G59" s="3438">
        <v>11075.69</v>
      </c>
      <c r="H59" s="3437"/>
      <c r="I59" s="3437"/>
      <c r="J59" s="87"/>
      <c r="K59" s="3439"/>
      <c r="L59" s="3440"/>
      <c r="M59" s="3440"/>
      <c r="N59" s="3440"/>
      <c r="O59" s="3440"/>
      <c r="P59" s="67"/>
      <c r="Q59" s="67"/>
      <c r="R59" s="67"/>
      <c r="S59" s="67"/>
      <c r="T59" s="67"/>
      <c r="U59" s="67"/>
      <c r="V59" s="67"/>
      <c r="W59" s="67"/>
      <c r="X59" s="3168"/>
      <c r="Y59" s="3168"/>
      <c r="Z59" s="3168"/>
      <c r="AA59" s="3373"/>
    </row>
    <row r="60" spans="1:27">
      <c r="A60" s="3530"/>
      <c r="B60" s="3402"/>
      <c r="C60" s="3441" t="s">
        <v>401</v>
      </c>
      <c r="D60" s="3437" t="s">
        <v>429</v>
      </c>
      <c r="E60" s="3437"/>
      <c r="F60" s="3437"/>
      <c r="G60" s="3438">
        <v>80192.710000000006</v>
      </c>
      <c r="H60" s="3437"/>
      <c r="I60" s="3437"/>
      <c r="J60" s="87"/>
      <c r="K60" s="3439"/>
      <c r="L60" s="3440"/>
      <c r="M60" s="3440"/>
      <c r="N60" s="3440"/>
      <c r="O60" s="3440"/>
      <c r="P60" s="67"/>
      <c r="Q60" s="67"/>
      <c r="R60" s="67"/>
      <c r="S60" s="67"/>
      <c r="T60" s="67"/>
      <c r="U60" s="67"/>
      <c r="V60" s="67"/>
      <c r="W60" s="67"/>
      <c r="X60" s="3015"/>
      <c r="Y60" s="3015"/>
      <c r="Z60" s="3015"/>
      <c r="AA60" s="3382"/>
    </row>
    <row r="61" spans="1:27" ht="15.75" thickBot="1">
      <c r="A61" s="3531"/>
      <c r="B61" s="3409"/>
      <c r="C61" s="3442" t="s">
        <v>402</v>
      </c>
      <c r="D61" s="3437">
        <v>24000</v>
      </c>
      <c r="E61" s="3437"/>
      <c r="F61" s="3437"/>
      <c r="G61" s="3438">
        <v>28945.69</v>
      </c>
      <c r="H61" s="3437"/>
      <c r="I61" s="3437"/>
      <c r="J61" s="87"/>
      <c r="K61" s="3439"/>
      <c r="L61" s="3440"/>
      <c r="M61" s="3440"/>
      <c r="N61" s="3440"/>
      <c r="O61" s="3440"/>
      <c r="P61" s="67"/>
      <c r="Q61" s="67"/>
      <c r="R61" s="67"/>
      <c r="S61" s="67"/>
      <c r="T61" s="67"/>
      <c r="U61" s="67"/>
      <c r="V61" s="67"/>
      <c r="W61" s="67"/>
      <c r="X61" s="3165"/>
      <c r="Y61" s="3165"/>
      <c r="Z61" s="3165"/>
      <c r="AA61" s="3395"/>
    </row>
    <row r="62" spans="1:27">
      <c r="A62" s="3529" t="s">
        <v>390</v>
      </c>
      <c r="B62" s="3402">
        <v>3</v>
      </c>
      <c r="C62" s="3441" t="s">
        <v>393</v>
      </c>
      <c r="D62" s="3437" t="s">
        <v>336</v>
      </c>
      <c r="E62" s="3437"/>
      <c r="F62" s="3437"/>
      <c r="G62" s="3438">
        <v>36000</v>
      </c>
      <c r="H62" s="3437"/>
      <c r="I62" s="3437"/>
      <c r="J62" s="87"/>
      <c r="K62" s="3439"/>
      <c r="L62" s="3440"/>
      <c r="M62" s="3440"/>
      <c r="N62" s="3440"/>
      <c r="O62" s="3440"/>
      <c r="P62" s="67"/>
      <c r="Q62" s="67"/>
      <c r="R62" s="67"/>
      <c r="S62" s="67"/>
      <c r="T62" s="67"/>
      <c r="U62" s="67"/>
      <c r="V62" s="67"/>
      <c r="W62" s="67"/>
      <c r="X62" s="3168"/>
      <c r="Y62" s="3015"/>
      <c r="Z62" s="3015"/>
      <c r="AA62" s="3168"/>
    </row>
    <row r="63" spans="1:27">
      <c r="A63" s="3530"/>
      <c r="B63" s="3402"/>
      <c r="C63" s="3441" t="s">
        <v>403</v>
      </c>
      <c r="D63" s="3437" t="s">
        <v>336</v>
      </c>
      <c r="E63" s="3437"/>
      <c r="F63" s="3437"/>
      <c r="G63" s="3438">
        <v>46989.36</v>
      </c>
      <c r="H63" s="3437"/>
      <c r="I63" s="3437"/>
      <c r="J63" s="87"/>
      <c r="K63" s="3439"/>
      <c r="L63" s="3440"/>
      <c r="M63" s="3440"/>
      <c r="N63" s="3440"/>
      <c r="O63" s="3440"/>
      <c r="P63" s="67"/>
      <c r="Q63" s="67"/>
      <c r="R63" s="67"/>
      <c r="S63" s="67"/>
      <c r="T63" s="67"/>
      <c r="U63" s="67"/>
      <c r="V63" s="67"/>
      <c r="W63" s="67"/>
      <c r="X63" s="3015"/>
      <c r="Y63" s="3015"/>
      <c r="Z63" s="3015"/>
      <c r="AA63" s="3015"/>
    </row>
    <row r="64" spans="1:27" ht="15.75" thickBot="1">
      <c r="A64" s="3531"/>
      <c r="B64" s="3409"/>
      <c r="C64" s="3442" t="s">
        <v>404</v>
      </c>
      <c r="D64" s="3437" t="s">
        <v>336</v>
      </c>
      <c r="E64" s="3437"/>
      <c r="F64" s="3437"/>
      <c r="G64" s="3438">
        <v>21330.73</v>
      </c>
      <c r="H64" s="3437"/>
      <c r="I64" s="3437"/>
      <c r="J64" s="87"/>
      <c r="K64" s="3439"/>
      <c r="L64" s="3440"/>
      <c r="M64" s="3440"/>
      <c r="N64" s="3440"/>
      <c r="O64" s="3440"/>
      <c r="P64" s="67"/>
      <c r="Q64" s="67"/>
      <c r="R64" s="67"/>
      <c r="S64" s="67"/>
      <c r="T64" s="67"/>
      <c r="U64" s="67"/>
      <c r="V64" s="67"/>
      <c r="W64" s="67"/>
      <c r="X64" s="3165"/>
      <c r="Y64" s="3165"/>
      <c r="Z64" s="3165"/>
      <c r="AA64" s="3165"/>
    </row>
    <row r="65" spans="1:27">
      <c r="A65" s="113"/>
      <c r="B65" s="113"/>
      <c r="C65" s="3443" t="s">
        <v>285</v>
      </c>
      <c r="D65" s="3444">
        <f>COUNTIF(D15:D48,"&lt;=5000")</f>
        <v>0</v>
      </c>
      <c r="E65" s="3444">
        <f t="shared" ref="E65:AA65" si="0">COUNTIF(E15:E48,"&lt;=5000")</f>
        <v>0</v>
      </c>
      <c r="F65" s="3444">
        <f t="shared" si="0"/>
        <v>0</v>
      </c>
      <c r="G65" s="3444">
        <f t="shared" si="0"/>
        <v>0</v>
      </c>
      <c r="H65" s="3444">
        <f t="shared" si="0"/>
        <v>0</v>
      </c>
      <c r="I65" s="3444">
        <f t="shared" si="0"/>
        <v>0</v>
      </c>
      <c r="J65" s="3444">
        <f t="shared" si="0"/>
        <v>0</v>
      </c>
      <c r="K65" s="3444">
        <f t="shared" si="0"/>
        <v>0</v>
      </c>
      <c r="L65" s="3444">
        <f t="shared" si="0"/>
        <v>0</v>
      </c>
      <c r="M65" s="3444">
        <f t="shared" si="0"/>
        <v>0</v>
      </c>
      <c r="N65" s="3444">
        <f t="shared" si="0"/>
        <v>0</v>
      </c>
      <c r="O65" s="3444">
        <f t="shared" si="0"/>
        <v>0</v>
      </c>
      <c r="P65" s="3444">
        <f t="shared" si="0"/>
        <v>0</v>
      </c>
      <c r="Q65" s="3444">
        <f t="shared" si="0"/>
        <v>0</v>
      </c>
      <c r="R65" s="3444">
        <f t="shared" si="0"/>
        <v>0</v>
      </c>
      <c r="S65" s="3444">
        <f t="shared" si="0"/>
        <v>0</v>
      </c>
      <c r="T65" s="3444">
        <f t="shared" si="0"/>
        <v>0</v>
      </c>
      <c r="U65" s="3444">
        <f t="shared" si="0"/>
        <v>0</v>
      </c>
      <c r="V65" s="3444">
        <f t="shared" si="0"/>
        <v>0</v>
      </c>
      <c r="W65" s="3444">
        <f t="shared" si="0"/>
        <v>0</v>
      </c>
      <c r="X65" s="3444">
        <f t="shared" si="0"/>
        <v>0</v>
      </c>
      <c r="Y65" s="3444">
        <f t="shared" si="0"/>
        <v>0</v>
      </c>
      <c r="Z65" s="3444">
        <f t="shared" si="0"/>
        <v>0</v>
      </c>
      <c r="AA65" s="3444">
        <f t="shared" si="0"/>
        <v>0</v>
      </c>
    </row>
    <row r="66" spans="1:27">
      <c r="A66" s="113"/>
      <c r="B66" s="113"/>
      <c r="C66" s="3443" t="s">
        <v>287</v>
      </c>
      <c r="D66" s="3445">
        <f>COUNT(D15:D64)</f>
        <v>30</v>
      </c>
      <c r="E66" s="3445">
        <f t="shared" ref="E66:AA66" si="1">COUNT(E15:E64)</f>
        <v>0</v>
      </c>
      <c r="F66" s="3445">
        <f t="shared" si="1"/>
        <v>0</v>
      </c>
      <c r="G66" s="3445">
        <f t="shared" si="1"/>
        <v>49</v>
      </c>
      <c r="H66" s="3445">
        <f t="shared" si="1"/>
        <v>0</v>
      </c>
      <c r="I66" s="3445">
        <f t="shared" si="1"/>
        <v>0</v>
      </c>
      <c r="J66" s="3445">
        <f t="shared" si="1"/>
        <v>0</v>
      </c>
      <c r="K66" s="3445">
        <f t="shared" si="1"/>
        <v>0</v>
      </c>
      <c r="L66" s="3445">
        <f t="shared" si="1"/>
        <v>0</v>
      </c>
      <c r="M66" s="3445">
        <f t="shared" si="1"/>
        <v>0</v>
      </c>
      <c r="N66" s="3445">
        <f t="shared" si="1"/>
        <v>0</v>
      </c>
      <c r="O66" s="3445">
        <f t="shared" si="1"/>
        <v>0</v>
      </c>
      <c r="P66" s="3445">
        <f t="shared" si="1"/>
        <v>0</v>
      </c>
      <c r="Q66" s="3445">
        <f t="shared" si="1"/>
        <v>0</v>
      </c>
      <c r="R66" s="3445">
        <f t="shared" si="1"/>
        <v>0</v>
      </c>
      <c r="S66" s="3445">
        <f t="shared" si="1"/>
        <v>0</v>
      </c>
      <c r="T66" s="3445">
        <f t="shared" si="1"/>
        <v>0</v>
      </c>
      <c r="U66" s="3445">
        <f t="shared" si="1"/>
        <v>0</v>
      </c>
      <c r="V66" s="3445">
        <f t="shared" si="1"/>
        <v>0</v>
      </c>
      <c r="W66" s="3445">
        <f t="shared" si="1"/>
        <v>0</v>
      </c>
      <c r="X66" s="3445">
        <f t="shared" si="1"/>
        <v>0</v>
      </c>
      <c r="Y66" s="3445">
        <f t="shared" si="1"/>
        <v>0</v>
      </c>
      <c r="Z66" s="3445">
        <f t="shared" si="1"/>
        <v>0</v>
      </c>
      <c r="AA66" s="3445">
        <f t="shared" si="1"/>
        <v>0</v>
      </c>
    </row>
    <row r="67" spans="1:27">
      <c r="A67" s="113"/>
      <c r="B67" s="113"/>
      <c r="C67" s="3443" t="s">
        <v>286</v>
      </c>
      <c r="D67" s="3446">
        <f>D65/D66</f>
        <v>0</v>
      </c>
      <c r="E67" s="3446" t="e">
        <f t="shared" ref="E67:AA67" si="2">E65/E66</f>
        <v>#DIV/0!</v>
      </c>
      <c r="F67" s="3446" t="e">
        <f t="shared" si="2"/>
        <v>#DIV/0!</v>
      </c>
      <c r="G67" s="3446">
        <f t="shared" si="2"/>
        <v>0</v>
      </c>
      <c r="H67" s="3446" t="e">
        <f t="shared" si="2"/>
        <v>#DIV/0!</v>
      </c>
      <c r="I67" s="3446" t="e">
        <f t="shared" si="2"/>
        <v>#DIV/0!</v>
      </c>
      <c r="J67" s="3446" t="e">
        <f t="shared" si="2"/>
        <v>#DIV/0!</v>
      </c>
      <c r="K67" s="3446" t="e">
        <f t="shared" si="2"/>
        <v>#DIV/0!</v>
      </c>
      <c r="L67" s="3446" t="e">
        <f t="shared" si="2"/>
        <v>#DIV/0!</v>
      </c>
      <c r="M67" s="3446" t="e">
        <f t="shared" si="2"/>
        <v>#DIV/0!</v>
      </c>
      <c r="N67" s="3446" t="e">
        <f t="shared" si="2"/>
        <v>#DIV/0!</v>
      </c>
      <c r="O67" s="3446" t="e">
        <f t="shared" si="2"/>
        <v>#DIV/0!</v>
      </c>
      <c r="P67" s="3446" t="e">
        <f t="shared" si="2"/>
        <v>#DIV/0!</v>
      </c>
      <c r="Q67" s="3446" t="e">
        <f t="shared" si="2"/>
        <v>#DIV/0!</v>
      </c>
      <c r="R67" s="3446" t="e">
        <f t="shared" si="2"/>
        <v>#DIV/0!</v>
      </c>
      <c r="S67" s="3446" t="e">
        <f t="shared" si="2"/>
        <v>#DIV/0!</v>
      </c>
      <c r="T67" s="3446" t="e">
        <f t="shared" si="2"/>
        <v>#DIV/0!</v>
      </c>
      <c r="U67" s="3446" t="e">
        <f t="shared" si="2"/>
        <v>#DIV/0!</v>
      </c>
      <c r="V67" s="3446" t="e">
        <f t="shared" si="2"/>
        <v>#DIV/0!</v>
      </c>
      <c r="W67" s="3446" t="e">
        <f t="shared" si="2"/>
        <v>#DIV/0!</v>
      </c>
      <c r="X67" s="3446" t="e">
        <f t="shared" si="2"/>
        <v>#DIV/0!</v>
      </c>
      <c r="Y67" s="3446" t="e">
        <f t="shared" si="2"/>
        <v>#DIV/0!</v>
      </c>
      <c r="Z67" s="3446" t="e">
        <f t="shared" si="2"/>
        <v>#DIV/0!</v>
      </c>
      <c r="AA67" s="3446" t="e">
        <f t="shared" si="2"/>
        <v>#DIV/0!</v>
      </c>
    </row>
    <row r="68" spans="1:27">
      <c r="A68" s="122"/>
      <c r="B68" s="122"/>
      <c r="C68" s="3443" t="s">
        <v>296</v>
      </c>
      <c r="D68" s="3447">
        <f>COUNTA(C15:C64)</f>
        <v>50</v>
      </c>
      <c r="E68" s="3447">
        <f t="shared" ref="E68:AA68" si="3">COUNTA(D15:D64)</f>
        <v>47</v>
      </c>
      <c r="F68" s="3447">
        <f t="shared" si="3"/>
        <v>0</v>
      </c>
      <c r="G68" s="3447">
        <f t="shared" si="3"/>
        <v>0</v>
      </c>
      <c r="H68" s="3447">
        <f t="shared" si="3"/>
        <v>49</v>
      </c>
      <c r="I68" s="3447">
        <f t="shared" si="3"/>
        <v>0</v>
      </c>
      <c r="J68" s="3447">
        <f t="shared" si="3"/>
        <v>0</v>
      </c>
      <c r="K68" s="3447">
        <f t="shared" si="3"/>
        <v>0</v>
      </c>
      <c r="L68" s="3447">
        <f t="shared" si="3"/>
        <v>0</v>
      </c>
      <c r="M68" s="3447">
        <f t="shared" si="3"/>
        <v>0</v>
      </c>
      <c r="N68" s="3447">
        <f t="shared" si="3"/>
        <v>0</v>
      </c>
      <c r="O68" s="3447">
        <f t="shared" si="3"/>
        <v>0</v>
      </c>
      <c r="P68" s="3447">
        <f t="shared" si="3"/>
        <v>0</v>
      </c>
      <c r="Q68" s="3447">
        <f t="shared" si="3"/>
        <v>0</v>
      </c>
      <c r="R68" s="3447">
        <f t="shared" si="3"/>
        <v>0</v>
      </c>
      <c r="S68" s="3447">
        <f t="shared" si="3"/>
        <v>0</v>
      </c>
      <c r="T68" s="3447">
        <f t="shared" si="3"/>
        <v>0</v>
      </c>
      <c r="U68" s="3447">
        <f t="shared" si="3"/>
        <v>0</v>
      </c>
      <c r="V68" s="3447">
        <f t="shared" si="3"/>
        <v>0</v>
      </c>
      <c r="W68" s="3447">
        <f t="shared" si="3"/>
        <v>0</v>
      </c>
      <c r="X68" s="3447">
        <f t="shared" si="3"/>
        <v>0</v>
      </c>
      <c r="Y68" s="3447">
        <f t="shared" si="3"/>
        <v>0</v>
      </c>
      <c r="Z68" s="3447">
        <f t="shared" si="3"/>
        <v>0</v>
      </c>
      <c r="AA68" s="3447">
        <f t="shared" si="3"/>
        <v>0</v>
      </c>
    </row>
  </sheetData>
  <mergeCells count="25">
    <mergeCell ref="A19:A21"/>
    <mergeCell ref="D2:N3"/>
    <mergeCell ref="E5:M5"/>
    <mergeCell ref="F6:L6"/>
    <mergeCell ref="C8:C9"/>
    <mergeCell ref="D8:G8"/>
    <mergeCell ref="H8:K8"/>
    <mergeCell ref="L8:O8"/>
    <mergeCell ref="P8:S8"/>
    <mergeCell ref="T8:W8"/>
    <mergeCell ref="F12:I13"/>
    <mergeCell ref="N12:Q13"/>
    <mergeCell ref="A15:A18"/>
    <mergeCell ref="A62:A64"/>
    <mergeCell ref="A22:A24"/>
    <mergeCell ref="A25:A29"/>
    <mergeCell ref="A30:A34"/>
    <mergeCell ref="A35:A37"/>
    <mergeCell ref="A38:A42"/>
    <mergeCell ref="A43:A45"/>
    <mergeCell ref="A46:A48"/>
    <mergeCell ref="A49:A52"/>
    <mergeCell ref="A53:A55"/>
    <mergeCell ref="A56:A58"/>
    <mergeCell ref="A59:A61"/>
  </mergeCells>
  <conditionalFormatting sqref="L46:L64 L28:O45 L27:N27 L26:O26 L25:N25 L15:O24 P15:AA64 D68:AA68 D15:K64">
    <cfRule type="cellIs" dxfId="80" priority="12" operator="greaterThanOrEqual">
      <formula>5</formula>
    </cfRule>
  </conditionalFormatting>
  <conditionalFormatting sqref="M68 M46:O64">
    <cfRule type="cellIs" dxfId="79" priority="11" operator="lessThanOrEqual">
      <formula>0.4</formula>
    </cfRule>
  </conditionalFormatting>
  <conditionalFormatting sqref="D15">
    <cfRule type="cellIs" dxfId="78" priority="10" operator="greaterThan">
      <formula>6.3</formula>
    </cfRule>
  </conditionalFormatting>
  <conditionalFormatting sqref="L27:N27 L25:N25 L28:O64 L26:O26 L15:O24 P15:AA64 D15:K64">
    <cfRule type="cellIs" dxfId="77" priority="7" operator="lessThan">
      <formula>5</formula>
    </cfRule>
    <cfRule type="cellIs" dxfId="76" priority="8" operator="greaterThan">
      <formula>5</formula>
    </cfRule>
    <cfRule type="cellIs" dxfId="75" priority="9" operator="greaterThan">
      <formula>5</formula>
    </cfRule>
  </conditionalFormatting>
  <conditionalFormatting sqref="H19:H20">
    <cfRule type="cellIs" dxfId="74" priority="6" operator="greaterThan">
      <formula>5</formula>
    </cfRule>
  </conditionalFormatting>
  <conditionalFormatting sqref="L28:O64 L27:N27 L26:O26 L25:N25 L15:O24 D15:K64">
    <cfRule type="cellIs" dxfId="73" priority="5" operator="greaterThan">
      <formula>4.9</formula>
    </cfRule>
  </conditionalFormatting>
  <conditionalFormatting sqref="O25:O27">
    <cfRule type="cellIs" dxfId="72" priority="1" operator="lessThan">
      <formula>5</formula>
    </cfRule>
    <cfRule type="cellIs" dxfId="71" priority="2" operator="greaterThan">
      <formula>5</formula>
    </cfRule>
    <cfRule type="cellIs" dxfId="70" priority="3" operator="lessThan">
      <formula>5</formula>
    </cfRule>
    <cfRule type="cellIs" dxfId="69" priority="4" operator="greaterThan">
      <formula>5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171"/>
  <sheetViews>
    <sheetView zoomScale="60" zoomScaleNormal="60" workbookViewId="0">
      <pane xSplit="4" ySplit="17" topLeftCell="O27" activePane="bottomRight" state="frozen"/>
      <selection pane="topRight" activeCell="E1" sqref="E1"/>
      <selection pane="bottomLeft" activeCell="A18" sqref="A18"/>
      <selection pane="bottomRight" activeCell="AH163" sqref="AH163"/>
    </sheetView>
  </sheetViews>
  <sheetFormatPr defaultRowHeight="15"/>
  <cols>
    <col min="1" max="1" width="13.140625" customWidth="1"/>
    <col min="2" max="2" width="31.140625" customWidth="1"/>
    <col min="3" max="14" width="13.5703125" customWidth="1"/>
    <col min="15" max="15" width="14.7109375" style="1866" bestFit="1" customWidth="1"/>
    <col min="16" max="16" width="13.5703125" customWidth="1"/>
    <col min="20" max="23" width="9.140625" style="2874"/>
    <col min="28" max="28" width="9.140625" customWidth="1"/>
  </cols>
  <sheetData>
    <row r="1" spans="1:31">
      <c r="A1" s="726"/>
      <c r="B1" s="726"/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64"/>
    </row>
    <row r="2" spans="1:31" ht="15" customHeight="1">
      <c r="A2" s="726"/>
      <c r="B2" s="726"/>
      <c r="C2" s="920"/>
      <c r="D2" s="920"/>
      <c r="E2" s="3595" t="s">
        <v>264</v>
      </c>
      <c r="F2" s="3720"/>
      <c r="G2" s="3720"/>
      <c r="H2" s="3720"/>
      <c r="I2" s="3720"/>
      <c r="J2" s="3720"/>
      <c r="K2" s="3720"/>
      <c r="L2" s="920"/>
      <c r="M2" s="920"/>
      <c r="N2" s="726"/>
      <c r="O2" s="726"/>
      <c r="P2" s="764"/>
    </row>
    <row r="3" spans="1:31" ht="15" customHeight="1">
      <c r="A3" s="726"/>
      <c r="B3" s="726"/>
      <c r="C3" s="920"/>
      <c r="D3" s="920"/>
      <c r="E3" s="3720"/>
      <c r="F3" s="3720"/>
      <c r="G3" s="3720"/>
      <c r="H3" s="3720"/>
      <c r="I3" s="3720"/>
      <c r="J3" s="3720"/>
      <c r="K3" s="3720"/>
      <c r="L3" s="920"/>
      <c r="M3" s="920"/>
      <c r="N3" s="726"/>
      <c r="O3" s="726"/>
      <c r="P3" s="764"/>
      <c r="R3" s="3086" t="s">
        <v>380</v>
      </c>
    </row>
    <row r="4" spans="1:31" ht="15.75" thickBot="1">
      <c r="A4" s="726"/>
      <c r="B4" s="726"/>
      <c r="C4" s="726"/>
      <c r="D4" s="726"/>
      <c r="E4" s="726"/>
      <c r="F4" s="726"/>
      <c r="G4" s="726"/>
      <c r="H4" s="726"/>
      <c r="I4" s="726"/>
      <c r="J4" s="726"/>
      <c r="K4" s="726"/>
      <c r="L4" s="726"/>
      <c r="M4" s="726"/>
      <c r="N4" s="726"/>
      <c r="O4" s="726"/>
      <c r="P4" s="764"/>
    </row>
    <row r="5" spans="1:31" ht="15" customHeight="1" thickBot="1">
      <c r="A5" s="752"/>
      <c r="B5" s="752"/>
      <c r="C5" s="752"/>
      <c r="D5" s="726"/>
      <c r="E5" s="726"/>
      <c r="F5" s="3538" t="s">
        <v>257</v>
      </c>
      <c r="G5" s="3539"/>
      <c r="H5" s="3539"/>
      <c r="I5" s="3539"/>
      <c r="J5" s="3540"/>
      <c r="K5" s="750"/>
      <c r="L5" s="726"/>
      <c r="M5" s="726"/>
      <c r="N5" s="726"/>
      <c r="O5" s="726"/>
      <c r="P5" s="764"/>
    </row>
    <row r="6" spans="1:31" ht="15" customHeight="1">
      <c r="A6" s="752"/>
      <c r="B6" s="752"/>
      <c r="C6" s="752"/>
      <c r="D6" s="752"/>
      <c r="E6" s="751"/>
      <c r="F6" s="751"/>
      <c r="G6" s="751"/>
      <c r="H6" s="751"/>
      <c r="I6" s="726"/>
      <c r="J6" s="754"/>
      <c r="K6" s="726"/>
      <c r="L6" s="726"/>
      <c r="M6" s="726"/>
      <c r="N6" s="726"/>
      <c r="O6" s="726"/>
      <c r="P6" s="764"/>
    </row>
    <row r="7" spans="1:31" ht="15" customHeight="1" thickBot="1">
      <c r="A7" s="121"/>
      <c r="B7" s="126"/>
      <c r="C7" s="121"/>
      <c r="D7" s="121"/>
      <c r="E7" s="121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767"/>
    </row>
    <row r="8" spans="1:31" ht="15" customHeight="1" thickBot="1">
      <c r="A8" s="3657" t="s">
        <v>239</v>
      </c>
      <c r="B8" s="3602" t="s">
        <v>1</v>
      </c>
      <c r="C8" s="3550">
        <v>2011</v>
      </c>
      <c r="D8" s="3551"/>
      <c r="E8" s="3551"/>
      <c r="F8" s="3552"/>
      <c r="G8" s="3547">
        <v>2012</v>
      </c>
      <c r="H8" s="3548"/>
      <c r="I8" s="3548"/>
      <c r="J8" s="3601"/>
      <c r="K8" s="3516">
        <v>2013</v>
      </c>
      <c r="L8" s="3517"/>
      <c r="M8" s="3517"/>
      <c r="N8" s="3517"/>
      <c r="O8" s="2154"/>
      <c r="P8" s="3516">
        <v>2014</v>
      </c>
      <c r="Q8" s="3517"/>
      <c r="R8" s="3517"/>
      <c r="S8" s="3518"/>
      <c r="T8" s="3516">
        <v>2015</v>
      </c>
      <c r="U8" s="3517"/>
      <c r="V8" s="3517"/>
      <c r="W8" s="3518"/>
      <c r="X8" s="3516">
        <v>2016</v>
      </c>
      <c r="Y8" s="3517"/>
      <c r="Z8" s="3517"/>
      <c r="AA8" s="3518"/>
      <c r="AB8" s="3516">
        <v>2017</v>
      </c>
      <c r="AC8" s="3517"/>
      <c r="AD8" s="3517"/>
      <c r="AE8" s="3518"/>
    </row>
    <row r="9" spans="1:31" ht="15" customHeight="1">
      <c r="A9" s="3658"/>
      <c r="B9" s="3660"/>
      <c r="C9" s="3644" t="s">
        <v>2</v>
      </c>
      <c r="D9" s="3646" t="s">
        <v>3</v>
      </c>
      <c r="E9" s="3636" t="s">
        <v>4</v>
      </c>
      <c r="F9" s="3665" t="s">
        <v>5</v>
      </c>
      <c r="G9" s="3644" t="s">
        <v>2</v>
      </c>
      <c r="H9" s="3646" t="s">
        <v>3</v>
      </c>
      <c r="I9" s="3636" t="s">
        <v>4</v>
      </c>
      <c r="J9" s="3665" t="s">
        <v>5</v>
      </c>
      <c r="K9" s="3719" t="s">
        <v>2</v>
      </c>
      <c r="L9" s="3718" t="s">
        <v>3</v>
      </c>
      <c r="M9" s="3637" t="s">
        <v>4</v>
      </c>
      <c r="N9" s="3639" t="s">
        <v>5</v>
      </c>
      <c r="O9" s="3721" t="s">
        <v>349</v>
      </c>
      <c r="P9" s="3719" t="s">
        <v>2</v>
      </c>
      <c r="Q9" s="3718" t="s">
        <v>3</v>
      </c>
      <c r="R9" s="3637" t="s">
        <v>4</v>
      </c>
      <c r="S9" s="3639" t="s">
        <v>5</v>
      </c>
      <c r="T9" s="3719" t="s">
        <v>2</v>
      </c>
      <c r="U9" s="3718" t="s">
        <v>3</v>
      </c>
      <c r="V9" s="3637" t="s">
        <v>4</v>
      </c>
      <c r="W9" s="3639" t="s">
        <v>5</v>
      </c>
      <c r="X9" s="3717" t="s">
        <v>2</v>
      </c>
      <c r="Y9" s="3718" t="s">
        <v>3</v>
      </c>
      <c r="Z9" s="3637" t="s">
        <v>4</v>
      </c>
      <c r="AA9" s="3639" t="s">
        <v>5</v>
      </c>
      <c r="AB9" s="3717" t="s">
        <v>2</v>
      </c>
      <c r="AC9" s="3718" t="s">
        <v>3</v>
      </c>
      <c r="AD9" s="3637" t="s">
        <v>4</v>
      </c>
      <c r="AE9" s="3639" t="s">
        <v>5</v>
      </c>
    </row>
    <row r="10" spans="1:31" ht="15" customHeight="1" thickBot="1">
      <c r="A10" s="3659"/>
      <c r="B10" s="3603"/>
      <c r="C10" s="3645"/>
      <c r="D10" s="3647"/>
      <c r="E10" s="3648"/>
      <c r="F10" s="3666"/>
      <c r="G10" s="3645"/>
      <c r="H10" s="3647"/>
      <c r="I10" s="3648"/>
      <c r="J10" s="3666"/>
      <c r="K10" s="3645"/>
      <c r="L10" s="3647"/>
      <c r="M10" s="3648"/>
      <c r="N10" s="3640"/>
      <c r="O10" s="3721"/>
      <c r="P10" s="3645"/>
      <c r="Q10" s="3647"/>
      <c r="R10" s="3648"/>
      <c r="S10" s="3640"/>
      <c r="T10" s="3645"/>
      <c r="U10" s="3647"/>
      <c r="V10" s="3648"/>
      <c r="W10" s="3640"/>
      <c r="X10" s="3717"/>
      <c r="Y10" s="3647"/>
      <c r="Z10" s="3648"/>
      <c r="AA10" s="3640"/>
      <c r="AB10" s="3717"/>
      <c r="AC10" s="3647"/>
      <c r="AD10" s="3648"/>
      <c r="AE10" s="3640"/>
    </row>
    <row r="11" spans="1:31" ht="15" customHeight="1">
      <c r="A11" s="113"/>
      <c r="B11" s="194"/>
      <c r="C11" s="194"/>
      <c r="D11" s="194"/>
      <c r="E11" s="194"/>
      <c r="F11" s="127"/>
      <c r="G11" s="107"/>
      <c r="H11" s="107"/>
      <c r="I11" s="107"/>
      <c r="J11" s="107"/>
      <c r="K11" s="107"/>
      <c r="L11" s="107"/>
      <c r="M11" s="107"/>
      <c r="N11" s="107"/>
      <c r="O11" s="107"/>
      <c r="P11" s="767"/>
    </row>
    <row r="12" spans="1:31" ht="15" customHeight="1" thickBot="1">
      <c r="A12" s="113"/>
      <c r="B12" s="194"/>
      <c r="C12" s="194"/>
      <c r="D12" s="194"/>
      <c r="E12" s="194"/>
      <c r="F12" s="127"/>
      <c r="G12" s="107"/>
      <c r="H12" s="107"/>
      <c r="I12" s="107"/>
      <c r="J12" s="107"/>
      <c r="K12" s="107"/>
      <c r="L12" s="107"/>
      <c r="M12" s="107"/>
      <c r="N12" s="107"/>
      <c r="O12" s="107"/>
      <c r="P12" s="767"/>
    </row>
    <row r="13" spans="1:31" ht="15" customHeight="1">
      <c r="A13" s="3722" t="s">
        <v>201</v>
      </c>
      <c r="B13" s="194"/>
      <c r="C13" s="194"/>
      <c r="D13" s="194"/>
      <c r="E13" s="194"/>
      <c r="F13" s="3650" t="s">
        <v>126</v>
      </c>
      <c r="G13" s="3650"/>
      <c r="H13" s="107"/>
      <c r="I13" s="107"/>
      <c r="J13" s="107"/>
      <c r="K13" s="107"/>
      <c r="L13" s="107"/>
      <c r="M13" s="107"/>
      <c r="N13" s="3650" t="s">
        <v>126</v>
      </c>
      <c r="O13" s="3650"/>
      <c r="P13" s="3656"/>
    </row>
    <row r="14" spans="1:31" ht="15" customHeight="1" thickBot="1">
      <c r="A14" s="3723"/>
      <c r="B14" s="194"/>
      <c r="C14" s="194"/>
      <c r="D14" s="194"/>
      <c r="E14" s="194"/>
      <c r="F14" s="3651"/>
      <c r="G14" s="3651"/>
      <c r="H14" s="107"/>
      <c r="I14" s="107"/>
      <c r="J14" s="107"/>
      <c r="K14" s="107"/>
      <c r="L14" s="107"/>
      <c r="M14" s="107"/>
      <c r="N14" s="3651"/>
      <c r="O14" s="3650"/>
      <c r="P14" s="3656"/>
    </row>
    <row r="15" spans="1:31" ht="15" customHeight="1" thickBot="1">
      <c r="A15" s="121"/>
      <c r="B15" s="266" t="s">
        <v>168</v>
      </c>
      <c r="C15" s="268">
        <v>5</v>
      </c>
      <c r="D15" s="268">
        <v>5</v>
      </c>
      <c r="E15" s="268">
        <v>5</v>
      </c>
      <c r="F15" s="345">
        <v>5</v>
      </c>
      <c r="G15" s="346">
        <v>5</v>
      </c>
      <c r="H15" s="268">
        <v>5</v>
      </c>
      <c r="I15" s="268">
        <v>5</v>
      </c>
      <c r="J15" s="269">
        <v>5</v>
      </c>
      <c r="K15" s="360">
        <v>5</v>
      </c>
      <c r="L15" s="355">
        <v>5</v>
      </c>
      <c r="M15" s="355">
        <v>5</v>
      </c>
      <c r="N15" s="356">
        <v>5</v>
      </c>
      <c r="O15" s="356">
        <v>5</v>
      </c>
      <c r="P15" s="360">
        <v>5</v>
      </c>
      <c r="Q15" s="355">
        <v>5</v>
      </c>
      <c r="R15" s="355">
        <v>5</v>
      </c>
      <c r="S15" s="356">
        <v>5</v>
      </c>
      <c r="T15" s="2887">
        <v>5</v>
      </c>
      <c r="U15" s="356">
        <v>5</v>
      </c>
      <c r="V15" s="356">
        <v>5</v>
      </c>
      <c r="W15" s="356">
        <v>5</v>
      </c>
      <c r="X15" s="3191">
        <v>5</v>
      </c>
      <c r="Y15" s="2493">
        <v>5</v>
      </c>
      <c r="Z15" s="269">
        <v>6</v>
      </c>
      <c r="AA15" s="269">
        <v>6</v>
      </c>
      <c r="AB15" s="269">
        <v>6</v>
      </c>
      <c r="AC15" s="269">
        <v>6</v>
      </c>
      <c r="AD15" s="269">
        <v>6</v>
      </c>
      <c r="AE15" s="269">
        <v>6</v>
      </c>
    </row>
    <row r="16" spans="1:31" ht="15" customHeight="1">
      <c r="A16" s="121"/>
      <c r="B16" s="249" t="s">
        <v>181</v>
      </c>
      <c r="C16" s="51"/>
      <c r="D16" s="51"/>
      <c r="E16" s="51"/>
      <c r="F16" s="316"/>
      <c r="G16" s="384"/>
      <c r="H16" s="444">
        <v>5.64</v>
      </c>
      <c r="I16" s="446">
        <v>6.2</v>
      </c>
      <c r="J16" s="887">
        <v>4.7</v>
      </c>
      <c r="K16" s="936">
        <v>3.3</v>
      </c>
      <c r="L16" s="692">
        <v>5.3</v>
      </c>
      <c r="M16" s="692">
        <v>4.7</v>
      </c>
      <c r="N16" s="693"/>
      <c r="O16" s="49">
        <f>AVERAGE(K16:N16)</f>
        <v>4.4333333333333336</v>
      </c>
      <c r="P16" s="936">
        <v>4.7</v>
      </c>
      <c r="Q16" s="692">
        <v>8.07</v>
      </c>
      <c r="R16" s="692">
        <v>0.75</v>
      </c>
      <c r="S16" s="898">
        <v>2.2799999999999998</v>
      </c>
      <c r="T16" s="691"/>
      <c r="U16" s="692">
        <v>0</v>
      </c>
      <c r="V16" s="692">
        <v>0</v>
      </c>
      <c r="W16" s="898">
        <v>0</v>
      </c>
      <c r="X16" s="2190">
        <v>0</v>
      </c>
      <c r="Y16" s="2190">
        <v>0.67</v>
      </c>
      <c r="Z16" s="2190">
        <v>1.47</v>
      </c>
      <c r="AA16" s="3301">
        <v>1.77</v>
      </c>
      <c r="AB16" s="2190">
        <v>3.5</v>
      </c>
      <c r="AC16" s="2190"/>
      <c r="AD16" s="2190"/>
      <c r="AE16" s="3479"/>
    </row>
    <row r="17" spans="1:32" ht="15" customHeight="1">
      <c r="A17" s="121"/>
      <c r="B17" s="3101" t="s">
        <v>135</v>
      </c>
      <c r="C17" s="60"/>
      <c r="D17" s="447"/>
      <c r="E17" s="60"/>
      <c r="F17" s="448"/>
      <c r="G17" s="375">
        <v>6.5</v>
      </c>
      <c r="H17" s="444">
        <v>6.31</v>
      </c>
      <c r="I17" s="446">
        <v>4.5</v>
      </c>
      <c r="J17" s="887">
        <v>4.96</v>
      </c>
      <c r="K17" s="921">
        <v>2.6</v>
      </c>
      <c r="L17" s="869">
        <v>1.3</v>
      </c>
      <c r="M17" s="869">
        <v>2.6</v>
      </c>
      <c r="N17" s="885"/>
      <c r="O17" s="49">
        <f>AVERAGE(K17:N17)</f>
        <v>2.1666666666666665</v>
      </c>
      <c r="P17" s="921">
        <v>2.7</v>
      </c>
      <c r="Q17" s="869">
        <v>3.37</v>
      </c>
      <c r="R17" s="869">
        <v>1.1499999999999999</v>
      </c>
      <c r="S17" s="2886">
        <v>1.17</v>
      </c>
      <c r="T17" s="888"/>
      <c r="U17" s="869">
        <v>0</v>
      </c>
      <c r="V17" s="869">
        <v>0</v>
      </c>
      <c r="W17" s="2886">
        <v>0</v>
      </c>
      <c r="X17" s="869">
        <v>0</v>
      </c>
      <c r="Y17" s="869">
        <v>0.4</v>
      </c>
      <c r="Z17" s="869">
        <v>0.97</v>
      </c>
      <c r="AA17" s="1577">
        <v>3</v>
      </c>
      <c r="AB17" s="869">
        <v>1.6</v>
      </c>
      <c r="AC17" s="869"/>
      <c r="AD17" s="869"/>
      <c r="AE17" s="1577"/>
    </row>
    <row r="18" spans="1:32" ht="15" customHeight="1">
      <c r="A18" s="121"/>
      <c r="B18" s="249" t="s">
        <v>180</v>
      </c>
      <c r="C18" s="51"/>
      <c r="D18" s="51"/>
      <c r="E18" s="51"/>
      <c r="F18" s="316"/>
      <c r="G18" s="384"/>
      <c r="H18" s="444">
        <v>6.04</v>
      </c>
      <c r="I18" s="446">
        <v>1.8</v>
      </c>
      <c r="J18" s="887">
        <v>2.06</v>
      </c>
      <c r="K18" s="921">
        <v>4.0999999999999996</v>
      </c>
      <c r="L18" s="869">
        <v>1.8</v>
      </c>
      <c r="M18" s="869">
        <v>2.65</v>
      </c>
      <c r="N18" s="885"/>
      <c r="O18" s="49">
        <f>AVERAGE(K18:N18)</f>
        <v>2.8499999999999996</v>
      </c>
      <c r="P18" s="921">
        <v>5.8</v>
      </c>
      <c r="Q18" s="869">
        <v>5.37</v>
      </c>
      <c r="R18" s="869">
        <v>0.4</v>
      </c>
      <c r="S18" s="2886">
        <v>1.65</v>
      </c>
      <c r="T18" s="888"/>
      <c r="U18" s="869">
        <v>0</v>
      </c>
      <c r="V18" s="869">
        <v>0</v>
      </c>
      <c r="W18" s="2886">
        <v>0</v>
      </c>
      <c r="X18" s="869">
        <v>0</v>
      </c>
      <c r="Y18" s="869">
        <v>0.63</v>
      </c>
      <c r="Z18" s="869">
        <v>0.93</v>
      </c>
      <c r="AA18" s="1577">
        <v>1.43</v>
      </c>
      <c r="AB18" s="869">
        <v>1.6</v>
      </c>
      <c r="AC18" s="869"/>
      <c r="AD18" s="869"/>
      <c r="AE18" s="1577"/>
    </row>
    <row r="19" spans="1:32" ht="15" customHeight="1">
      <c r="A19" s="121"/>
      <c r="B19" s="202" t="s">
        <v>184</v>
      </c>
      <c r="C19" s="60"/>
      <c r="D19" s="60"/>
      <c r="E19" s="60"/>
      <c r="F19" s="448"/>
      <c r="G19" s="375">
        <v>4.3</v>
      </c>
      <c r="H19" s="444">
        <v>3.84</v>
      </c>
      <c r="I19" s="446">
        <v>2.06</v>
      </c>
      <c r="J19" s="887">
        <v>1.6</v>
      </c>
      <c r="K19" s="921">
        <v>1.2</v>
      </c>
      <c r="L19" s="869">
        <v>6.9</v>
      </c>
      <c r="M19" s="869">
        <v>4.55</v>
      </c>
      <c r="N19" s="885"/>
      <c r="O19" s="49">
        <f>AVERAGE(K19:N19)</f>
        <v>4.2166666666666659</v>
      </c>
      <c r="P19" s="921">
        <v>4.5</v>
      </c>
      <c r="Q19" s="869">
        <v>5.93</v>
      </c>
      <c r="R19" s="869">
        <v>0.95</v>
      </c>
      <c r="S19" s="2886">
        <v>0.17</v>
      </c>
      <c r="T19" s="888"/>
      <c r="U19" s="869">
        <v>0</v>
      </c>
      <c r="V19" s="869">
        <v>0</v>
      </c>
      <c r="W19" s="2886">
        <v>0</v>
      </c>
      <c r="X19" s="869">
        <v>0</v>
      </c>
      <c r="Y19" s="869">
        <v>0</v>
      </c>
      <c r="Z19" s="869">
        <v>0</v>
      </c>
      <c r="AA19" s="1577">
        <v>1.37</v>
      </c>
      <c r="AB19" s="869">
        <v>0.7</v>
      </c>
      <c r="AC19" s="869"/>
      <c r="AD19" s="869"/>
      <c r="AE19" s="1577"/>
    </row>
    <row r="20" spans="1:32" ht="15" customHeight="1" thickBot="1">
      <c r="A20" s="121"/>
      <c r="B20" s="249" t="s">
        <v>179</v>
      </c>
      <c r="C20" s="51"/>
      <c r="D20" s="51"/>
      <c r="E20" s="51"/>
      <c r="F20" s="316"/>
      <c r="G20" s="712"/>
      <c r="H20" s="713">
        <v>3.16</v>
      </c>
      <c r="I20" s="714">
        <v>5.4</v>
      </c>
      <c r="J20" s="889">
        <v>5.8</v>
      </c>
      <c r="K20" s="932">
        <v>1</v>
      </c>
      <c r="L20" s="321">
        <v>7.1</v>
      </c>
      <c r="M20" s="321">
        <v>6.15</v>
      </c>
      <c r="N20" s="322"/>
      <c r="O20" s="49">
        <f>AVERAGE(K20:N20)</f>
        <v>4.75</v>
      </c>
      <c r="P20" s="932">
        <v>4.3</v>
      </c>
      <c r="Q20" s="321">
        <v>7.72</v>
      </c>
      <c r="R20" s="321">
        <v>1.6</v>
      </c>
      <c r="S20" s="382">
        <v>1.3</v>
      </c>
      <c r="T20" s="320"/>
      <c r="U20" s="321">
        <v>0</v>
      </c>
      <c r="V20" s="321">
        <v>0</v>
      </c>
      <c r="W20" s="382">
        <v>0</v>
      </c>
      <c r="X20" s="869">
        <v>0</v>
      </c>
      <c r="Y20" s="869">
        <v>0.23</v>
      </c>
      <c r="Z20" s="869">
        <v>1.73</v>
      </c>
      <c r="AA20" s="1577">
        <v>5.23</v>
      </c>
      <c r="AB20" s="869">
        <v>4.3</v>
      </c>
      <c r="AC20" s="869"/>
      <c r="AD20" s="869"/>
      <c r="AE20" s="1577"/>
    </row>
    <row r="21" spans="1:32" s="1040" customFormat="1" ht="15" customHeight="1">
      <c r="A21" s="207"/>
      <c r="B21" s="207" t="s">
        <v>285</v>
      </c>
      <c r="C21" s="245">
        <f>COUNTIF(C16:C20,"&gt;=5")</f>
        <v>0</v>
      </c>
      <c r="D21" s="245">
        <f t="shared" ref="D21:P21" si="0">COUNTIF(D16:D20,"&gt;=5")</f>
        <v>0</v>
      </c>
      <c r="E21" s="245">
        <f t="shared" si="0"/>
        <v>0</v>
      </c>
      <c r="F21" s="245">
        <f t="shared" si="0"/>
        <v>0</v>
      </c>
      <c r="G21" s="245">
        <f t="shared" si="0"/>
        <v>1</v>
      </c>
      <c r="H21" s="245">
        <f t="shared" si="0"/>
        <v>3</v>
      </c>
      <c r="I21" s="245">
        <f t="shared" si="0"/>
        <v>2</v>
      </c>
      <c r="J21" s="245">
        <f t="shared" si="0"/>
        <v>1</v>
      </c>
      <c r="K21" s="245">
        <f t="shared" si="0"/>
        <v>0</v>
      </c>
      <c r="L21" s="245">
        <f t="shared" si="0"/>
        <v>3</v>
      </c>
      <c r="M21" s="245">
        <f t="shared" si="0"/>
        <v>1</v>
      </c>
      <c r="N21" s="245">
        <f t="shared" si="0"/>
        <v>0</v>
      </c>
      <c r="O21" s="245">
        <f t="shared" si="0"/>
        <v>0</v>
      </c>
      <c r="P21" s="245">
        <f t="shared" si="0"/>
        <v>1</v>
      </c>
      <c r="Q21" s="1040">
        <f>COUNTIF(Q16:Q20,"&gt;=5")</f>
        <v>4</v>
      </c>
      <c r="R21" s="2836">
        <f>COUNTIF(R16:R20,"&gt;=5")</f>
        <v>0</v>
      </c>
      <c r="S21" s="2836">
        <f>COUNTIF(S16:S20,"&gt;=5")</f>
        <v>0</v>
      </c>
      <c r="T21" s="2874">
        <f t="shared" ref="T21:Y21" si="1">COUNTIF(T16:T20,"&gt;=5")</f>
        <v>0</v>
      </c>
      <c r="U21" s="2874">
        <f t="shared" si="1"/>
        <v>0</v>
      </c>
      <c r="V21" s="2874">
        <f t="shared" si="1"/>
        <v>0</v>
      </c>
      <c r="W21" s="2874">
        <f t="shared" si="1"/>
        <v>0</v>
      </c>
      <c r="X21" s="3285">
        <f t="shared" si="1"/>
        <v>0</v>
      </c>
      <c r="Y21" s="3285">
        <f t="shared" si="1"/>
        <v>0</v>
      </c>
      <c r="Z21" s="3300">
        <f>COUNTIF(Z16:Z20,"&gt;=6")</f>
        <v>0</v>
      </c>
      <c r="AA21" s="3300">
        <f>COUNTIF(AA16:AA20,"&gt;=6")</f>
        <v>0</v>
      </c>
      <c r="AB21" s="3478">
        <f t="shared" ref="AB21:AE21" si="2">COUNTIF(AB16:AB20,"&gt;=6")</f>
        <v>0</v>
      </c>
      <c r="AC21" s="3478">
        <f t="shared" si="2"/>
        <v>0</v>
      </c>
      <c r="AD21" s="3478">
        <f t="shared" si="2"/>
        <v>0</v>
      </c>
      <c r="AE21" s="3478">
        <f t="shared" si="2"/>
        <v>0</v>
      </c>
    </row>
    <row r="22" spans="1:32" s="1040" customFormat="1" ht="15" customHeight="1">
      <c r="A22" s="207"/>
      <c r="B22" s="207" t="s">
        <v>287</v>
      </c>
      <c r="C22" s="245">
        <f>COUNT(C16:C20)</f>
        <v>0</v>
      </c>
      <c r="D22" s="245">
        <f t="shared" ref="D22:P22" si="3">COUNT(D16:D20)</f>
        <v>0</v>
      </c>
      <c r="E22" s="245">
        <f t="shared" si="3"/>
        <v>0</v>
      </c>
      <c r="F22" s="245">
        <f t="shared" si="3"/>
        <v>0</v>
      </c>
      <c r="G22" s="245">
        <f t="shared" si="3"/>
        <v>2</v>
      </c>
      <c r="H22" s="245">
        <f t="shared" si="3"/>
        <v>5</v>
      </c>
      <c r="I22" s="245">
        <f t="shared" si="3"/>
        <v>5</v>
      </c>
      <c r="J22" s="245">
        <f t="shared" si="3"/>
        <v>5</v>
      </c>
      <c r="K22" s="245">
        <f t="shared" si="3"/>
        <v>5</v>
      </c>
      <c r="L22" s="245">
        <f t="shared" si="3"/>
        <v>5</v>
      </c>
      <c r="M22" s="245">
        <f t="shared" si="3"/>
        <v>5</v>
      </c>
      <c r="N22" s="245">
        <f t="shared" si="3"/>
        <v>0</v>
      </c>
      <c r="O22" s="245">
        <f t="shared" si="3"/>
        <v>5</v>
      </c>
      <c r="P22" s="245">
        <f t="shared" si="3"/>
        <v>5</v>
      </c>
      <c r="Q22" s="1040">
        <f>COUNT(Q16:Q20)</f>
        <v>5</v>
      </c>
      <c r="R22" s="2836">
        <f>COUNT(R16:R20)</f>
        <v>5</v>
      </c>
      <c r="S22" s="2836">
        <f>COUNT(S16:S20)</f>
        <v>5</v>
      </c>
      <c r="T22" s="2874">
        <f t="shared" ref="T22:Y22" si="4">COUNT(T16:T20)</f>
        <v>0</v>
      </c>
      <c r="U22" s="2874">
        <f t="shared" si="4"/>
        <v>5</v>
      </c>
      <c r="V22" s="2874">
        <f t="shared" si="4"/>
        <v>5</v>
      </c>
      <c r="W22" s="2874">
        <f t="shared" si="4"/>
        <v>5</v>
      </c>
      <c r="X22" s="3285">
        <f t="shared" si="4"/>
        <v>5</v>
      </c>
      <c r="Y22" s="3285">
        <f t="shared" si="4"/>
        <v>5</v>
      </c>
      <c r="Z22" s="3300">
        <f t="shared" ref="Z22:AE22" si="5">COUNT(Z16:Z20)</f>
        <v>5</v>
      </c>
      <c r="AA22" s="3300">
        <f t="shared" si="5"/>
        <v>5</v>
      </c>
      <c r="AB22" s="3478">
        <f t="shared" si="5"/>
        <v>5</v>
      </c>
      <c r="AC22" s="3478">
        <f t="shared" si="5"/>
        <v>0</v>
      </c>
      <c r="AD22" s="3478">
        <f t="shared" si="5"/>
        <v>0</v>
      </c>
      <c r="AE22" s="3478">
        <f t="shared" si="5"/>
        <v>0</v>
      </c>
    </row>
    <row r="23" spans="1:32" s="1040" customFormat="1" ht="15" customHeight="1">
      <c r="A23" s="207"/>
      <c r="B23" s="207" t="s">
        <v>202</v>
      </c>
      <c r="C23" s="1054" t="e">
        <f t="shared" ref="C23:Y23" si="6">C21/C22</f>
        <v>#DIV/0!</v>
      </c>
      <c r="D23" s="1054" t="e">
        <f t="shared" si="6"/>
        <v>#DIV/0!</v>
      </c>
      <c r="E23" s="1054" t="e">
        <f t="shared" si="6"/>
        <v>#DIV/0!</v>
      </c>
      <c r="F23" s="1054" t="e">
        <f t="shared" si="6"/>
        <v>#DIV/0!</v>
      </c>
      <c r="G23" s="1054">
        <f t="shared" si="6"/>
        <v>0.5</v>
      </c>
      <c r="H23" s="1054">
        <f t="shared" si="6"/>
        <v>0.6</v>
      </c>
      <c r="I23" s="1054">
        <f t="shared" si="6"/>
        <v>0.4</v>
      </c>
      <c r="J23" s="1054">
        <f t="shared" si="6"/>
        <v>0.2</v>
      </c>
      <c r="K23" s="1054">
        <f t="shared" si="6"/>
        <v>0</v>
      </c>
      <c r="L23" s="1054">
        <f t="shared" si="6"/>
        <v>0.6</v>
      </c>
      <c r="M23" s="1054">
        <f t="shared" si="6"/>
        <v>0.2</v>
      </c>
      <c r="N23" s="1054" t="e">
        <f t="shared" si="6"/>
        <v>#DIV/0!</v>
      </c>
      <c r="O23" s="1054">
        <f t="shared" si="6"/>
        <v>0</v>
      </c>
      <c r="P23" s="1054">
        <f t="shared" si="6"/>
        <v>0.2</v>
      </c>
      <c r="Q23" s="1054">
        <f t="shared" si="6"/>
        <v>0.8</v>
      </c>
      <c r="R23" s="1054">
        <f t="shared" si="6"/>
        <v>0</v>
      </c>
      <c r="S23" s="1054">
        <f t="shared" si="6"/>
        <v>0</v>
      </c>
      <c r="T23" s="1054" t="e">
        <f t="shared" si="6"/>
        <v>#DIV/0!</v>
      </c>
      <c r="U23" s="1054">
        <f t="shared" si="6"/>
        <v>0</v>
      </c>
      <c r="V23" s="1054">
        <f t="shared" si="6"/>
        <v>0</v>
      </c>
      <c r="W23" s="1054">
        <f t="shared" si="6"/>
        <v>0</v>
      </c>
      <c r="X23" s="1054">
        <f t="shared" si="6"/>
        <v>0</v>
      </c>
      <c r="Y23" s="1054">
        <f t="shared" si="6"/>
        <v>0</v>
      </c>
      <c r="Z23" s="1054">
        <f t="shared" ref="Z23:AE23" si="7">Z21/Z22</f>
        <v>0</v>
      </c>
      <c r="AA23" s="1054">
        <f t="shared" si="7"/>
        <v>0</v>
      </c>
      <c r="AB23" s="1054">
        <f t="shared" si="7"/>
        <v>0</v>
      </c>
      <c r="AC23" s="1054" t="e">
        <f t="shared" si="7"/>
        <v>#DIV/0!</v>
      </c>
      <c r="AD23" s="1054" t="e">
        <f t="shared" si="7"/>
        <v>#DIV/0!</v>
      </c>
      <c r="AE23" s="1054" t="e">
        <f t="shared" si="7"/>
        <v>#DIV/0!</v>
      </c>
      <c r="AF23" s="1054"/>
    </row>
    <row r="24" spans="1:32" s="1040" customFormat="1" ht="15" customHeight="1">
      <c r="A24" s="121"/>
      <c r="B24" s="1055" t="s">
        <v>299</v>
      </c>
      <c r="C24" s="245">
        <f>COUNTA(B16:B20)</f>
        <v>5</v>
      </c>
      <c r="D24" s="246"/>
      <c r="E24" s="218"/>
      <c r="F24" s="120"/>
      <c r="G24" s="107"/>
      <c r="H24" s="107"/>
      <c r="I24" s="107"/>
      <c r="J24" s="107"/>
      <c r="K24" s="107"/>
      <c r="L24" s="107"/>
      <c r="M24" s="107"/>
      <c r="N24" s="107"/>
      <c r="O24" s="107"/>
      <c r="P24" s="767"/>
      <c r="T24" s="2874"/>
      <c r="U24" s="2874"/>
      <c r="V24" s="2874"/>
      <c r="W24" s="2874"/>
    </row>
    <row r="25" spans="1:32" ht="15" customHeight="1">
      <c r="A25" s="121"/>
      <c r="B25" s="217"/>
      <c r="C25" s="245"/>
      <c r="D25" s="246"/>
      <c r="E25" s="218"/>
      <c r="F25" s="120"/>
      <c r="G25" s="107"/>
      <c r="H25" s="107"/>
      <c r="I25" s="107"/>
      <c r="J25" s="107"/>
      <c r="K25" s="107"/>
      <c r="L25" s="107"/>
      <c r="M25" s="107"/>
      <c r="N25" s="107"/>
      <c r="O25" s="107"/>
      <c r="P25" s="767"/>
    </row>
    <row r="26" spans="1:32" ht="15" customHeight="1" thickBot="1">
      <c r="A26" s="116"/>
      <c r="B26" s="116"/>
      <c r="C26" s="245"/>
      <c r="D26" s="246"/>
      <c r="E26" s="116"/>
      <c r="F26" s="3652" t="s">
        <v>234</v>
      </c>
      <c r="G26" s="3652"/>
      <c r="H26" s="107"/>
      <c r="I26" s="107"/>
      <c r="J26" s="107"/>
      <c r="K26" s="107"/>
      <c r="L26" s="107"/>
      <c r="M26" s="107"/>
      <c r="N26" s="3652" t="s">
        <v>234</v>
      </c>
      <c r="O26" s="3652"/>
      <c r="P26" s="3654"/>
    </row>
    <row r="27" spans="1:32" ht="15" customHeight="1" thickBot="1">
      <c r="A27" s="116"/>
      <c r="B27" s="116"/>
      <c r="C27" s="245"/>
      <c r="D27" s="246"/>
      <c r="E27" s="116"/>
      <c r="F27" s="3653"/>
      <c r="G27" s="3653"/>
      <c r="H27" s="107"/>
      <c r="I27" s="107"/>
      <c r="J27" s="107"/>
      <c r="K27" s="107"/>
      <c r="L27" s="107"/>
      <c r="M27" s="107"/>
      <c r="N27" s="3653"/>
      <c r="O27" s="3652"/>
      <c r="P27" s="3654"/>
      <c r="AB27" s="3516">
        <v>2017</v>
      </c>
      <c r="AC27" s="3517"/>
      <c r="AD27" s="3517"/>
      <c r="AE27" s="3518"/>
    </row>
    <row r="28" spans="1:32" ht="15" customHeight="1" thickBot="1">
      <c r="A28" s="121">
        <v>6.09</v>
      </c>
      <c r="B28" s="266" t="s">
        <v>168</v>
      </c>
      <c r="C28" s="268">
        <v>5</v>
      </c>
      <c r="D28" s="268">
        <v>5</v>
      </c>
      <c r="E28" s="268">
        <v>5</v>
      </c>
      <c r="F28" s="345">
        <v>5</v>
      </c>
      <c r="G28" s="346">
        <v>5</v>
      </c>
      <c r="H28" s="268">
        <v>5</v>
      </c>
      <c r="I28" s="268">
        <v>5</v>
      </c>
      <c r="J28" s="269">
        <v>5</v>
      </c>
      <c r="K28" s="360">
        <v>5</v>
      </c>
      <c r="L28" s="355">
        <v>5</v>
      </c>
      <c r="M28" s="355">
        <v>5</v>
      </c>
      <c r="N28" s="356">
        <v>5</v>
      </c>
      <c r="O28" s="356">
        <v>5</v>
      </c>
      <c r="P28" s="360">
        <v>5</v>
      </c>
      <c r="Q28" s="355">
        <v>5</v>
      </c>
      <c r="R28" s="355">
        <v>5</v>
      </c>
      <c r="S28" s="356">
        <v>5</v>
      </c>
      <c r="T28" s="2887">
        <v>5</v>
      </c>
      <c r="U28" s="356">
        <v>5</v>
      </c>
      <c r="V28" s="356">
        <v>5</v>
      </c>
      <c r="W28" s="356">
        <v>5</v>
      </c>
      <c r="X28" s="356">
        <v>5</v>
      </c>
      <c r="Y28" s="356">
        <v>5</v>
      </c>
      <c r="Z28" s="2887">
        <v>6</v>
      </c>
      <c r="AA28" s="356">
        <v>6</v>
      </c>
      <c r="AB28" s="2887">
        <v>6</v>
      </c>
      <c r="AC28" s="2887">
        <v>6</v>
      </c>
      <c r="AD28" s="2887">
        <v>6</v>
      </c>
      <c r="AE28" s="2887">
        <v>6</v>
      </c>
    </row>
    <row r="29" spans="1:32" ht="15" customHeight="1">
      <c r="A29" s="121">
        <v>4.1500000000000004</v>
      </c>
      <c r="B29" s="249" t="s">
        <v>178</v>
      </c>
      <c r="C29" s="51"/>
      <c r="D29" s="51"/>
      <c r="E29" s="51"/>
      <c r="F29" s="316"/>
      <c r="G29" s="384"/>
      <c r="H29" s="444"/>
      <c r="I29" s="10"/>
      <c r="J29" s="887"/>
      <c r="K29" s="936"/>
      <c r="L29" s="692"/>
      <c r="M29" s="692"/>
      <c r="N29" s="893"/>
      <c r="O29" s="2143"/>
      <c r="P29" s="936"/>
      <c r="Q29" s="692"/>
      <c r="R29" s="692"/>
      <c r="S29" s="898"/>
      <c r="T29" s="869"/>
      <c r="U29" s="869"/>
      <c r="V29" s="869"/>
      <c r="W29" s="869"/>
      <c r="X29" s="869"/>
      <c r="Y29" s="869"/>
      <c r="Z29" s="869"/>
      <c r="AA29" s="869"/>
      <c r="AB29" s="869"/>
      <c r="AC29" s="869"/>
      <c r="AD29" s="869"/>
      <c r="AE29" s="869"/>
    </row>
    <row r="30" spans="1:32" ht="15" customHeight="1">
      <c r="A30" s="121">
        <v>6.8</v>
      </c>
      <c r="B30" s="202" t="s">
        <v>137</v>
      </c>
      <c r="C30" s="60"/>
      <c r="D30" s="60"/>
      <c r="E30" s="60"/>
      <c r="F30" s="373">
        <v>6.1</v>
      </c>
      <c r="G30" s="375">
        <v>6.09</v>
      </c>
      <c r="H30" s="444">
        <v>5.7</v>
      </c>
      <c r="I30" s="444">
        <v>5.78</v>
      </c>
      <c r="J30" s="887">
        <v>4.96</v>
      </c>
      <c r="K30" s="931">
        <v>4.5999999999999996</v>
      </c>
      <c r="L30" s="952">
        <v>4.8099999999999996</v>
      </c>
      <c r="M30" s="1641">
        <v>5</v>
      </c>
      <c r="N30" s="319">
        <v>6.04</v>
      </c>
      <c r="O30" s="49">
        <f>AVERAGE(K30:N30)</f>
        <v>5.1124999999999998</v>
      </c>
      <c r="P30" s="921">
        <v>5.24</v>
      </c>
      <c r="Q30" s="869">
        <v>4.13</v>
      </c>
      <c r="R30" s="869">
        <v>4.0199999999999996</v>
      </c>
      <c r="S30" s="2886">
        <v>3.5</v>
      </c>
      <c r="T30" s="869">
        <v>4.2</v>
      </c>
      <c r="U30" s="869">
        <v>3.35</v>
      </c>
      <c r="V30" s="869">
        <v>4.63</v>
      </c>
      <c r="W30" s="869"/>
      <c r="X30" s="869">
        <v>4.16</v>
      </c>
      <c r="Y30" s="869">
        <v>3.95</v>
      </c>
      <c r="Z30" s="869">
        <v>4.68</v>
      </c>
      <c r="AA30" s="869">
        <v>5.7</v>
      </c>
      <c r="AB30" s="869">
        <v>7.41</v>
      </c>
      <c r="AC30" s="869"/>
      <c r="AD30" s="869"/>
      <c r="AE30" s="869"/>
    </row>
    <row r="31" spans="1:32" ht="15" customHeight="1">
      <c r="A31" s="781">
        <f>AVERAGE(A28:A30)</f>
        <v>5.68</v>
      </c>
      <c r="B31" s="202" t="s">
        <v>138</v>
      </c>
      <c r="C31" s="60"/>
      <c r="D31" s="60"/>
      <c r="E31" s="60"/>
      <c r="F31" s="373">
        <v>5.85</v>
      </c>
      <c r="G31" s="375">
        <v>5.5</v>
      </c>
      <c r="H31" s="444">
        <v>6</v>
      </c>
      <c r="I31" s="444">
        <v>5.31</v>
      </c>
      <c r="J31" s="887">
        <v>5</v>
      </c>
      <c r="K31" s="931">
        <v>4.71</v>
      </c>
      <c r="L31" s="952">
        <v>4.8</v>
      </c>
      <c r="M31" s="1641">
        <v>6.1</v>
      </c>
      <c r="N31" s="319">
        <v>5.68</v>
      </c>
      <c r="O31" s="49">
        <f>AVERAGE(K31:N31)</f>
        <v>5.3224999999999998</v>
      </c>
      <c r="P31" s="921">
        <v>4.8</v>
      </c>
      <c r="Q31" s="869">
        <v>5.41</v>
      </c>
      <c r="R31" s="869">
        <v>3.85</v>
      </c>
      <c r="S31" s="2886">
        <v>3.4</v>
      </c>
      <c r="T31" s="869">
        <v>4.32</v>
      </c>
      <c r="U31" s="869">
        <v>3.27</v>
      </c>
      <c r="V31" s="869">
        <v>4.47</v>
      </c>
      <c r="W31" s="869"/>
      <c r="X31" s="869">
        <v>3.82</v>
      </c>
      <c r="Y31" s="869">
        <v>3.9</v>
      </c>
      <c r="Z31" s="869">
        <v>4.83</v>
      </c>
      <c r="AA31" s="869">
        <v>5.77</v>
      </c>
      <c r="AB31" s="869">
        <v>7.41</v>
      </c>
      <c r="AC31" s="869"/>
      <c r="AD31" s="869"/>
      <c r="AE31" s="869"/>
    </row>
    <row r="32" spans="1:32" ht="15" customHeight="1">
      <c r="A32" s="121"/>
      <c r="B32" s="202" t="s">
        <v>139</v>
      </c>
      <c r="C32" s="60"/>
      <c r="D32" s="60"/>
      <c r="E32" s="60"/>
      <c r="F32" s="373">
        <v>7.1</v>
      </c>
      <c r="G32" s="375">
        <v>7.5</v>
      </c>
      <c r="H32" s="444">
        <v>5.4</v>
      </c>
      <c r="I32" s="444">
        <v>5.47</v>
      </c>
      <c r="J32" s="887">
        <v>5.0599999999999996</v>
      </c>
      <c r="K32" s="931">
        <v>5.21</v>
      </c>
      <c r="L32" s="952">
        <v>4.37</v>
      </c>
      <c r="M32" s="1641">
        <v>5.3</v>
      </c>
      <c r="N32" s="319">
        <v>5.82</v>
      </c>
      <c r="O32" s="49">
        <f>AVERAGE(K32:N32)</f>
        <v>5.1749999999999998</v>
      </c>
      <c r="P32" s="921">
        <v>4.95</v>
      </c>
      <c r="Q32" s="869">
        <v>4.5</v>
      </c>
      <c r="R32" s="869">
        <v>4.05</v>
      </c>
      <c r="S32" s="2886">
        <v>3.3</v>
      </c>
      <c r="T32" s="869">
        <v>3.65</v>
      </c>
      <c r="U32" s="869">
        <v>3.23</v>
      </c>
      <c r="V32" s="869">
        <v>3.92</v>
      </c>
      <c r="W32" s="869"/>
      <c r="X32" s="869">
        <v>3.86</v>
      </c>
      <c r="Y32" s="869">
        <v>4.1500000000000004</v>
      </c>
      <c r="Z32" s="3311">
        <v>5.05</v>
      </c>
      <c r="AA32" s="869">
        <v>6.07</v>
      </c>
      <c r="AB32" s="3311">
        <v>6.6</v>
      </c>
      <c r="AC32" s="869"/>
      <c r="AD32" s="3311"/>
      <c r="AE32" s="869"/>
    </row>
    <row r="33" spans="1:31" ht="15" customHeight="1">
      <c r="A33" s="121"/>
      <c r="B33" s="3101" t="s">
        <v>136</v>
      </c>
      <c r="C33" s="60"/>
      <c r="D33" s="60"/>
      <c r="E33" s="60"/>
      <c r="F33" s="373">
        <v>6.4</v>
      </c>
      <c r="G33" s="375">
        <v>5.85</v>
      </c>
      <c r="H33" s="444">
        <v>5.4</v>
      </c>
      <c r="I33" s="444">
        <v>5.3</v>
      </c>
      <c r="J33" s="887">
        <v>5.2</v>
      </c>
      <c r="K33" s="931">
        <v>4.83</v>
      </c>
      <c r="L33" s="957">
        <v>4.53</v>
      </c>
      <c r="M33" s="1640">
        <v>5.8</v>
      </c>
      <c r="N33" s="319">
        <v>5.92</v>
      </c>
      <c r="O33" s="49">
        <f>AVERAGE(K33:N33)</f>
        <v>5.27</v>
      </c>
      <c r="P33" s="931">
        <v>4.74</v>
      </c>
      <c r="Q33" s="304">
        <v>4.4800000000000004</v>
      </c>
      <c r="R33" s="304">
        <v>4.3499999999999996</v>
      </c>
      <c r="S33" s="381">
        <v>2.9</v>
      </c>
      <c r="T33" s="869">
        <v>3.66</v>
      </c>
      <c r="U33" s="869">
        <v>3.34</v>
      </c>
      <c r="V33" s="304">
        <v>3.59</v>
      </c>
      <c r="W33" s="304"/>
      <c r="X33" s="869">
        <v>3.78</v>
      </c>
      <c r="Y33" s="869">
        <v>4.1100000000000003</v>
      </c>
      <c r="Z33" s="869">
        <v>4.71</v>
      </c>
      <c r="AA33" s="869">
        <v>6</v>
      </c>
      <c r="AB33" s="869">
        <v>6.68</v>
      </c>
      <c r="AC33" s="869"/>
      <c r="AD33" s="869"/>
      <c r="AE33" s="869"/>
    </row>
    <row r="34" spans="1:31" ht="15" customHeight="1">
      <c r="A34" s="121"/>
      <c r="B34" s="249" t="s">
        <v>176</v>
      </c>
      <c r="C34" s="51"/>
      <c r="D34" s="51"/>
      <c r="E34" s="51"/>
      <c r="F34" s="316"/>
      <c r="G34" s="384"/>
      <c r="H34" s="444"/>
      <c r="I34" s="51"/>
      <c r="J34" s="890"/>
      <c r="K34" s="931"/>
      <c r="L34" s="870"/>
      <c r="M34" s="870"/>
      <c r="N34" s="319"/>
      <c r="O34" s="61"/>
      <c r="P34" s="931"/>
      <c r="Q34" s="304"/>
      <c r="R34" s="304"/>
      <c r="S34" s="381"/>
      <c r="T34" s="304"/>
      <c r="U34" s="304"/>
      <c r="V34" s="304"/>
      <c r="W34" s="304"/>
      <c r="X34" s="304"/>
      <c r="Y34" s="304"/>
      <c r="Z34" s="3310"/>
      <c r="AA34" s="304"/>
      <c r="AB34" s="3310"/>
      <c r="AC34" s="304"/>
      <c r="AD34" s="3310"/>
      <c r="AE34" s="304"/>
    </row>
    <row r="35" spans="1:31" ht="15" customHeight="1" thickBot="1">
      <c r="A35" s="121"/>
      <c r="B35" s="262" t="s">
        <v>177</v>
      </c>
      <c r="C35" s="710"/>
      <c r="D35" s="710"/>
      <c r="E35" s="710"/>
      <c r="F35" s="711"/>
      <c r="G35" s="449"/>
      <c r="H35" s="450"/>
      <c r="I35" s="58"/>
      <c r="J35" s="891"/>
      <c r="K35" s="932"/>
      <c r="L35" s="872"/>
      <c r="M35" s="872"/>
      <c r="N35" s="322"/>
      <c r="O35" s="61"/>
      <c r="P35" s="932"/>
      <c r="Q35" s="321"/>
      <c r="R35" s="321"/>
      <c r="S35" s="38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</row>
    <row r="36" spans="1:31" s="1040" customFormat="1" ht="15" customHeight="1">
      <c r="A36" s="107"/>
      <c r="B36" s="207" t="s">
        <v>285</v>
      </c>
      <c r="C36" s="245">
        <f>COUNTIF(C29:C35,"&gt;=5")</f>
        <v>0</v>
      </c>
      <c r="D36" s="245">
        <f t="shared" ref="D36:P36" si="8">COUNTIF(D29:D35,"&gt;=5")</f>
        <v>0</v>
      </c>
      <c r="E36" s="245">
        <f t="shared" si="8"/>
        <v>0</v>
      </c>
      <c r="F36" s="245">
        <f t="shared" si="8"/>
        <v>4</v>
      </c>
      <c r="G36" s="245">
        <f t="shared" si="8"/>
        <v>4</v>
      </c>
      <c r="H36" s="245">
        <f t="shared" si="8"/>
        <v>4</v>
      </c>
      <c r="I36" s="245">
        <f t="shared" si="8"/>
        <v>4</v>
      </c>
      <c r="J36" s="245">
        <f t="shared" si="8"/>
        <v>3</v>
      </c>
      <c r="K36" s="245">
        <f t="shared" si="8"/>
        <v>1</v>
      </c>
      <c r="L36" s="245">
        <f t="shared" si="8"/>
        <v>0</v>
      </c>
      <c r="M36" s="245">
        <f t="shared" si="8"/>
        <v>4</v>
      </c>
      <c r="N36" s="245">
        <f t="shared" si="8"/>
        <v>4</v>
      </c>
      <c r="O36" s="245">
        <f t="shared" si="8"/>
        <v>4</v>
      </c>
      <c r="P36" s="245">
        <f t="shared" si="8"/>
        <v>1</v>
      </c>
      <c r="Q36" s="1040">
        <f>COUNTIF(Q29:Q35,"&gt;=5")</f>
        <v>1</v>
      </c>
      <c r="R36" s="2836">
        <f>COUNTIF(R29:R35,"&gt;=5")</f>
        <v>0</v>
      </c>
      <c r="S36" s="2836">
        <f>COUNTIF(S29:S35,"&gt;=5")</f>
        <v>0</v>
      </c>
      <c r="T36" s="2874">
        <f t="shared" ref="T36:Y36" si="9">COUNTIF(T29:T35,"&gt;=5")</f>
        <v>0</v>
      </c>
      <c r="U36" s="2874">
        <f t="shared" si="9"/>
        <v>0</v>
      </c>
      <c r="V36" s="2874">
        <f t="shared" si="9"/>
        <v>0</v>
      </c>
      <c r="W36" s="2874">
        <f t="shared" si="9"/>
        <v>0</v>
      </c>
      <c r="X36" s="3285">
        <f t="shared" si="9"/>
        <v>0</v>
      </c>
      <c r="Y36" s="3285">
        <f t="shared" si="9"/>
        <v>0</v>
      </c>
      <c r="Z36" s="3300">
        <f>COUNTIF(Z29:Z35,"&gt;=6")</f>
        <v>0</v>
      </c>
      <c r="AA36" s="3300">
        <f>COUNTIF(AA29:AA35,"&gt;=6")</f>
        <v>2</v>
      </c>
      <c r="AB36" s="3478">
        <f t="shared" ref="AB36:AE36" si="10">COUNTIF(AB29:AB35,"&gt;=6")</f>
        <v>4</v>
      </c>
      <c r="AC36" s="3478">
        <f t="shared" si="10"/>
        <v>0</v>
      </c>
      <c r="AD36" s="3478">
        <f t="shared" si="10"/>
        <v>0</v>
      </c>
      <c r="AE36" s="3478">
        <f t="shared" si="10"/>
        <v>0</v>
      </c>
    </row>
    <row r="37" spans="1:31" s="1040" customFormat="1" ht="15" customHeight="1">
      <c r="A37" s="107"/>
      <c r="B37" s="207" t="s">
        <v>287</v>
      </c>
      <c r="C37" s="245">
        <f>COUNTA(C29:C35)</f>
        <v>0</v>
      </c>
      <c r="D37" s="245">
        <f t="shared" ref="D37:P37" si="11">COUNTA(D29:D35)</f>
        <v>0</v>
      </c>
      <c r="E37" s="245">
        <f t="shared" si="11"/>
        <v>0</v>
      </c>
      <c r="F37" s="245">
        <f t="shared" si="11"/>
        <v>4</v>
      </c>
      <c r="G37" s="245">
        <f t="shared" si="11"/>
        <v>4</v>
      </c>
      <c r="H37" s="245">
        <f t="shared" si="11"/>
        <v>4</v>
      </c>
      <c r="I37" s="245">
        <f t="shared" si="11"/>
        <v>4</v>
      </c>
      <c r="J37" s="245">
        <f t="shared" si="11"/>
        <v>4</v>
      </c>
      <c r="K37" s="245">
        <f t="shared" si="11"/>
        <v>4</v>
      </c>
      <c r="L37" s="245">
        <f t="shared" si="11"/>
        <v>4</v>
      </c>
      <c r="M37" s="245">
        <f t="shared" si="11"/>
        <v>4</v>
      </c>
      <c r="N37" s="245">
        <f t="shared" si="11"/>
        <v>4</v>
      </c>
      <c r="O37" s="245">
        <f t="shared" si="11"/>
        <v>4</v>
      </c>
      <c r="P37" s="245">
        <f t="shared" si="11"/>
        <v>4</v>
      </c>
      <c r="Q37" s="1040">
        <f>COUNT(Q29:Q35)</f>
        <v>4</v>
      </c>
      <c r="R37" s="2836">
        <f>COUNT(R29:R35)</f>
        <v>4</v>
      </c>
      <c r="S37" s="2836">
        <f>COUNT(S29:S35)</f>
        <v>4</v>
      </c>
      <c r="T37" s="2874">
        <f t="shared" ref="T37:Y37" si="12">COUNT(T29:T35)</f>
        <v>4</v>
      </c>
      <c r="U37" s="2874">
        <f t="shared" si="12"/>
        <v>4</v>
      </c>
      <c r="V37" s="2874">
        <f t="shared" si="12"/>
        <v>4</v>
      </c>
      <c r="W37" s="2874">
        <f t="shared" si="12"/>
        <v>0</v>
      </c>
      <c r="X37" s="3285">
        <f t="shared" si="12"/>
        <v>4</v>
      </c>
      <c r="Y37" s="3285">
        <f t="shared" si="12"/>
        <v>4</v>
      </c>
      <c r="Z37" s="3300">
        <f t="shared" ref="Z37:AA37" si="13">COUNT(Z29:Z35)</f>
        <v>4</v>
      </c>
      <c r="AA37" s="3300">
        <f t="shared" si="13"/>
        <v>4</v>
      </c>
      <c r="AB37" s="3478">
        <f t="shared" ref="AB37:AE37" si="14">COUNT(AB29:AB35)</f>
        <v>4</v>
      </c>
      <c r="AC37" s="3478">
        <f t="shared" si="14"/>
        <v>0</v>
      </c>
      <c r="AD37" s="3478">
        <f t="shared" si="14"/>
        <v>0</v>
      </c>
      <c r="AE37" s="3478">
        <f t="shared" si="14"/>
        <v>0</v>
      </c>
    </row>
    <row r="38" spans="1:31" s="1040" customFormat="1" ht="15" customHeight="1">
      <c r="A38" s="107"/>
      <c r="B38" s="207" t="s">
        <v>202</v>
      </c>
      <c r="C38" s="1054" t="e">
        <f t="shared" ref="C38:L38" si="15">C36/C37</f>
        <v>#DIV/0!</v>
      </c>
      <c r="D38" s="1054" t="e">
        <f t="shared" si="15"/>
        <v>#DIV/0!</v>
      </c>
      <c r="E38" s="1054" t="e">
        <f t="shared" si="15"/>
        <v>#DIV/0!</v>
      </c>
      <c r="F38" s="1054">
        <f t="shared" si="15"/>
        <v>1</v>
      </c>
      <c r="G38" s="1054">
        <f t="shared" si="15"/>
        <v>1</v>
      </c>
      <c r="H38" s="1054">
        <f t="shared" si="15"/>
        <v>1</v>
      </c>
      <c r="I38" s="1054">
        <f t="shared" si="15"/>
        <v>1</v>
      </c>
      <c r="J38" s="1054">
        <f t="shared" si="15"/>
        <v>0.75</v>
      </c>
      <c r="K38" s="1054">
        <f t="shared" si="15"/>
        <v>0.25</v>
      </c>
      <c r="L38" s="1054">
        <f t="shared" si="15"/>
        <v>0</v>
      </c>
      <c r="M38" s="1054">
        <f t="shared" ref="M38:Y38" si="16">M36/M37</f>
        <v>1</v>
      </c>
      <c r="N38" s="1054">
        <f t="shared" si="16"/>
        <v>1</v>
      </c>
      <c r="O38" s="1054">
        <f t="shared" si="16"/>
        <v>1</v>
      </c>
      <c r="P38" s="1054">
        <f t="shared" si="16"/>
        <v>0.25</v>
      </c>
      <c r="Q38" s="1054">
        <f t="shared" si="16"/>
        <v>0.25</v>
      </c>
      <c r="R38" s="1054">
        <f t="shared" si="16"/>
        <v>0</v>
      </c>
      <c r="S38" s="1054">
        <f t="shared" si="16"/>
        <v>0</v>
      </c>
      <c r="T38" s="1054">
        <f t="shared" si="16"/>
        <v>0</v>
      </c>
      <c r="U38" s="1054">
        <f t="shared" si="16"/>
        <v>0</v>
      </c>
      <c r="V38" s="1054">
        <f t="shared" si="16"/>
        <v>0</v>
      </c>
      <c r="W38" s="1054" t="e">
        <f t="shared" si="16"/>
        <v>#DIV/0!</v>
      </c>
      <c r="X38" s="1054">
        <f t="shared" si="16"/>
        <v>0</v>
      </c>
      <c r="Y38" s="1054">
        <f t="shared" si="16"/>
        <v>0</v>
      </c>
      <c r="Z38" s="1054">
        <f t="shared" ref="Z38:AA38" si="17">Z36/Z37</f>
        <v>0</v>
      </c>
      <c r="AA38" s="1054">
        <f t="shared" si="17"/>
        <v>0.5</v>
      </c>
      <c r="AB38" s="1054">
        <f t="shared" ref="AB38:AE38" si="18">AB36/AB37</f>
        <v>1</v>
      </c>
      <c r="AC38" s="1054" t="e">
        <f t="shared" si="18"/>
        <v>#DIV/0!</v>
      </c>
      <c r="AD38" s="1054" t="e">
        <f t="shared" si="18"/>
        <v>#DIV/0!</v>
      </c>
      <c r="AE38" s="1054" t="e">
        <f t="shared" si="18"/>
        <v>#DIV/0!</v>
      </c>
    </row>
    <row r="39" spans="1:31" s="1040" customFormat="1" ht="15" customHeight="1">
      <c r="A39" s="121"/>
      <c r="B39" s="1055" t="s">
        <v>299</v>
      </c>
      <c r="C39" s="1056">
        <f>COUNTA(B29:B35)</f>
        <v>7</v>
      </c>
      <c r="D39" s="110"/>
      <c r="E39" s="110"/>
      <c r="F39" s="110"/>
      <c r="G39" s="107"/>
      <c r="H39" s="107"/>
      <c r="I39" s="120"/>
      <c r="J39" s="120"/>
      <c r="K39" s="221"/>
      <c r="L39" s="221"/>
      <c r="M39" s="221"/>
      <c r="N39" s="107"/>
      <c r="O39" s="107"/>
      <c r="P39" s="767"/>
      <c r="T39" s="2874"/>
      <c r="U39" s="2874"/>
      <c r="V39" s="2874"/>
      <c r="W39" s="2874"/>
    </row>
    <row r="40" spans="1:31" ht="15" customHeight="1">
      <c r="A40" s="121"/>
      <c r="B40" s="117"/>
      <c r="C40" s="110"/>
      <c r="D40" s="110"/>
      <c r="E40" s="110"/>
      <c r="F40" s="110"/>
      <c r="G40" s="107"/>
      <c r="H40" s="107"/>
      <c r="I40" s="120"/>
      <c r="J40" s="120"/>
      <c r="K40" s="221"/>
      <c r="L40" s="221"/>
      <c r="M40" s="221"/>
      <c r="N40" s="107"/>
      <c r="O40" s="107"/>
      <c r="P40" s="767"/>
    </row>
    <row r="41" spans="1:31" ht="15" customHeight="1" thickBot="1">
      <c r="A41" s="116"/>
      <c r="B41" s="116"/>
      <c r="C41" s="110"/>
      <c r="D41" s="110"/>
      <c r="E41" s="116"/>
      <c r="F41" s="3652" t="s">
        <v>235</v>
      </c>
      <c r="G41" s="3652"/>
      <c r="H41" s="107"/>
      <c r="I41" s="120"/>
      <c r="J41" s="120"/>
      <c r="K41" s="221"/>
      <c r="L41" s="221"/>
      <c r="M41" s="107"/>
      <c r="N41" s="3652" t="s">
        <v>235</v>
      </c>
      <c r="O41" s="3652"/>
      <c r="P41" s="3654"/>
    </row>
    <row r="42" spans="1:31" ht="15" customHeight="1" thickBot="1">
      <c r="A42" s="116"/>
      <c r="B42" s="116"/>
      <c r="C42" s="245"/>
      <c r="D42" s="246"/>
      <c r="E42" s="116"/>
      <c r="F42" s="3653"/>
      <c r="G42" s="3653"/>
      <c r="H42" s="107"/>
      <c r="I42" s="120"/>
      <c r="J42" s="120"/>
      <c r="K42" s="221"/>
      <c r="L42" s="221"/>
      <c r="M42" s="107"/>
      <c r="N42" s="3653"/>
      <c r="O42" s="3652"/>
      <c r="P42" s="3654"/>
      <c r="AB42" s="3516">
        <v>2017</v>
      </c>
      <c r="AC42" s="3517"/>
      <c r="AD42" s="3517"/>
      <c r="AE42" s="3518"/>
    </row>
    <row r="43" spans="1:31" ht="15" customHeight="1" thickBot="1">
      <c r="A43" s="116"/>
      <c r="B43" s="266" t="s">
        <v>168</v>
      </c>
      <c r="C43" s="268">
        <v>5</v>
      </c>
      <c r="D43" s="268">
        <v>5</v>
      </c>
      <c r="E43" s="268">
        <v>5</v>
      </c>
      <c r="F43" s="345">
        <v>5</v>
      </c>
      <c r="G43" s="346">
        <v>5</v>
      </c>
      <c r="H43" s="268">
        <v>5</v>
      </c>
      <c r="I43" s="268">
        <v>5</v>
      </c>
      <c r="J43" s="269">
        <v>5</v>
      </c>
      <c r="K43" s="360">
        <v>5</v>
      </c>
      <c r="L43" s="355">
        <v>5</v>
      </c>
      <c r="M43" s="355">
        <v>5</v>
      </c>
      <c r="N43" s="356">
        <v>5</v>
      </c>
      <c r="O43" s="356">
        <v>5</v>
      </c>
      <c r="P43" s="360">
        <v>5</v>
      </c>
      <c r="Q43" s="355">
        <v>5</v>
      </c>
      <c r="R43" s="355">
        <v>5</v>
      </c>
      <c r="S43" s="356">
        <v>5</v>
      </c>
      <c r="T43" s="2887">
        <v>5</v>
      </c>
      <c r="U43" s="356">
        <v>5</v>
      </c>
      <c r="V43" s="356">
        <v>5</v>
      </c>
      <c r="W43" s="356">
        <v>5</v>
      </c>
      <c r="X43" s="356">
        <v>5</v>
      </c>
      <c r="Y43" s="356">
        <v>5</v>
      </c>
      <c r="Z43" s="356">
        <v>6</v>
      </c>
      <c r="AA43" s="356">
        <v>6</v>
      </c>
      <c r="AB43" s="356">
        <v>6</v>
      </c>
      <c r="AC43" s="356">
        <v>6</v>
      </c>
      <c r="AD43" s="356">
        <v>6</v>
      </c>
      <c r="AE43" s="356">
        <v>6</v>
      </c>
    </row>
    <row r="44" spans="1:31" ht="15" customHeight="1">
      <c r="A44" s="116"/>
      <c r="B44" s="264" t="s">
        <v>183</v>
      </c>
      <c r="C44" s="243"/>
      <c r="D44" s="243"/>
      <c r="E44" s="243"/>
      <c r="F44" s="372">
        <v>7.2</v>
      </c>
      <c r="G44" s="314">
        <v>6.95</v>
      </c>
      <c r="H44" s="442">
        <v>6.35</v>
      </c>
      <c r="I44" s="442">
        <v>6.7</v>
      </c>
      <c r="J44" s="892">
        <v>7.13</v>
      </c>
      <c r="K44" s="938">
        <v>7.03</v>
      </c>
      <c r="L44" s="956">
        <v>6.55</v>
      </c>
      <c r="M44" s="1639">
        <v>7.87</v>
      </c>
      <c r="N44" s="894">
        <v>6.6</v>
      </c>
      <c r="O44" s="49">
        <f t="shared" ref="O44:O53" si="19">AVERAGE(K44:N44)</f>
        <v>7.0124999999999993</v>
      </c>
      <c r="P44" s="936">
        <v>6.93</v>
      </c>
      <c r="Q44" s="692">
        <v>6.66</v>
      </c>
      <c r="R44" s="692">
        <v>7</v>
      </c>
      <c r="S44" s="898">
        <v>7.1</v>
      </c>
      <c r="T44" s="869">
        <v>6.63</v>
      </c>
      <c r="U44" s="7">
        <v>5.97</v>
      </c>
      <c r="V44" s="869">
        <v>6.17</v>
      </c>
      <c r="W44" s="869"/>
      <c r="X44" s="869">
        <v>6.27</v>
      </c>
      <c r="Y44" s="869">
        <v>6.07</v>
      </c>
      <c r="Z44" s="869">
        <v>6.3</v>
      </c>
      <c r="AA44" s="869">
        <v>5.9</v>
      </c>
      <c r="AB44" s="869">
        <v>6.46</v>
      </c>
      <c r="AC44" s="869"/>
      <c r="AD44" s="869"/>
      <c r="AE44" s="869"/>
    </row>
    <row r="45" spans="1:31" ht="15" customHeight="1">
      <c r="A45" s="121"/>
      <c r="B45" s="3101" t="s">
        <v>140</v>
      </c>
      <c r="C45" s="443"/>
      <c r="D45" s="60"/>
      <c r="E45" s="60"/>
      <c r="F45" s="373">
        <v>4.7</v>
      </c>
      <c r="G45" s="375">
        <v>2.4500000000000002</v>
      </c>
      <c r="H45" s="444">
        <v>5.2</v>
      </c>
      <c r="I45" s="444">
        <v>2.7</v>
      </c>
      <c r="J45" s="887">
        <v>9</v>
      </c>
      <c r="K45" s="939">
        <v>5.0999999999999996</v>
      </c>
      <c r="L45" s="951">
        <v>5.25</v>
      </c>
      <c r="M45" s="1642">
        <v>6.3</v>
      </c>
      <c r="N45" s="876">
        <v>7.33</v>
      </c>
      <c r="O45" s="49">
        <f t="shared" si="19"/>
        <v>5.9949999999999992</v>
      </c>
      <c r="P45" s="921">
        <v>3.7</v>
      </c>
      <c r="Q45" s="869">
        <v>9.6999999999999993</v>
      </c>
      <c r="R45" s="869">
        <v>4.76</v>
      </c>
      <c r="S45" s="2886">
        <v>6.3</v>
      </c>
      <c r="T45" s="869">
        <v>1.73</v>
      </c>
      <c r="U45" s="7">
        <v>1.2</v>
      </c>
      <c r="V45" s="869">
        <v>3.5</v>
      </c>
      <c r="W45" s="869"/>
      <c r="X45" s="869">
        <v>4.63</v>
      </c>
      <c r="Y45" s="869">
        <v>3.1</v>
      </c>
      <c r="Z45" s="869">
        <v>4</v>
      </c>
      <c r="AA45" s="869">
        <v>3.4</v>
      </c>
      <c r="AB45" s="869">
        <v>3.93</v>
      </c>
      <c r="AC45" s="869"/>
      <c r="AD45" s="869"/>
      <c r="AE45" s="869"/>
    </row>
    <row r="46" spans="1:31" ht="15" customHeight="1">
      <c r="A46" s="121"/>
      <c r="B46" s="250" t="s">
        <v>182</v>
      </c>
      <c r="C46" s="60"/>
      <c r="D46" s="60"/>
      <c r="E46" s="60"/>
      <c r="F46" s="373">
        <v>6.63</v>
      </c>
      <c r="G46" s="315">
        <v>6.95</v>
      </c>
      <c r="H46" s="444">
        <v>6.15</v>
      </c>
      <c r="I46" s="444">
        <v>6.6</v>
      </c>
      <c r="J46" s="887">
        <v>7.43</v>
      </c>
      <c r="K46" s="940">
        <v>6.56</v>
      </c>
      <c r="L46" s="877">
        <v>5.6</v>
      </c>
      <c r="M46" s="1643">
        <v>8.1</v>
      </c>
      <c r="N46" s="876"/>
      <c r="O46" s="49">
        <f t="shared" si="19"/>
        <v>6.753333333333333</v>
      </c>
      <c r="P46" s="921">
        <v>6.5</v>
      </c>
      <c r="Q46" s="869">
        <v>6.23</v>
      </c>
      <c r="R46" s="869">
        <v>6.96</v>
      </c>
      <c r="S46" s="2886">
        <v>7.1</v>
      </c>
      <c r="T46" s="869">
        <v>6.53</v>
      </c>
      <c r="U46" s="7">
        <v>6.1</v>
      </c>
      <c r="V46" s="869">
        <v>6.23</v>
      </c>
      <c r="W46" s="869"/>
      <c r="X46" s="869">
        <v>6.46</v>
      </c>
      <c r="Y46" s="869">
        <v>6.07</v>
      </c>
      <c r="Z46" s="869">
        <v>6.17</v>
      </c>
      <c r="AA46" s="869">
        <v>6.3</v>
      </c>
      <c r="AB46" s="869">
        <v>6.56</v>
      </c>
      <c r="AC46" s="869"/>
      <c r="AD46" s="869"/>
      <c r="AE46" s="869"/>
    </row>
    <row r="47" spans="1:31" ht="15" customHeight="1">
      <c r="A47" s="121"/>
      <c r="B47" s="202" t="s">
        <v>142</v>
      </c>
      <c r="C47" s="443"/>
      <c r="D47" s="60"/>
      <c r="E47" s="60"/>
      <c r="F47" s="373">
        <v>6.5</v>
      </c>
      <c r="G47" s="375">
        <v>6.75</v>
      </c>
      <c r="H47" s="444">
        <v>6.1</v>
      </c>
      <c r="I47" s="444">
        <v>6.5</v>
      </c>
      <c r="J47" s="887">
        <v>6.7</v>
      </c>
      <c r="K47" s="921">
        <v>7</v>
      </c>
      <c r="L47" s="877">
        <v>6.25</v>
      </c>
      <c r="M47" s="1644">
        <v>7.73</v>
      </c>
      <c r="N47" s="876">
        <v>6.97</v>
      </c>
      <c r="O47" s="49">
        <f t="shared" si="19"/>
        <v>6.9874999999999998</v>
      </c>
      <c r="P47" s="921">
        <v>7.1</v>
      </c>
      <c r="Q47" s="869">
        <v>6.36</v>
      </c>
      <c r="R47" s="869">
        <v>6.83</v>
      </c>
      <c r="S47" s="2886">
        <v>7.3</v>
      </c>
      <c r="T47" s="869">
        <v>6.73</v>
      </c>
      <c r="U47" s="7">
        <v>6.4</v>
      </c>
      <c r="V47" s="869">
        <v>6.43</v>
      </c>
      <c r="W47" s="869"/>
      <c r="X47" s="869">
        <v>4.47</v>
      </c>
      <c r="Y47" s="869">
        <v>6.13</v>
      </c>
      <c r="Z47" s="869">
        <v>6.27</v>
      </c>
      <c r="AA47" s="869">
        <v>6.2</v>
      </c>
      <c r="AB47" s="869">
        <v>6.4</v>
      </c>
      <c r="AC47" s="869"/>
      <c r="AD47" s="869"/>
      <c r="AE47" s="869"/>
    </row>
    <row r="48" spans="1:31" ht="15" customHeight="1">
      <c r="A48" s="121"/>
      <c r="B48" s="202" t="s">
        <v>141</v>
      </c>
      <c r="C48" s="443"/>
      <c r="D48" s="60"/>
      <c r="E48" s="60"/>
      <c r="F48" s="373">
        <v>6.46</v>
      </c>
      <c r="G48" s="375">
        <v>6.95</v>
      </c>
      <c r="H48" s="444">
        <v>6.25</v>
      </c>
      <c r="I48" s="444">
        <v>6.5</v>
      </c>
      <c r="J48" s="887">
        <v>6.66</v>
      </c>
      <c r="K48" s="931">
        <v>7.2</v>
      </c>
      <c r="L48" s="954">
        <v>6.45</v>
      </c>
      <c r="M48" s="1645">
        <v>7.83</v>
      </c>
      <c r="N48" s="319">
        <v>6.8</v>
      </c>
      <c r="O48" s="49">
        <f t="shared" si="19"/>
        <v>7.07</v>
      </c>
      <c r="P48" s="931">
        <v>7</v>
      </c>
      <c r="Q48" s="304">
        <v>6.43</v>
      </c>
      <c r="R48" s="304">
        <v>6.6</v>
      </c>
      <c r="S48" s="381">
        <v>6.9</v>
      </c>
      <c r="T48" s="869">
        <v>6.87</v>
      </c>
      <c r="U48" s="7">
        <v>6.37</v>
      </c>
      <c r="V48" s="869">
        <v>6.4</v>
      </c>
      <c r="W48" s="304"/>
      <c r="X48" s="1577">
        <v>6.83</v>
      </c>
      <c r="Y48" s="869">
        <v>5.97</v>
      </c>
      <c r="Z48" s="869">
        <v>6.4</v>
      </c>
      <c r="AA48" s="869">
        <v>6.1</v>
      </c>
      <c r="AB48" s="1577">
        <v>6.33</v>
      </c>
      <c r="AC48" s="869"/>
      <c r="AD48" s="869"/>
      <c r="AE48" s="869"/>
    </row>
    <row r="49" spans="1:31" ht="15" customHeight="1">
      <c r="A49" s="121"/>
      <c r="B49" s="202" t="s">
        <v>147</v>
      </c>
      <c r="C49" s="443"/>
      <c r="D49" s="60"/>
      <c r="E49" s="60"/>
      <c r="F49" s="373">
        <v>5.83</v>
      </c>
      <c r="G49" s="375">
        <v>6.6</v>
      </c>
      <c r="H49" s="444">
        <v>5.65</v>
      </c>
      <c r="I49" s="444">
        <v>6.6</v>
      </c>
      <c r="J49" s="887">
        <v>6.46</v>
      </c>
      <c r="K49" s="931">
        <v>6.63</v>
      </c>
      <c r="L49" s="952">
        <v>5.9</v>
      </c>
      <c r="M49" s="1645">
        <v>7.7</v>
      </c>
      <c r="N49" s="319">
        <v>6.2</v>
      </c>
      <c r="O49" s="49">
        <f t="shared" si="19"/>
        <v>6.6074999999999999</v>
      </c>
      <c r="P49" s="931">
        <v>6.9</v>
      </c>
      <c r="Q49" s="304">
        <v>6.5</v>
      </c>
      <c r="R49" s="304">
        <v>6.86</v>
      </c>
      <c r="S49" s="381">
        <v>6.6</v>
      </c>
      <c r="T49" s="869">
        <v>6.4</v>
      </c>
      <c r="U49" s="7">
        <v>6.2</v>
      </c>
      <c r="V49" s="304">
        <v>6.1</v>
      </c>
      <c r="W49" s="304"/>
      <c r="X49" s="304">
        <v>5.93</v>
      </c>
      <c r="Y49" s="869">
        <v>5.8</v>
      </c>
      <c r="Z49" s="869">
        <v>6.07</v>
      </c>
      <c r="AA49" s="869">
        <v>6.47</v>
      </c>
      <c r="AB49" s="304">
        <v>6.26</v>
      </c>
      <c r="AC49" s="869"/>
      <c r="AD49" s="869"/>
      <c r="AE49" s="869"/>
    </row>
    <row r="50" spans="1:31" ht="15" customHeight="1">
      <c r="A50" s="121"/>
      <c r="B50" s="202" t="s">
        <v>146</v>
      </c>
      <c r="C50" s="443"/>
      <c r="D50" s="60"/>
      <c r="E50" s="60"/>
      <c r="F50" s="373">
        <v>6.26</v>
      </c>
      <c r="G50" s="375">
        <v>7</v>
      </c>
      <c r="H50" s="444">
        <v>5.95</v>
      </c>
      <c r="I50" s="444">
        <v>6.4</v>
      </c>
      <c r="J50" s="887">
        <v>6.76</v>
      </c>
      <c r="K50" s="931">
        <v>6.43</v>
      </c>
      <c r="L50" s="952">
        <v>6.55</v>
      </c>
      <c r="M50" s="1645">
        <v>7.63</v>
      </c>
      <c r="N50" s="319">
        <v>6.8</v>
      </c>
      <c r="O50" s="49">
        <f t="shared" si="19"/>
        <v>6.8525</v>
      </c>
      <c r="P50" s="931">
        <v>6.37</v>
      </c>
      <c r="Q50" s="304">
        <v>6.26</v>
      </c>
      <c r="R50" s="304">
        <v>7.03</v>
      </c>
      <c r="S50" s="381">
        <v>7</v>
      </c>
      <c r="T50" s="869">
        <v>6.43</v>
      </c>
      <c r="U50" s="7">
        <v>6.23</v>
      </c>
      <c r="V50" s="304">
        <v>6.23</v>
      </c>
      <c r="W50" s="304"/>
      <c r="X50" s="304">
        <v>6.07</v>
      </c>
      <c r="Y50" s="869">
        <v>5.63</v>
      </c>
      <c r="Z50" s="869">
        <v>6.17</v>
      </c>
      <c r="AA50" s="869">
        <v>6.73</v>
      </c>
      <c r="AB50" s="304">
        <v>6.5</v>
      </c>
      <c r="AC50" s="869"/>
      <c r="AD50" s="869"/>
      <c r="AE50" s="869"/>
    </row>
    <row r="51" spans="1:31" ht="15" customHeight="1">
      <c r="A51" s="121"/>
      <c r="B51" s="202" t="s">
        <v>145</v>
      </c>
      <c r="C51" s="443"/>
      <c r="D51" s="60"/>
      <c r="E51" s="60"/>
      <c r="F51" s="373">
        <v>6.2</v>
      </c>
      <c r="G51" s="375">
        <v>6.65</v>
      </c>
      <c r="H51" s="444">
        <v>6</v>
      </c>
      <c r="I51" s="444">
        <v>6.8</v>
      </c>
      <c r="J51" s="890">
        <v>6.16</v>
      </c>
      <c r="K51" s="931">
        <v>7.06</v>
      </c>
      <c r="L51" s="952">
        <v>7.4</v>
      </c>
      <c r="M51" s="1645">
        <v>7.75</v>
      </c>
      <c r="N51" s="319">
        <v>5.97</v>
      </c>
      <c r="O51" s="49">
        <f t="shared" si="19"/>
        <v>7.0449999999999999</v>
      </c>
      <c r="P51" s="931">
        <v>7</v>
      </c>
      <c r="Q51" s="304">
        <v>7.3</v>
      </c>
      <c r="R51" s="304">
        <v>6.66</v>
      </c>
      <c r="S51" s="381">
        <v>7</v>
      </c>
      <c r="T51" s="869">
        <v>7.13</v>
      </c>
      <c r="U51" s="7">
        <v>6.17</v>
      </c>
      <c r="V51" s="304">
        <v>5.57</v>
      </c>
      <c r="W51" s="304"/>
      <c r="X51" s="304">
        <v>6</v>
      </c>
      <c r="Y51" s="869">
        <v>5.95</v>
      </c>
      <c r="Z51" s="869">
        <v>6.4</v>
      </c>
      <c r="AA51" s="869">
        <v>6.2</v>
      </c>
      <c r="AB51" s="304" t="s">
        <v>336</v>
      </c>
      <c r="AC51" s="869"/>
      <c r="AD51" s="869"/>
      <c r="AE51" s="869"/>
    </row>
    <row r="52" spans="1:31" ht="15" customHeight="1">
      <c r="A52" s="121"/>
      <c r="B52" s="202" t="s">
        <v>144</v>
      </c>
      <c r="C52" s="443"/>
      <c r="D52" s="60"/>
      <c r="E52" s="60"/>
      <c r="F52" s="373">
        <v>6.06</v>
      </c>
      <c r="G52" s="375">
        <v>7.4</v>
      </c>
      <c r="H52" s="444">
        <v>5.35</v>
      </c>
      <c r="I52" s="444">
        <v>6.7</v>
      </c>
      <c r="J52" s="890">
        <v>6.13</v>
      </c>
      <c r="K52" s="931">
        <v>7.63</v>
      </c>
      <c r="L52" s="952">
        <v>5.95</v>
      </c>
      <c r="M52" s="1645">
        <v>8.0299999999999994</v>
      </c>
      <c r="N52" s="319">
        <v>6.13</v>
      </c>
      <c r="O52" s="49">
        <f t="shared" si="19"/>
        <v>6.9349999999999996</v>
      </c>
      <c r="P52" s="931">
        <v>7.5</v>
      </c>
      <c r="Q52" s="304">
        <v>5.96</v>
      </c>
      <c r="R52" s="304">
        <v>7</v>
      </c>
      <c r="S52" s="381">
        <v>6.13</v>
      </c>
      <c r="T52" s="869">
        <v>7.37</v>
      </c>
      <c r="U52" s="7">
        <v>5.87</v>
      </c>
      <c r="V52" s="304">
        <v>5.8</v>
      </c>
      <c r="W52" s="304"/>
      <c r="X52" s="304">
        <v>5.77</v>
      </c>
      <c r="Y52" s="869">
        <v>6.17</v>
      </c>
      <c r="Z52" s="869">
        <v>6.05</v>
      </c>
      <c r="AA52" s="869">
        <v>6.07</v>
      </c>
      <c r="AB52" s="304">
        <v>5.66</v>
      </c>
      <c r="AC52" s="869"/>
      <c r="AD52" s="869"/>
      <c r="AE52" s="869"/>
    </row>
    <row r="53" spans="1:31" ht="15" customHeight="1" thickBot="1">
      <c r="A53" s="121"/>
      <c r="B53" s="202" t="s">
        <v>143</v>
      </c>
      <c r="C53" s="443"/>
      <c r="D53" s="60"/>
      <c r="E53" s="60"/>
      <c r="F53" s="373">
        <v>6.8</v>
      </c>
      <c r="G53" s="375">
        <v>6.7</v>
      </c>
      <c r="H53" s="444">
        <v>6.1</v>
      </c>
      <c r="I53" s="444">
        <v>6.7</v>
      </c>
      <c r="J53" s="890">
        <v>7.06</v>
      </c>
      <c r="K53" s="932">
        <v>7.36</v>
      </c>
      <c r="L53" s="955">
        <v>6.55</v>
      </c>
      <c r="M53" s="1646">
        <v>6.77</v>
      </c>
      <c r="N53" s="322">
        <v>6.43</v>
      </c>
      <c r="O53" s="49">
        <f t="shared" si="19"/>
        <v>6.7774999999999999</v>
      </c>
      <c r="P53" s="932">
        <v>6.77</v>
      </c>
      <c r="Q53" s="321">
        <v>6.8</v>
      </c>
      <c r="R53" s="321">
        <v>5.66</v>
      </c>
      <c r="S53" s="382">
        <v>7.2</v>
      </c>
      <c r="T53" s="869">
        <v>6.67</v>
      </c>
      <c r="U53" s="7">
        <v>6.33</v>
      </c>
      <c r="V53" s="304">
        <v>6.37</v>
      </c>
      <c r="W53" s="304"/>
      <c r="X53" s="304">
        <v>4.17</v>
      </c>
      <c r="Y53" s="869">
        <v>6.3</v>
      </c>
      <c r="Z53" s="869">
        <v>6.37</v>
      </c>
      <c r="AA53" s="869">
        <v>6.17</v>
      </c>
      <c r="AB53" s="304">
        <v>6.5</v>
      </c>
      <c r="AC53" s="869"/>
      <c r="AD53" s="869"/>
      <c r="AE53" s="869"/>
    </row>
    <row r="54" spans="1:31" s="1040" customFormat="1" ht="15" customHeight="1">
      <c r="A54" s="207"/>
      <c r="B54" s="207" t="s">
        <v>285</v>
      </c>
      <c r="C54" s="245">
        <f>COUNTIF(C44:C53,"&gt;=5")</f>
        <v>0</v>
      </c>
      <c r="D54" s="245">
        <f t="shared" ref="D54:K54" si="20">COUNTIF(D44:D53,"&gt;=5")</f>
        <v>0</v>
      </c>
      <c r="E54" s="245">
        <f t="shared" si="20"/>
        <v>0</v>
      </c>
      <c r="F54" s="245">
        <f>COUNTIF(F44:F53,"&gt;=5")</f>
        <v>9</v>
      </c>
      <c r="G54" s="245">
        <f t="shared" si="20"/>
        <v>9</v>
      </c>
      <c r="H54" s="245">
        <f>COUNTIF(H44:H53,"&gt;=5")</f>
        <v>10</v>
      </c>
      <c r="I54" s="245">
        <f t="shared" si="20"/>
        <v>9</v>
      </c>
      <c r="J54" s="245">
        <f>COUNTIF(J44:J53,"&gt;=5")</f>
        <v>10</v>
      </c>
      <c r="K54" s="245">
        <f t="shared" si="20"/>
        <v>10</v>
      </c>
      <c r="L54" s="245">
        <f>COUNTIF(L44:L53,"&gt;=5")</f>
        <v>10</v>
      </c>
      <c r="M54" s="245">
        <f>COUNTIF(M44:M53,"&gt;=5")</f>
        <v>10</v>
      </c>
      <c r="N54" s="245">
        <f t="shared" ref="N54:Y54" si="21">COUNTIF(N44:N53,"&gt;=5")</f>
        <v>9</v>
      </c>
      <c r="O54" s="245">
        <f t="shared" si="21"/>
        <v>10</v>
      </c>
      <c r="P54" s="245">
        <f t="shared" si="21"/>
        <v>9</v>
      </c>
      <c r="Q54" s="245">
        <f t="shared" si="21"/>
        <v>10</v>
      </c>
      <c r="R54" s="245">
        <f t="shared" si="21"/>
        <v>9</v>
      </c>
      <c r="S54" s="245">
        <f t="shared" si="21"/>
        <v>10</v>
      </c>
      <c r="T54" s="245">
        <f t="shared" si="21"/>
        <v>9</v>
      </c>
      <c r="U54" s="245">
        <f t="shared" si="21"/>
        <v>9</v>
      </c>
      <c r="V54" s="245">
        <f t="shared" si="21"/>
        <v>9</v>
      </c>
      <c r="W54" s="245">
        <f t="shared" si="21"/>
        <v>0</v>
      </c>
      <c r="X54" s="245">
        <f t="shared" si="21"/>
        <v>7</v>
      </c>
      <c r="Y54" s="245">
        <f t="shared" si="21"/>
        <v>9</v>
      </c>
      <c r="Z54" s="245">
        <f>COUNTIF(Z44:Z53,"&gt;=6")</f>
        <v>9</v>
      </c>
      <c r="AA54" s="245">
        <f>COUNTIF(AA44:AA53,"&gt;=6")</f>
        <v>8</v>
      </c>
      <c r="AB54" s="245">
        <f t="shared" ref="AB54:AC54" si="22">COUNTIF(AB44:AB53,"&gt;=5")</f>
        <v>8</v>
      </c>
      <c r="AC54" s="245">
        <f t="shared" si="22"/>
        <v>0</v>
      </c>
      <c r="AD54" s="245">
        <f>COUNTIF(AD44:AD53,"&gt;=6")</f>
        <v>0</v>
      </c>
      <c r="AE54" s="245">
        <f>COUNTIF(AE44:AE53,"&gt;=6")</f>
        <v>0</v>
      </c>
    </row>
    <row r="55" spans="1:31" s="1040" customFormat="1" ht="15" customHeight="1">
      <c r="A55" s="207"/>
      <c r="B55" s="207" t="s">
        <v>287</v>
      </c>
      <c r="C55" s="245">
        <f>COUNTA(C44:C53)</f>
        <v>0</v>
      </c>
      <c r="D55" s="245">
        <f t="shared" ref="D55:L55" si="23">COUNTA(D44:D53)</f>
        <v>0</v>
      </c>
      <c r="E55" s="245">
        <f t="shared" si="23"/>
        <v>0</v>
      </c>
      <c r="F55" s="245">
        <f t="shared" si="23"/>
        <v>10</v>
      </c>
      <c r="G55" s="245">
        <f t="shared" si="23"/>
        <v>10</v>
      </c>
      <c r="H55" s="245">
        <f t="shared" si="23"/>
        <v>10</v>
      </c>
      <c r="I55" s="245">
        <f t="shared" si="23"/>
        <v>10</v>
      </c>
      <c r="J55" s="245">
        <f t="shared" si="23"/>
        <v>10</v>
      </c>
      <c r="K55" s="245">
        <f t="shared" si="23"/>
        <v>10</v>
      </c>
      <c r="L55" s="245">
        <f t="shared" si="23"/>
        <v>10</v>
      </c>
      <c r="M55" s="245">
        <f t="shared" ref="M55:Y55" si="24">COUNTA(M44:M53)</f>
        <v>10</v>
      </c>
      <c r="N55" s="245">
        <f t="shared" si="24"/>
        <v>9</v>
      </c>
      <c r="O55" s="245">
        <f t="shared" si="24"/>
        <v>10</v>
      </c>
      <c r="P55" s="245">
        <f t="shared" si="24"/>
        <v>10</v>
      </c>
      <c r="Q55" s="245">
        <f t="shared" si="24"/>
        <v>10</v>
      </c>
      <c r="R55" s="245">
        <f t="shared" si="24"/>
        <v>10</v>
      </c>
      <c r="S55" s="245">
        <f t="shared" si="24"/>
        <v>10</v>
      </c>
      <c r="T55" s="245">
        <f t="shared" si="24"/>
        <v>10</v>
      </c>
      <c r="U55" s="245">
        <f t="shared" si="24"/>
        <v>10</v>
      </c>
      <c r="V55" s="245">
        <f t="shared" si="24"/>
        <v>10</v>
      </c>
      <c r="W55" s="245">
        <f t="shared" si="24"/>
        <v>0</v>
      </c>
      <c r="X55" s="245">
        <f t="shared" si="24"/>
        <v>10</v>
      </c>
      <c r="Y55" s="245">
        <f t="shared" si="24"/>
        <v>10</v>
      </c>
      <c r="Z55" s="245">
        <f t="shared" ref="Z55:AC55" si="25">COUNTA(Z44:Z53)</f>
        <v>10</v>
      </c>
      <c r="AA55" s="245">
        <f t="shared" si="25"/>
        <v>10</v>
      </c>
      <c r="AB55" s="245">
        <f t="shared" si="25"/>
        <v>10</v>
      </c>
      <c r="AC55" s="245">
        <f t="shared" si="25"/>
        <v>0</v>
      </c>
      <c r="AD55" s="245">
        <f t="shared" ref="AD55:AE55" si="26">COUNTA(AD44:AD53)</f>
        <v>0</v>
      </c>
      <c r="AE55" s="245">
        <f t="shared" si="26"/>
        <v>0</v>
      </c>
    </row>
    <row r="56" spans="1:31" s="1040" customFormat="1" ht="15" customHeight="1">
      <c r="A56" s="207"/>
      <c r="B56" s="207" t="s">
        <v>202</v>
      </c>
      <c r="C56" s="1054" t="e">
        <f t="shared" ref="C56:L56" si="27">C54/C55</f>
        <v>#DIV/0!</v>
      </c>
      <c r="D56" s="1054" t="e">
        <f t="shared" si="27"/>
        <v>#DIV/0!</v>
      </c>
      <c r="E56" s="1054" t="e">
        <f t="shared" si="27"/>
        <v>#DIV/0!</v>
      </c>
      <c r="F56" s="1054">
        <f t="shared" si="27"/>
        <v>0.9</v>
      </c>
      <c r="G56" s="1054">
        <f t="shared" si="27"/>
        <v>0.9</v>
      </c>
      <c r="H56" s="1054">
        <f t="shared" si="27"/>
        <v>1</v>
      </c>
      <c r="I56" s="1054">
        <f t="shared" si="27"/>
        <v>0.9</v>
      </c>
      <c r="J56" s="1054">
        <f t="shared" si="27"/>
        <v>1</v>
      </c>
      <c r="K56" s="1054">
        <f t="shared" si="27"/>
        <v>1</v>
      </c>
      <c r="L56" s="1054">
        <f t="shared" si="27"/>
        <v>1</v>
      </c>
      <c r="M56" s="1054">
        <f t="shared" ref="M56:Y56" si="28">M54/M55</f>
        <v>1</v>
      </c>
      <c r="N56" s="1054">
        <f t="shared" si="28"/>
        <v>1</v>
      </c>
      <c r="O56" s="1054">
        <f t="shared" si="28"/>
        <v>1</v>
      </c>
      <c r="P56" s="1054">
        <f t="shared" si="28"/>
        <v>0.9</v>
      </c>
      <c r="Q56" s="1054">
        <f t="shared" si="28"/>
        <v>1</v>
      </c>
      <c r="R56" s="1054">
        <f t="shared" si="28"/>
        <v>0.9</v>
      </c>
      <c r="S56" s="1054">
        <f t="shared" si="28"/>
        <v>1</v>
      </c>
      <c r="T56" s="1054">
        <f t="shared" si="28"/>
        <v>0.9</v>
      </c>
      <c r="U56" s="1054">
        <f t="shared" si="28"/>
        <v>0.9</v>
      </c>
      <c r="V56" s="1054">
        <f t="shared" si="28"/>
        <v>0.9</v>
      </c>
      <c r="W56" s="1054" t="e">
        <f t="shared" si="28"/>
        <v>#DIV/0!</v>
      </c>
      <c r="X56" s="1054">
        <f t="shared" si="28"/>
        <v>0.7</v>
      </c>
      <c r="Y56" s="1054">
        <f t="shared" si="28"/>
        <v>0.9</v>
      </c>
      <c r="Z56" s="1054">
        <f t="shared" ref="Z56:AC56" si="29">Z54/Z55</f>
        <v>0.9</v>
      </c>
      <c r="AA56" s="1054">
        <f t="shared" si="29"/>
        <v>0.8</v>
      </c>
      <c r="AB56" s="1054">
        <f t="shared" si="29"/>
        <v>0.8</v>
      </c>
      <c r="AC56" s="1054" t="e">
        <f t="shared" si="29"/>
        <v>#DIV/0!</v>
      </c>
      <c r="AD56" s="1054" t="e">
        <f t="shared" ref="AD56:AE56" si="30">AD54/AD55</f>
        <v>#DIV/0!</v>
      </c>
      <c r="AE56" s="1054" t="e">
        <f t="shared" si="30"/>
        <v>#DIV/0!</v>
      </c>
    </row>
    <row r="57" spans="1:31" s="1040" customFormat="1" ht="15" customHeight="1">
      <c r="A57" s="207"/>
      <c r="B57" s="1055" t="s">
        <v>299</v>
      </c>
      <c r="C57" s="245">
        <f>COUNTA(B44:B53)</f>
        <v>10</v>
      </c>
      <c r="D57" s="1054"/>
      <c r="E57" s="1054"/>
      <c r="F57" s="1054"/>
      <c r="G57" s="1054"/>
      <c r="H57" s="1054"/>
      <c r="I57" s="1054"/>
      <c r="J57" s="1054"/>
      <c r="K57" s="1054"/>
      <c r="L57" s="1054"/>
      <c r="M57" s="1054"/>
      <c r="N57" s="107"/>
      <c r="O57" s="107"/>
      <c r="P57" s="767"/>
      <c r="T57" s="2874"/>
      <c r="U57" s="2874"/>
      <c r="V57" s="2874"/>
      <c r="W57" s="2874"/>
    </row>
    <row r="58" spans="1:31" s="4" customFormat="1" ht="15" customHeight="1">
      <c r="A58" s="1070" t="s">
        <v>291</v>
      </c>
      <c r="B58" s="1070" t="s">
        <v>285</v>
      </c>
      <c r="C58" s="1066">
        <f>SUM(C21,C36,C54)</f>
        <v>0</v>
      </c>
      <c r="D58" s="1066">
        <f t="shared" ref="D58:Y58" si="31">SUM(D21,D36,D54)</f>
        <v>0</v>
      </c>
      <c r="E58" s="1066">
        <f t="shared" si="31"/>
        <v>0</v>
      </c>
      <c r="F58" s="1066">
        <f t="shared" si="31"/>
        <v>13</v>
      </c>
      <c r="G58" s="1066">
        <f t="shared" si="31"/>
        <v>14</v>
      </c>
      <c r="H58" s="1066">
        <f t="shared" si="31"/>
        <v>17</v>
      </c>
      <c r="I58" s="1066">
        <f t="shared" si="31"/>
        <v>15</v>
      </c>
      <c r="J58" s="1066">
        <f t="shared" si="31"/>
        <v>14</v>
      </c>
      <c r="K58" s="1066">
        <f t="shared" si="31"/>
        <v>11</v>
      </c>
      <c r="L58" s="1066">
        <f>SUM(L21,L36,L54)</f>
        <v>13</v>
      </c>
      <c r="M58" s="1066">
        <f t="shared" si="31"/>
        <v>15</v>
      </c>
      <c r="N58" s="1066">
        <f t="shared" si="31"/>
        <v>13</v>
      </c>
      <c r="O58" s="1066">
        <f t="shared" si="31"/>
        <v>14</v>
      </c>
      <c r="P58" s="1066">
        <f t="shared" si="31"/>
        <v>11</v>
      </c>
      <c r="Q58" s="1066">
        <f t="shared" si="31"/>
        <v>15</v>
      </c>
      <c r="R58" s="1066">
        <f t="shared" si="31"/>
        <v>9</v>
      </c>
      <c r="S58" s="1066">
        <f t="shared" si="31"/>
        <v>10</v>
      </c>
      <c r="T58" s="1066">
        <f t="shared" si="31"/>
        <v>9</v>
      </c>
      <c r="U58" s="1066">
        <f t="shared" si="31"/>
        <v>9</v>
      </c>
      <c r="V58" s="1066">
        <f t="shared" si="31"/>
        <v>9</v>
      </c>
      <c r="W58" s="1066">
        <f t="shared" si="31"/>
        <v>0</v>
      </c>
      <c r="X58" s="1066">
        <f t="shared" si="31"/>
        <v>7</v>
      </c>
      <c r="Y58" s="1066">
        <f t="shared" si="31"/>
        <v>9</v>
      </c>
      <c r="Z58" s="1066">
        <f t="shared" ref="Z58:AA58" si="32">SUM(Z21,Z36,Z54)</f>
        <v>9</v>
      </c>
      <c r="AA58" s="1066">
        <f t="shared" si="32"/>
        <v>10</v>
      </c>
      <c r="AB58" s="1066">
        <f t="shared" ref="AB58:AE58" si="33">SUM(AB21,AB36,AB54)</f>
        <v>12</v>
      </c>
      <c r="AC58" s="1066">
        <f t="shared" si="33"/>
        <v>0</v>
      </c>
      <c r="AD58" s="1066">
        <f t="shared" si="33"/>
        <v>0</v>
      </c>
      <c r="AE58" s="1066">
        <f t="shared" si="33"/>
        <v>0</v>
      </c>
    </row>
    <row r="59" spans="1:31" s="4" customFormat="1" ht="15" customHeight="1">
      <c r="A59" s="1072"/>
      <c r="B59" s="1070" t="s">
        <v>287</v>
      </c>
      <c r="C59" s="1066">
        <f>SUM(C22,C37,C55)</f>
        <v>0</v>
      </c>
      <c r="D59" s="1066">
        <f t="shared" ref="D59:M59" si="34">SUM(D22,D37,D55)</f>
        <v>0</v>
      </c>
      <c r="E59" s="1066">
        <f t="shared" si="34"/>
        <v>0</v>
      </c>
      <c r="F59" s="1066">
        <f t="shared" si="34"/>
        <v>14</v>
      </c>
      <c r="G59" s="1066">
        <f t="shared" si="34"/>
        <v>16</v>
      </c>
      <c r="H59" s="1066">
        <f t="shared" si="34"/>
        <v>19</v>
      </c>
      <c r="I59" s="1066">
        <f t="shared" si="34"/>
        <v>19</v>
      </c>
      <c r="J59" s="1066">
        <f t="shared" si="34"/>
        <v>19</v>
      </c>
      <c r="K59" s="1066">
        <f t="shared" si="34"/>
        <v>19</v>
      </c>
      <c r="L59" s="1066">
        <f t="shared" si="34"/>
        <v>19</v>
      </c>
      <c r="M59" s="1066">
        <f t="shared" si="34"/>
        <v>19</v>
      </c>
      <c r="N59" s="1066">
        <f t="shared" ref="N59:Y59" si="35">SUM(N22,N37,N55)</f>
        <v>13</v>
      </c>
      <c r="O59" s="1066">
        <f t="shared" si="35"/>
        <v>19</v>
      </c>
      <c r="P59" s="1066">
        <f t="shared" si="35"/>
        <v>19</v>
      </c>
      <c r="Q59" s="1066">
        <f t="shared" si="35"/>
        <v>19</v>
      </c>
      <c r="R59" s="1066">
        <f t="shared" si="35"/>
        <v>19</v>
      </c>
      <c r="S59" s="1066">
        <f t="shared" si="35"/>
        <v>19</v>
      </c>
      <c r="T59" s="1066">
        <f t="shared" si="35"/>
        <v>14</v>
      </c>
      <c r="U59" s="1066">
        <f t="shared" si="35"/>
        <v>19</v>
      </c>
      <c r="V59" s="1066">
        <f t="shared" si="35"/>
        <v>19</v>
      </c>
      <c r="W59" s="1066">
        <f t="shared" si="35"/>
        <v>5</v>
      </c>
      <c r="X59" s="1066">
        <f t="shared" si="35"/>
        <v>19</v>
      </c>
      <c r="Y59" s="1066">
        <f t="shared" si="35"/>
        <v>19</v>
      </c>
      <c r="Z59" s="1066">
        <f t="shared" ref="Z59:AA59" si="36">SUM(Z22,Z37,Z55)</f>
        <v>19</v>
      </c>
      <c r="AA59" s="1066">
        <f t="shared" si="36"/>
        <v>19</v>
      </c>
      <c r="AB59" s="1066">
        <f t="shared" ref="AB59:AE59" si="37">SUM(AB22,AB37,AB55)</f>
        <v>19</v>
      </c>
      <c r="AC59" s="1066">
        <f t="shared" si="37"/>
        <v>0</v>
      </c>
      <c r="AD59" s="1066">
        <f t="shared" si="37"/>
        <v>0</v>
      </c>
      <c r="AE59" s="1066">
        <f t="shared" si="37"/>
        <v>0</v>
      </c>
    </row>
    <row r="60" spans="1:31" s="4" customFormat="1" ht="15" customHeight="1">
      <c r="A60" s="1072"/>
      <c r="B60" s="1070" t="s">
        <v>202</v>
      </c>
      <c r="C60" s="1069" t="e">
        <f>C58/C59</f>
        <v>#DIV/0!</v>
      </c>
      <c r="D60" s="1069" t="e">
        <f t="shared" ref="D60:Y60" si="38">D58/D59</f>
        <v>#DIV/0!</v>
      </c>
      <c r="E60" s="1069" t="e">
        <f t="shared" si="38"/>
        <v>#DIV/0!</v>
      </c>
      <c r="F60" s="1069">
        <f t="shared" si="38"/>
        <v>0.9285714285714286</v>
      </c>
      <c r="G60" s="1069">
        <f t="shared" si="38"/>
        <v>0.875</v>
      </c>
      <c r="H60" s="1069">
        <f t="shared" si="38"/>
        <v>0.89473684210526316</v>
      </c>
      <c r="I60" s="1069">
        <f t="shared" si="38"/>
        <v>0.78947368421052633</v>
      </c>
      <c r="J60" s="1069">
        <f t="shared" si="38"/>
        <v>0.73684210526315785</v>
      </c>
      <c r="K60" s="1069">
        <f t="shared" si="38"/>
        <v>0.57894736842105265</v>
      </c>
      <c r="L60" s="1069">
        <f t="shared" si="38"/>
        <v>0.68421052631578949</v>
      </c>
      <c r="M60" s="1069">
        <f t="shared" si="38"/>
        <v>0.78947368421052633</v>
      </c>
      <c r="N60" s="1069">
        <f t="shared" si="38"/>
        <v>1</v>
      </c>
      <c r="O60" s="1069">
        <f t="shared" si="38"/>
        <v>0.73684210526315785</v>
      </c>
      <c r="P60" s="1069">
        <f t="shared" si="38"/>
        <v>0.57894736842105265</v>
      </c>
      <c r="Q60" s="1069">
        <f>Q58/Q59</f>
        <v>0.78947368421052633</v>
      </c>
      <c r="R60" s="1069">
        <f t="shared" si="38"/>
        <v>0.47368421052631576</v>
      </c>
      <c r="S60" s="1069">
        <f t="shared" si="38"/>
        <v>0.52631578947368418</v>
      </c>
      <c r="T60" s="1069">
        <f t="shared" si="38"/>
        <v>0.6428571428571429</v>
      </c>
      <c r="U60" s="1069">
        <f t="shared" si="38"/>
        <v>0.47368421052631576</v>
      </c>
      <c r="V60" s="1069">
        <f t="shared" si="38"/>
        <v>0.47368421052631576</v>
      </c>
      <c r="W60" s="1069">
        <f t="shared" si="38"/>
        <v>0</v>
      </c>
      <c r="X60" s="1069">
        <f t="shared" si="38"/>
        <v>0.36842105263157893</v>
      </c>
      <c r="Y60" s="1069">
        <f t="shared" si="38"/>
        <v>0.47368421052631576</v>
      </c>
      <c r="Z60" s="1069">
        <f t="shared" ref="Z60:AA60" si="39">Z58/Z59</f>
        <v>0.47368421052631576</v>
      </c>
      <c r="AA60" s="1069">
        <f t="shared" si="39"/>
        <v>0.52631578947368418</v>
      </c>
      <c r="AB60" s="1069">
        <f t="shared" ref="AB60:AE60" si="40">AB58/AB59</f>
        <v>0.63157894736842102</v>
      </c>
      <c r="AC60" s="1069" t="e">
        <f t="shared" si="40"/>
        <v>#DIV/0!</v>
      </c>
      <c r="AD60" s="1069" t="e">
        <f t="shared" si="40"/>
        <v>#DIV/0!</v>
      </c>
      <c r="AE60" s="1069" t="e">
        <f t="shared" si="40"/>
        <v>#DIV/0!</v>
      </c>
    </row>
    <row r="61" spans="1:31" s="4" customFormat="1" ht="15" customHeight="1">
      <c r="A61" s="1070"/>
      <c r="B61" s="1069" t="s">
        <v>295</v>
      </c>
      <c r="C61" s="1066">
        <f>SUM(C24,C39,C57)</f>
        <v>22</v>
      </c>
      <c r="D61" s="1069"/>
      <c r="E61" s="1069"/>
      <c r="F61" s="1069"/>
      <c r="G61" s="1069"/>
      <c r="H61" s="1069"/>
      <c r="I61" s="1069"/>
      <c r="J61" s="1069"/>
      <c r="K61" s="1069"/>
      <c r="L61" s="1069"/>
      <c r="M61" s="1069"/>
      <c r="N61" s="1072"/>
      <c r="O61" s="1072"/>
      <c r="P61" s="1071"/>
    </row>
    <row r="62" spans="1:31" ht="15" customHeight="1" thickBot="1">
      <c r="A62" s="116"/>
      <c r="B62" s="116"/>
      <c r="C62" s="116"/>
      <c r="D62" s="116"/>
      <c r="E62" s="116"/>
      <c r="F62" s="107"/>
      <c r="G62" s="107"/>
      <c r="H62" s="107"/>
      <c r="I62" s="120"/>
      <c r="J62" s="120"/>
      <c r="K62" s="120"/>
      <c r="L62" s="120"/>
      <c r="M62" s="120"/>
      <c r="N62" s="120"/>
      <c r="O62" s="120"/>
      <c r="P62" s="767"/>
    </row>
    <row r="63" spans="1:31" ht="15" customHeight="1" thickBot="1">
      <c r="A63" s="3722" t="s">
        <v>199</v>
      </c>
      <c r="B63" s="194"/>
      <c r="C63" s="194"/>
      <c r="D63" s="194"/>
      <c r="E63" s="194"/>
      <c r="F63" s="3650" t="s">
        <v>126</v>
      </c>
      <c r="G63" s="3650"/>
      <c r="H63" s="107"/>
      <c r="I63" s="107"/>
      <c r="J63" s="107"/>
      <c r="K63" s="107"/>
      <c r="L63" s="107"/>
      <c r="M63" s="107"/>
      <c r="N63" s="3650" t="s">
        <v>126</v>
      </c>
      <c r="O63" s="3650"/>
      <c r="P63" s="3656"/>
    </row>
    <row r="64" spans="1:31" ht="15" customHeight="1" thickBot="1">
      <c r="A64" s="3723"/>
      <c r="B64" s="194"/>
      <c r="C64" s="194"/>
      <c r="D64" s="194"/>
      <c r="E64" s="194"/>
      <c r="F64" s="3651"/>
      <c r="G64" s="3651"/>
      <c r="H64" s="107"/>
      <c r="I64" s="107"/>
      <c r="J64" s="107"/>
      <c r="K64" s="107"/>
      <c r="L64" s="107"/>
      <c r="M64" s="107"/>
      <c r="N64" s="3651"/>
      <c r="O64" s="3650"/>
      <c r="P64" s="3656"/>
      <c r="AB64" s="3516">
        <v>2017</v>
      </c>
      <c r="AC64" s="3517"/>
      <c r="AD64" s="3517"/>
      <c r="AE64" s="3518"/>
    </row>
    <row r="65" spans="1:31" ht="15" customHeight="1">
      <c r="A65" s="113"/>
      <c r="B65" s="267" t="s">
        <v>168</v>
      </c>
      <c r="C65" s="270">
        <v>6</v>
      </c>
      <c r="D65" s="270">
        <v>6</v>
      </c>
      <c r="E65" s="270">
        <v>6</v>
      </c>
      <c r="F65" s="336">
        <v>6</v>
      </c>
      <c r="G65" s="339">
        <v>6</v>
      </c>
      <c r="H65" s="270">
        <v>6</v>
      </c>
      <c r="I65" s="270">
        <v>6</v>
      </c>
      <c r="J65" s="271">
        <v>6</v>
      </c>
      <c r="K65" s="339">
        <v>6</v>
      </c>
      <c r="L65" s="270">
        <v>6</v>
      </c>
      <c r="M65" s="270">
        <v>6</v>
      </c>
      <c r="N65" s="271">
        <v>6</v>
      </c>
      <c r="O65" s="271">
        <v>6</v>
      </c>
      <c r="P65" s="271">
        <v>6</v>
      </c>
      <c r="Q65" s="271">
        <v>6</v>
      </c>
      <c r="R65" s="271">
        <v>6</v>
      </c>
      <c r="S65" s="271">
        <v>6</v>
      </c>
      <c r="T65" s="271">
        <v>6</v>
      </c>
      <c r="U65" s="271">
        <v>6</v>
      </c>
      <c r="V65" s="271">
        <v>6</v>
      </c>
      <c r="W65" s="271">
        <v>6</v>
      </c>
      <c r="X65" s="3312">
        <v>6</v>
      </c>
      <c r="Y65" s="3313">
        <v>6</v>
      </c>
      <c r="Z65" s="3314">
        <v>7</v>
      </c>
      <c r="AA65" s="271">
        <v>7</v>
      </c>
      <c r="AB65" s="271">
        <v>7</v>
      </c>
      <c r="AC65" s="271">
        <v>7</v>
      </c>
      <c r="AD65" s="271">
        <v>7</v>
      </c>
      <c r="AE65" s="271">
        <v>7</v>
      </c>
    </row>
    <row r="66" spans="1:31" ht="15" customHeight="1" thickBot="1">
      <c r="A66" s="121"/>
      <c r="B66" s="273" t="s">
        <v>168</v>
      </c>
      <c r="C66" s="272">
        <v>8.5</v>
      </c>
      <c r="D66" s="272">
        <v>8.5</v>
      </c>
      <c r="E66" s="272">
        <v>8.5</v>
      </c>
      <c r="F66" s="377">
        <v>8.5</v>
      </c>
      <c r="G66" s="378">
        <v>8.5</v>
      </c>
      <c r="H66" s="272">
        <v>8.5</v>
      </c>
      <c r="I66" s="272">
        <v>8.5</v>
      </c>
      <c r="J66" s="379">
        <v>8.5</v>
      </c>
      <c r="K66" s="378">
        <v>8.5</v>
      </c>
      <c r="L66" s="272">
        <v>8.5</v>
      </c>
      <c r="M66" s="272">
        <v>8.5</v>
      </c>
      <c r="N66" s="379">
        <v>8.5</v>
      </c>
      <c r="O66" s="379">
        <v>8.5</v>
      </c>
      <c r="P66" s="897">
        <v>8.5</v>
      </c>
      <c r="Q66" s="897">
        <v>8.5</v>
      </c>
      <c r="R66" s="897">
        <v>8.5</v>
      </c>
      <c r="S66" s="897">
        <v>8.5</v>
      </c>
      <c r="T66" s="897">
        <v>8.5</v>
      </c>
      <c r="U66" s="897">
        <v>8.5</v>
      </c>
      <c r="V66" s="897">
        <v>8.5</v>
      </c>
      <c r="W66" s="897">
        <v>8.5</v>
      </c>
      <c r="X66" s="2192">
        <v>8.5</v>
      </c>
      <c r="Y66" s="3315">
        <v>8.5</v>
      </c>
      <c r="Z66" s="3316">
        <v>8.5</v>
      </c>
      <c r="AA66" s="379">
        <v>8.5</v>
      </c>
      <c r="AB66" s="379">
        <v>8.5</v>
      </c>
      <c r="AC66" s="379">
        <v>8.5</v>
      </c>
      <c r="AD66" s="379">
        <v>8.5</v>
      </c>
      <c r="AE66" s="379">
        <v>8.5</v>
      </c>
    </row>
    <row r="67" spans="1:31" ht="15" customHeight="1" thickBot="1">
      <c r="A67" s="121"/>
      <c r="B67" s="249" t="s">
        <v>181</v>
      </c>
      <c r="C67" s="51"/>
      <c r="D67" s="51"/>
      <c r="E67" s="51"/>
      <c r="F67" s="316"/>
      <c r="G67" s="384"/>
      <c r="H67" s="444">
        <v>7.89</v>
      </c>
      <c r="I67" s="446">
        <v>7.65</v>
      </c>
      <c r="J67" s="445">
        <v>8.0399999999999991</v>
      </c>
      <c r="K67" s="888"/>
      <c r="L67" s="869"/>
      <c r="M67" s="869">
        <v>3.9</v>
      </c>
      <c r="N67" s="885"/>
      <c r="O67" s="49">
        <f>AVERAGE(K67:N67)</f>
        <v>3.9</v>
      </c>
      <c r="P67" s="936">
        <v>7.5</v>
      </c>
      <c r="Q67" s="692">
        <v>8.41</v>
      </c>
      <c r="R67" s="692" t="s">
        <v>109</v>
      </c>
      <c r="S67" s="692" t="s">
        <v>109</v>
      </c>
      <c r="T67" s="2142"/>
      <c r="U67" s="2142">
        <v>8.1</v>
      </c>
      <c r="V67" s="2142"/>
      <c r="W67" s="2142">
        <v>6.02</v>
      </c>
      <c r="X67">
        <v>6.52</v>
      </c>
      <c r="Y67" s="2142" t="s">
        <v>336</v>
      </c>
      <c r="Z67" s="2142" t="s">
        <v>336</v>
      </c>
      <c r="AA67" s="2142"/>
      <c r="AB67" s="3478">
        <v>8</v>
      </c>
      <c r="AC67" s="2142"/>
      <c r="AD67" s="2142"/>
      <c r="AE67" s="2142"/>
    </row>
    <row r="68" spans="1:31" ht="15" customHeight="1" thickBot="1">
      <c r="A68" s="121"/>
      <c r="B68" s="202" t="s">
        <v>135</v>
      </c>
      <c r="C68" s="60"/>
      <c r="D68" s="447"/>
      <c r="E68" s="60"/>
      <c r="F68" s="448"/>
      <c r="G68" s="375">
        <v>8.77</v>
      </c>
      <c r="H68" s="444">
        <v>7.82</v>
      </c>
      <c r="I68" s="446">
        <v>7.32</v>
      </c>
      <c r="J68" s="445">
        <v>9.2100000000000009</v>
      </c>
      <c r="K68" s="888"/>
      <c r="L68" s="869"/>
      <c r="M68" s="869">
        <v>2.9</v>
      </c>
      <c r="N68" s="885"/>
      <c r="O68" s="49">
        <f>AVERAGE(K68:N68)</f>
        <v>2.9</v>
      </c>
      <c r="P68" s="921">
        <v>7.24</v>
      </c>
      <c r="Q68" s="869">
        <v>8.3800000000000008</v>
      </c>
      <c r="R68" s="692" t="s">
        <v>109</v>
      </c>
      <c r="S68" s="692" t="s">
        <v>109</v>
      </c>
      <c r="T68" s="2142"/>
      <c r="U68" s="2142">
        <v>7.4</v>
      </c>
      <c r="V68" s="2142"/>
      <c r="W68" s="2142">
        <v>6.01</v>
      </c>
      <c r="X68">
        <v>6.35</v>
      </c>
      <c r="Y68" s="2142" t="s">
        <v>336</v>
      </c>
      <c r="Z68" s="2142" t="s">
        <v>336</v>
      </c>
      <c r="AA68" s="2142"/>
      <c r="AB68" s="3478">
        <v>7.6</v>
      </c>
      <c r="AC68" s="2142"/>
      <c r="AD68" s="2142"/>
      <c r="AE68" s="2142"/>
    </row>
    <row r="69" spans="1:31" ht="15" customHeight="1" thickBot="1">
      <c r="A69" s="121"/>
      <c r="B69" s="249" t="s">
        <v>180</v>
      </c>
      <c r="C69" s="51"/>
      <c r="D69" s="51"/>
      <c r="E69" s="51"/>
      <c r="F69" s="316"/>
      <c r="G69" s="384"/>
      <c r="H69" s="444">
        <v>7.96</v>
      </c>
      <c r="I69" s="446">
        <v>7.9</v>
      </c>
      <c r="J69" s="445">
        <v>9.34</v>
      </c>
      <c r="K69" s="888"/>
      <c r="L69" s="869"/>
      <c r="M69" s="7">
        <v>3.3</v>
      </c>
      <c r="N69" s="885"/>
      <c r="O69" s="49">
        <f>AVERAGE(K69:N69)</f>
        <v>3.3</v>
      </c>
      <c r="P69" s="921">
        <v>7.42</v>
      </c>
      <c r="Q69" s="869">
        <v>6.5</v>
      </c>
      <c r="R69" s="692" t="s">
        <v>109</v>
      </c>
      <c r="S69" s="692" t="s">
        <v>109</v>
      </c>
      <c r="T69" s="2142"/>
      <c r="U69" s="2142">
        <v>7.6</v>
      </c>
      <c r="V69" s="2142"/>
      <c r="W69" s="2142">
        <v>6.36</v>
      </c>
      <c r="X69">
        <v>6.69</v>
      </c>
      <c r="Y69" s="2142" t="s">
        <v>336</v>
      </c>
      <c r="Z69" s="2142" t="s">
        <v>336</v>
      </c>
      <c r="AA69" s="2142"/>
      <c r="AB69" s="3478">
        <v>7.3</v>
      </c>
      <c r="AC69" s="2142"/>
      <c r="AD69" s="2142"/>
      <c r="AE69" s="2142"/>
    </row>
    <row r="70" spans="1:31" ht="15" customHeight="1" thickBot="1">
      <c r="A70" s="121"/>
      <c r="B70" s="202" t="s">
        <v>184</v>
      </c>
      <c r="C70" s="60"/>
      <c r="D70" s="60"/>
      <c r="E70" s="60"/>
      <c r="F70" s="448"/>
      <c r="G70" s="375">
        <v>7.79</v>
      </c>
      <c r="H70" s="444">
        <v>7.35</v>
      </c>
      <c r="I70" s="446">
        <v>7.5</v>
      </c>
      <c r="J70" s="445">
        <v>7.34</v>
      </c>
      <c r="K70" s="888"/>
      <c r="L70" s="869"/>
      <c r="M70" s="869">
        <v>5.2</v>
      </c>
      <c r="N70" s="885"/>
      <c r="O70" s="49">
        <f>AVERAGE(K70:N70)</f>
        <v>5.2</v>
      </c>
      <c r="P70" s="931">
        <v>7.63</v>
      </c>
      <c r="Q70" s="304">
        <v>7.75</v>
      </c>
      <c r="R70" s="692" t="s">
        <v>109</v>
      </c>
      <c r="S70" s="692" t="s">
        <v>109</v>
      </c>
      <c r="T70" s="2142"/>
      <c r="U70" s="2142">
        <v>7.8</v>
      </c>
      <c r="V70" s="2142"/>
      <c r="W70" s="2142">
        <v>6.01</v>
      </c>
      <c r="X70">
        <v>6.2</v>
      </c>
      <c r="Y70" s="2142" t="s">
        <v>336</v>
      </c>
      <c r="Z70" s="2142" t="s">
        <v>336</v>
      </c>
      <c r="AA70" s="2142"/>
      <c r="AB70" s="61">
        <v>7.5</v>
      </c>
      <c r="AC70" s="2142"/>
      <c r="AD70" s="2142"/>
      <c r="AE70" s="2142"/>
    </row>
    <row r="71" spans="1:31" ht="15" customHeight="1" thickBot="1">
      <c r="A71" s="121"/>
      <c r="B71" s="262" t="s">
        <v>179</v>
      </c>
      <c r="C71" s="710"/>
      <c r="D71" s="710"/>
      <c r="E71" s="710"/>
      <c r="F71" s="711"/>
      <c r="G71" s="712"/>
      <c r="H71" s="713">
        <v>8</v>
      </c>
      <c r="I71" s="714">
        <v>7.4</v>
      </c>
      <c r="J71" s="715">
        <v>9.1300000000000008</v>
      </c>
      <c r="K71" s="320"/>
      <c r="L71" s="321"/>
      <c r="M71" s="321">
        <v>3.5</v>
      </c>
      <c r="N71" s="322"/>
      <c r="O71" s="49">
        <f>AVERAGE(K71:N71)</f>
        <v>3.5</v>
      </c>
      <c r="P71" s="932">
        <v>7.87</v>
      </c>
      <c r="Q71" s="321">
        <v>6.86</v>
      </c>
      <c r="R71" s="692" t="s">
        <v>109</v>
      </c>
      <c r="S71" s="692" t="s">
        <v>109</v>
      </c>
      <c r="T71" s="2142"/>
      <c r="U71" s="2142">
        <v>8.1999999999999993</v>
      </c>
      <c r="V71" s="2142"/>
      <c r="W71" s="2142">
        <v>6.56</v>
      </c>
      <c r="X71">
        <v>6.57</v>
      </c>
      <c r="Y71" s="2142" t="s">
        <v>336</v>
      </c>
      <c r="Z71" s="2142" t="s">
        <v>336</v>
      </c>
      <c r="AA71" s="2142"/>
      <c r="AB71" s="61">
        <v>4.3</v>
      </c>
      <c r="AC71" s="2142"/>
      <c r="AD71" s="2142"/>
      <c r="AE71" s="2142"/>
    </row>
    <row r="72" spans="1:31" s="1040" customFormat="1" ht="15" customHeight="1">
      <c r="A72" s="207"/>
      <c r="B72" s="207" t="s">
        <v>285</v>
      </c>
      <c r="C72" s="245">
        <f>COUNTIFS(C67:C71,"&gt;=6.5",C67:C71,"&lt;=8.5")</f>
        <v>0</v>
      </c>
      <c r="D72" s="245">
        <f t="shared" ref="D72:P72" si="41">COUNTIFS(D67:D71,"&gt;=6.5",D67:D71,"&lt;=8.5")</f>
        <v>0</v>
      </c>
      <c r="E72" s="245">
        <f t="shared" si="41"/>
        <v>0</v>
      </c>
      <c r="F72" s="245">
        <f t="shared" si="41"/>
        <v>0</v>
      </c>
      <c r="G72" s="245">
        <f t="shared" si="41"/>
        <v>1</v>
      </c>
      <c r="H72" s="245">
        <f t="shared" si="41"/>
        <v>5</v>
      </c>
      <c r="I72" s="245">
        <f t="shared" si="41"/>
        <v>5</v>
      </c>
      <c r="J72" s="245">
        <f t="shared" si="41"/>
        <v>2</v>
      </c>
      <c r="K72" s="245">
        <f t="shared" si="41"/>
        <v>0</v>
      </c>
      <c r="L72" s="245">
        <f t="shared" si="41"/>
        <v>0</v>
      </c>
      <c r="M72" s="245">
        <f t="shared" si="41"/>
        <v>0</v>
      </c>
      <c r="N72" s="245">
        <f t="shared" si="41"/>
        <v>0</v>
      </c>
      <c r="O72" s="245">
        <f t="shared" si="41"/>
        <v>0</v>
      </c>
      <c r="P72" s="245">
        <f t="shared" si="41"/>
        <v>5</v>
      </c>
      <c r="Q72" s="1040">
        <f>COUNTIFS(Q67:Q71,"&gt;=6.5",Q67:Q71,"&lt;=8.5")</f>
        <v>5</v>
      </c>
      <c r="R72" s="2753">
        <f>COUNTIFS(R67:R71,"&gt;=6.5",R67:R71,"&lt;=8.5")</f>
        <v>0</v>
      </c>
      <c r="S72" s="2874">
        <f t="shared" ref="S72:Y72" si="42">COUNTIFS(S67:S71,"&gt;=6.5",S67:S71,"&lt;=8.5")</f>
        <v>0</v>
      </c>
      <c r="T72" s="2874"/>
      <c r="U72" s="2874">
        <f t="shared" si="42"/>
        <v>5</v>
      </c>
      <c r="V72" s="2874">
        <f t="shared" si="42"/>
        <v>0</v>
      </c>
      <c r="W72" s="2874">
        <f t="shared" si="42"/>
        <v>1</v>
      </c>
      <c r="X72" s="3214">
        <f t="shared" si="42"/>
        <v>3</v>
      </c>
      <c r="Y72" s="3214">
        <f t="shared" si="42"/>
        <v>0</v>
      </c>
      <c r="Z72" s="3300">
        <f>COUNTIFS(Z67:Z71,"&gt;=7.0",Z67:Z71,"&lt;=8.5")</f>
        <v>0</v>
      </c>
      <c r="AA72" s="3300">
        <f>COUNTIFS(AA67:AA71,"&gt;=7.0",AA67:AA71,"&lt;=8.5")</f>
        <v>0</v>
      </c>
      <c r="AB72" s="3478">
        <f t="shared" ref="AB72:AC72" si="43">COUNTIFS(AB67:AB71,"&gt;=6.5",AB67:AB71,"&lt;=8.5")</f>
        <v>4</v>
      </c>
      <c r="AC72" s="3478">
        <f t="shared" si="43"/>
        <v>0</v>
      </c>
      <c r="AD72" s="3478">
        <f>COUNTIFS(AD67:AD71,"&gt;=7.0",AD67:AD71,"&lt;=8.5")</f>
        <v>0</v>
      </c>
      <c r="AE72" s="3478">
        <f>COUNTIFS(AE67:AE71,"&gt;=7.0",AE67:AE71,"&lt;=8.5")</f>
        <v>0</v>
      </c>
    </row>
    <row r="73" spans="1:31" s="1040" customFormat="1" ht="15" customHeight="1">
      <c r="A73" s="207"/>
      <c r="B73" s="207" t="s">
        <v>287</v>
      </c>
      <c r="C73" s="245">
        <f>COUNT(C67:C71)</f>
        <v>0</v>
      </c>
      <c r="D73" s="245">
        <f t="shared" ref="D73:P73" si="44">COUNT(D67:D71)</f>
        <v>0</v>
      </c>
      <c r="E73" s="245">
        <f t="shared" si="44"/>
        <v>0</v>
      </c>
      <c r="F73" s="245">
        <f t="shared" si="44"/>
        <v>0</v>
      </c>
      <c r="G73" s="245">
        <f t="shared" si="44"/>
        <v>2</v>
      </c>
      <c r="H73" s="245">
        <f t="shared" si="44"/>
        <v>5</v>
      </c>
      <c r="I73" s="245">
        <f t="shared" si="44"/>
        <v>5</v>
      </c>
      <c r="J73" s="245">
        <f t="shared" si="44"/>
        <v>5</v>
      </c>
      <c r="K73" s="245">
        <f t="shared" si="44"/>
        <v>0</v>
      </c>
      <c r="L73" s="245">
        <f t="shared" si="44"/>
        <v>0</v>
      </c>
      <c r="M73" s="245">
        <f t="shared" si="44"/>
        <v>5</v>
      </c>
      <c r="N73" s="245">
        <f t="shared" si="44"/>
        <v>0</v>
      </c>
      <c r="O73" s="245">
        <f t="shared" si="44"/>
        <v>5</v>
      </c>
      <c r="P73" s="245">
        <f t="shared" si="44"/>
        <v>5</v>
      </c>
      <c r="Q73" s="1040">
        <f>COUNT(Q67:Q71)</f>
        <v>5</v>
      </c>
      <c r="R73" s="2753">
        <f>COUNT(R67:R71)</f>
        <v>0</v>
      </c>
      <c r="S73" s="2874">
        <f t="shared" ref="S73:Y73" si="45">COUNT(S67:S71)</f>
        <v>0</v>
      </c>
      <c r="T73" s="2874"/>
      <c r="U73" s="2874">
        <f t="shared" si="45"/>
        <v>5</v>
      </c>
      <c r="V73" s="2874">
        <f t="shared" si="45"/>
        <v>0</v>
      </c>
      <c r="W73" s="2874">
        <f t="shared" si="45"/>
        <v>5</v>
      </c>
      <c r="X73" s="3214">
        <f t="shared" si="45"/>
        <v>5</v>
      </c>
      <c r="Y73" s="3214">
        <f t="shared" si="45"/>
        <v>0</v>
      </c>
      <c r="Z73" s="3300">
        <f t="shared" ref="Z73:AC73" si="46">COUNT(Z67:Z71)</f>
        <v>0</v>
      </c>
      <c r="AA73" s="3300">
        <f t="shared" si="46"/>
        <v>0</v>
      </c>
      <c r="AB73" s="3478">
        <f t="shared" si="46"/>
        <v>5</v>
      </c>
      <c r="AC73" s="3478">
        <f t="shared" si="46"/>
        <v>0</v>
      </c>
      <c r="AD73" s="3478">
        <f t="shared" ref="AD73:AE73" si="47">COUNT(AD67:AD71)</f>
        <v>0</v>
      </c>
      <c r="AE73" s="3478">
        <f t="shared" si="47"/>
        <v>0</v>
      </c>
    </row>
    <row r="74" spans="1:31" s="1040" customFormat="1" ht="15" customHeight="1">
      <c r="A74" s="207"/>
      <c r="B74" s="207" t="s">
        <v>202</v>
      </c>
      <c r="C74" s="1054" t="e">
        <f t="shared" ref="C74:L74" si="48">C72/C73</f>
        <v>#DIV/0!</v>
      </c>
      <c r="D74" s="1054" t="e">
        <f t="shared" si="48"/>
        <v>#DIV/0!</v>
      </c>
      <c r="E74" s="1054" t="e">
        <f t="shared" si="48"/>
        <v>#DIV/0!</v>
      </c>
      <c r="F74" s="1054" t="e">
        <f t="shared" si="48"/>
        <v>#DIV/0!</v>
      </c>
      <c r="G74" s="1054">
        <f t="shared" si="48"/>
        <v>0.5</v>
      </c>
      <c r="H74" s="1054">
        <f t="shared" si="48"/>
        <v>1</v>
      </c>
      <c r="I74" s="1054">
        <f t="shared" si="48"/>
        <v>1</v>
      </c>
      <c r="J74" s="1054">
        <f t="shared" si="48"/>
        <v>0.4</v>
      </c>
      <c r="K74" s="1054" t="e">
        <f t="shared" si="48"/>
        <v>#DIV/0!</v>
      </c>
      <c r="L74" s="1054" t="e">
        <f t="shared" si="48"/>
        <v>#DIV/0!</v>
      </c>
      <c r="M74" s="1054">
        <f t="shared" ref="M74:Y74" si="49">M72/M73</f>
        <v>0</v>
      </c>
      <c r="N74" s="1054" t="e">
        <f t="shared" si="49"/>
        <v>#DIV/0!</v>
      </c>
      <c r="O74" s="1054">
        <f t="shared" si="49"/>
        <v>0</v>
      </c>
      <c r="P74" s="1054">
        <f t="shared" si="49"/>
        <v>1</v>
      </c>
      <c r="Q74" s="1054">
        <f t="shared" si="49"/>
        <v>1</v>
      </c>
      <c r="R74" s="1054" t="e">
        <f t="shared" si="49"/>
        <v>#DIV/0!</v>
      </c>
      <c r="S74" s="1054" t="e">
        <f t="shared" si="49"/>
        <v>#DIV/0!</v>
      </c>
      <c r="T74" s="1054" t="e">
        <f t="shared" si="49"/>
        <v>#DIV/0!</v>
      </c>
      <c r="U74" s="1054">
        <f t="shared" si="49"/>
        <v>1</v>
      </c>
      <c r="V74" s="1054" t="e">
        <f t="shared" si="49"/>
        <v>#DIV/0!</v>
      </c>
      <c r="W74" s="1054">
        <f t="shared" si="49"/>
        <v>0.2</v>
      </c>
      <c r="X74" s="1054">
        <f t="shared" si="49"/>
        <v>0.6</v>
      </c>
      <c r="Y74" s="1054" t="e">
        <f t="shared" si="49"/>
        <v>#DIV/0!</v>
      </c>
      <c r="Z74" s="1054" t="e">
        <f t="shared" ref="Z74:AC74" si="50">Z72/Z73</f>
        <v>#DIV/0!</v>
      </c>
      <c r="AA74" s="1054" t="e">
        <f t="shared" si="50"/>
        <v>#DIV/0!</v>
      </c>
      <c r="AB74" s="1054">
        <f t="shared" si="50"/>
        <v>0.8</v>
      </c>
      <c r="AC74" s="1054" t="e">
        <f t="shared" si="50"/>
        <v>#DIV/0!</v>
      </c>
      <c r="AD74" s="1054" t="e">
        <f t="shared" ref="AD74:AE74" si="51">AD72/AD73</f>
        <v>#DIV/0!</v>
      </c>
      <c r="AE74" s="1054" t="e">
        <f t="shared" si="51"/>
        <v>#DIV/0!</v>
      </c>
    </row>
    <row r="75" spans="1:31" s="1089" customFormat="1" ht="15" customHeight="1">
      <c r="A75" s="121">
        <v>8.5</v>
      </c>
      <c r="B75" s="1055" t="s">
        <v>299</v>
      </c>
      <c r="C75" s="1056">
        <f>COUNTA(B67:B71)</f>
        <v>5</v>
      </c>
      <c r="D75" s="110"/>
      <c r="E75" s="110"/>
      <c r="F75" s="110"/>
      <c r="G75" s="107"/>
      <c r="H75" s="107"/>
      <c r="I75" s="120"/>
      <c r="J75" s="120"/>
      <c r="K75" s="221"/>
      <c r="L75" s="221"/>
      <c r="M75" s="221"/>
      <c r="N75" s="107"/>
      <c r="O75" s="107"/>
      <c r="P75" s="767"/>
      <c r="T75" s="2874"/>
      <c r="U75" s="2874"/>
      <c r="V75" s="2874"/>
      <c r="W75" s="2874"/>
    </row>
    <row r="76" spans="1:31" s="1040" customFormat="1" ht="15" customHeight="1">
      <c r="A76" s="121">
        <v>8.5</v>
      </c>
      <c r="B76" s="217"/>
      <c r="C76" s="245"/>
      <c r="D76" s="246"/>
      <c r="E76" s="218"/>
      <c r="F76" s="120"/>
      <c r="G76" s="107"/>
      <c r="H76" s="107"/>
      <c r="I76" s="107"/>
      <c r="J76" s="107"/>
      <c r="K76" s="107"/>
      <c r="L76" s="107"/>
      <c r="M76" s="107"/>
      <c r="N76" s="107"/>
      <c r="O76" s="107"/>
      <c r="P76" s="767"/>
      <c r="T76" s="2874"/>
      <c r="U76" s="2874"/>
      <c r="V76" s="2874"/>
      <c r="W76" s="2874"/>
    </row>
    <row r="77" spans="1:31" ht="15" customHeight="1">
      <c r="A77" s="121">
        <v>8.7200000000000006</v>
      </c>
      <c r="B77" s="217"/>
      <c r="C77" s="245"/>
      <c r="D77" s="246"/>
      <c r="E77" s="218"/>
      <c r="F77" s="120"/>
      <c r="G77" s="107"/>
      <c r="H77" s="107"/>
      <c r="I77" s="107"/>
      <c r="J77" s="107"/>
      <c r="K77" s="107"/>
      <c r="L77" s="107"/>
      <c r="M77" s="107"/>
      <c r="N77" s="107"/>
      <c r="O77" s="107"/>
      <c r="P77" s="767"/>
    </row>
    <row r="78" spans="1:31" ht="15" customHeight="1" thickBot="1">
      <c r="A78" s="2153">
        <f>AVERAGE(A75:A77)</f>
        <v>8.5733333333333324</v>
      </c>
      <c r="B78" s="116"/>
      <c r="C78" s="245"/>
      <c r="D78" s="246"/>
      <c r="E78" s="116"/>
      <c r="F78" s="3652" t="s">
        <v>234</v>
      </c>
      <c r="G78" s="3652"/>
      <c r="H78" s="107"/>
      <c r="I78" s="107"/>
      <c r="J78" s="107"/>
      <c r="K78" s="107"/>
      <c r="L78" s="107"/>
      <c r="M78" s="107"/>
      <c r="N78" s="3652" t="s">
        <v>234</v>
      </c>
      <c r="O78" s="3652"/>
      <c r="P78" s="3654"/>
    </row>
    <row r="79" spans="1:31" ht="15" customHeight="1" thickBot="1">
      <c r="A79" s="116"/>
      <c r="B79" s="116"/>
      <c r="C79" s="245"/>
      <c r="D79" s="246"/>
      <c r="E79" s="116"/>
      <c r="F79" s="3653"/>
      <c r="G79" s="3653"/>
      <c r="H79" s="107"/>
      <c r="I79" s="107"/>
      <c r="J79" s="107"/>
      <c r="K79" s="107"/>
      <c r="L79" s="107"/>
      <c r="M79" s="107"/>
      <c r="N79" s="3653"/>
      <c r="O79" s="3652"/>
      <c r="P79" s="3654"/>
      <c r="AB79" s="3516">
        <v>2017</v>
      </c>
      <c r="AC79" s="3517"/>
      <c r="AD79" s="3517"/>
      <c r="AE79" s="3518"/>
    </row>
    <row r="80" spans="1:31" ht="15" customHeight="1">
      <c r="A80" s="116"/>
      <c r="B80" s="267" t="s">
        <v>168</v>
      </c>
      <c r="C80" s="270">
        <v>6</v>
      </c>
      <c r="D80" s="270">
        <v>6</v>
      </c>
      <c r="E80" s="270">
        <v>6</v>
      </c>
      <c r="F80" s="336">
        <v>6</v>
      </c>
      <c r="G80" s="339">
        <v>6</v>
      </c>
      <c r="H80" s="270">
        <v>6</v>
      </c>
      <c r="I80" s="270">
        <v>6</v>
      </c>
      <c r="J80" s="271">
        <v>6</v>
      </c>
      <c r="K80" s="339">
        <v>6</v>
      </c>
      <c r="L80" s="270">
        <v>6</v>
      </c>
      <c r="M80" s="270">
        <v>6</v>
      </c>
      <c r="N80" s="271">
        <v>6</v>
      </c>
      <c r="O80" s="271">
        <v>6</v>
      </c>
      <c r="P80" s="271">
        <v>6</v>
      </c>
      <c r="Q80" s="271">
        <v>6</v>
      </c>
      <c r="R80" s="271">
        <v>6</v>
      </c>
      <c r="S80" s="271">
        <v>6</v>
      </c>
      <c r="T80" s="271">
        <v>6</v>
      </c>
      <c r="U80" s="271">
        <v>6</v>
      </c>
      <c r="V80" s="271">
        <v>6</v>
      </c>
      <c r="W80" s="271">
        <v>6</v>
      </c>
      <c r="X80" s="271">
        <v>6</v>
      </c>
      <c r="Y80" s="3312">
        <v>6</v>
      </c>
      <c r="Z80" s="3313">
        <v>7</v>
      </c>
      <c r="AA80" s="271">
        <v>7</v>
      </c>
      <c r="AB80" s="271">
        <v>7</v>
      </c>
      <c r="AC80" s="271">
        <v>7</v>
      </c>
      <c r="AD80" s="271">
        <v>7</v>
      </c>
      <c r="AE80" s="271">
        <v>7</v>
      </c>
    </row>
    <row r="81" spans="1:31" ht="15" customHeight="1" thickBot="1">
      <c r="A81" s="121"/>
      <c r="B81" s="273" t="s">
        <v>168</v>
      </c>
      <c r="C81" s="272">
        <v>8.5</v>
      </c>
      <c r="D81" s="272">
        <v>8.5</v>
      </c>
      <c r="E81" s="272">
        <v>8.5</v>
      </c>
      <c r="F81" s="377">
        <v>8.5</v>
      </c>
      <c r="G81" s="378">
        <v>8.5</v>
      </c>
      <c r="H81" s="272">
        <v>8.5</v>
      </c>
      <c r="I81" s="272">
        <v>8.5</v>
      </c>
      <c r="J81" s="379">
        <v>8.5</v>
      </c>
      <c r="K81" s="896">
        <v>8.5</v>
      </c>
      <c r="L81" s="664">
        <v>8.5</v>
      </c>
      <c r="M81" s="664">
        <v>8.5</v>
      </c>
      <c r="N81" s="897">
        <v>8.5</v>
      </c>
      <c r="O81" s="2192">
        <v>8.5</v>
      </c>
      <c r="P81" s="2192">
        <v>8.5</v>
      </c>
      <c r="Q81" s="2192">
        <v>8.5</v>
      </c>
      <c r="R81" s="2192">
        <v>8.5</v>
      </c>
      <c r="S81" s="2192">
        <v>8.5</v>
      </c>
      <c r="T81" s="2192">
        <v>8.5</v>
      </c>
      <c r="U81" s="2192">
        <v>8.5</v>
      </c>
      <c r="V81" s="2192">
        <v>8.5</v>
      </c>
      <c r="W81" s="2192">
        <v>8.5</v>
      </c>
      <c r="X81" s="2192">
        <v>8.5</v>
      </c>
      <c r="Y81" s="2192">
        <v>8.5</v>
      </c>
      <c r="Z81" s="3317">
        <v>8.5</v>
      </c>
      <c r="AA81" s="897">
        <v>8.5</v>
      </c>
      <c r="AB81" s="897">
        <v>8.5</v>
      </c>
      <c r="AC81" s="897">
        <v>8.5</v>
      </c>
      <c r="AD81" s="897">
        <v>8.5</v>
      </c>
      <c r="AE81" s="897">
        <v>8.5</v>
      </c>
    </row>
    <row r="82" spans="1:31" ht="15" customHeight="1">
      <c r="A82" s="121"/>
      <c r="B82" s="249" t="s">
        <v>178</v>
      </c>
      <c r="C82" s="51"/>
      <c r="D82" s="51"/>
      <c r="E82" s="51"/>
      <c r="F82" s="316"/>
      <c r="G82" s="384"/>
      <c r="H82" s="444">
        <v>6.5</v>
      </c>
      <c r="I82" s="10"/>
      <c r="J82" s="887"/>
      <c r="K82" s="936"/>
      <c r="L82" s="692"/>
      <c r="M82" s="692"/>
      <c r="N82" s="893"/>
      <c r="O82" s="49"/>
      <c r="P82" s="921"/>
      <c r="Q82" s="869"/>
      <c r="R82" s="869"/>
      <c r="S82" s="2886"/>
      <c r="T82" s="869"/>
      <c r="U82" s="869"/>
      <c r="V82" s="869"/>
      <c r="W82" s="869"/>
      <c r="X82" s="1577"/>
      <c r="Y82" s="1577"/>
      <c r="Z82" s="3321"/>
      <c r="AA82" s="3318"/>
      <c r="AB82" s="1577"/>
      <c r="AC82" s="1577"/>
      <c r="AD82" s="3321"/>
      <c r="AE82" s="3318"/>
    </row>
    <row r="83" spans="1:31" ht="15" customHeight="1">
      <c r="A83" s="121"/>
      <c r="B83" s="202" t="s">
        <v>137</v>
      </c>
      <c r="C83" s="60"/>
      <c r="D83" s="60"/>
      <c r="E83" s="60"/>
      <c r="F83" s="373">
        <v>7.45</v>
      </c>
      <c r="G83" s="375">
        <v>8.67</v>
      </c>
      <c r="H83" s="444">
        <v>8.35</v>
      </c>
      <c r="I83" s="444">
        <v>7.75</v>
      </c>
      <c r="J83" s="887">
        <v>8.1</v>
      </c>
      <c r="K83" s="931">
        <v>8.51</v>
      </c>
      <c r="L83" s="952">
        <v>8.11</v>
      </c>
      <c r="M83" s="304">
        <v>8</v>
      </c>
      <c r="N83" s="319">
        <v>8.4700000000000006</v>
      </c>
      <c r="O83" s="49">
        <f>AVERAGE(K83:N83)</f>
        <v>8.2724999999999991</v>
      </c>
      <c r="P83" s="921">
        <v>8.17</v>
      </c>
      <c r="Q83" s="869">
        <v>8.23</v>
      </c>
      <c r="R83" s="869">
        <v>7.9</v>
      </c>
      <c r="S83" s="2886">
        <v>8.0500000000000007</v>
      </c>
      <c r="T83" s="869">
        <v>7.99</v>
      </c>
      <c r="U83" s="869">
        <v>8.35</v>
      </c>
      <c r="V83" s="869">
        <v>7.94</v>
      </c>
      <c r="W83" s="869">
        <v>8.0399999999999991</v>
      </c>
      <c r="X83" s="869">
        <v>7.81</v>
      </c>
      <c r="Y83" s="869">
        <v>7.41</v>
      </c>
      <c r="Z83" s="869">
        <v>7.61</v>
      </c>
      <c r="AA83" s="869">
        <v>8.07</v>
      </c>
      <c r="AB83" s="869">
        <v>8.0399999999999991</v>
      </c>
      <c r="AC83" s="869"/>
      <c r="AD83" s="869"/>
      <c r="AE83" s="869"/>
    </row>
    <row r="84" spans="1:31" ht="15" customHeight="1">
      <c r="A84" s="121"/>
      <c r="B84" s="202" t="s">
        <v>138</v>
      </c>
      <c r="C84" s="60"/>
      <c r="D84" s="60"/>
      <c r="E84" s="60"/>
      <c r="F84" s="373">
        <v>7.45</v>
      </c>
      <c r="G84" s="375">
        <v>9.16</v>
      </c>
      <c r="H84" s="444">
        <v>7.9</v>
      </c>
      <c r="I84" s="444">
        <v>7.61</v>
      </c>
      <c r="J84" s="887">
        <v>7.96</v>
      </c>
      <c r="K84" s="931">
        <v>8.57</v>
      </c>
      <c r="L84" s="952">
        <v>7.9</v>
      </c>
      <c r="M84" s="304">
        <v>8.4</v>
      </c>
      <c r="N84" s="319">
        <v>8.57</v>
      </c>
      <c r="O84" s="49">
        <f>AVERAGE(K84:N84)</f>
        <v>8.36</v>
      </c>
      <c r="P84" s="921">
        <v>8.35</v>
      </c>
      <c r="Q84" s="869">
        <v>8.23</v>
      </c>
      <c r="R84" s="869">
        <v>7.8</v>
      </c>
      <c r="S84" s="2886">
        <v>8.15</v>
      </c>
      <c r="T84" s="869">
        <v>8.23</v>
      </c>
      <c r="U84" s="869">
        <v>8.1199999999999992</v>
      </c>
      <c r="V84" s="869">
        <v>8.19</v>
      </c>
      <c r="W84" s="869">
        <v>8.3000000000000007</v>
      </c>
      <c r="X84" s="869">
        <v>7.92</v>
      </c>
      <c r="Y84" s="869">
        <v>7.95</v>
      </c>
      <c r="Z84" s="869">
        <v>7.6</v>
      </c>
      <c r="AA84" s="869">
        <v>8.07</v>
      </c>
      <c r="AB84" s="869">
        <v>8.02</v>
      </c>
      <c r="AC84" s="869"/>
      <c r="AD84" s="869"/>
      <c r="AE84" s="869"/>
    </row>
    <row r="85" spans="1:31" ht="15" customHeight="1">
      <c r="A85" s="121"/>
      <c r="B85" s="202" t="s">
        <v>139</v>
      </c>
      <c r="C85" s="60"/>
      <c r="D85" s="60"/>
      <c r="E85" s="60"/>
      <c r="F85" s="373">
        <v>7.78</v>
      </c>
      <c r="G85" s="375">
        <v>8.81</v>
      </c>
      <c r="H85" s="444">
        <v>7.6</v>
      </c>
      <c r="I85" s="444">
        <v>7.5</v>
      </c>
      <c r="J85" s="887">
        <v>8.1</v>
      </c>
      <c r="K85" s="931">
        <v>8.1349999999999998</v>
      </c>
      <c r="L85" s="952">
        <v>8</v>
      </c>
      <c r="M85" s="304">
        <v>8.1</v>
      </c>
      <c r="N85" s="319">
        <v>7.79</v>
      </c>
      <c r="O85" s="49">
        <f>AVERAGE(K85:N85)</f>
        <v>8.0062499999999996</v>
      </c>
      <c r="P85" s="931">
        <v>7.92</v>
      </c>
      <c r="Q85" s="869">
        <v>7.96</v>
      </c>
      <c r="R85" s="304">
        <v>7.7</v>
      </c>
      <c r="S85" s="381">
        <v>7.3</v>
      </c>
      <c r="T85" s="869">
        <v>7.81</v>
      </c>
      <c r="U85" s="869">
        <v>7.55</v>
      </c>
      <c r="V85" s="869">
        <v>7.5</v>
      </c>
      <c r="W85" s="869">
        <v>7.57</v>
      </c>
      <c r="X85" s="869">
        <v>7.59</v>
      </c>
      <c r="Y85" s="869">
        <v>7.3</v>
      </c>
      <c r="Z85" s="869">
        <v>7.91</v>
      </c>
      <c r="AA85" s="869">
        <v>8.1</v>
      </c>
      <c r="AB85" s="869">
        <v>7.76</v>
      </c>
      <c r="AC85" s="869"/>
      <c r="AD85" s="869"/>
      <c r="AE85" s="869"/>
    </row>
    <row r="86" spans="1:31" ht="15" customHeight="1">
      <c r="A86" s="121"/>
      <c r="B86" s="202" t="s">
        <v>136</v>
      </c>
      <c r="C86" s="60"/>
      <c r="D86" s="60"/>
      <c r="E86" s="60"/>
      <c r="F86" s="373">
        <v>8.25</v>
      </c>
      <c r="G86" s="375">
        <v>8.75</v>
      </c>
      <c r="H86" s="444">
        <v>7.56</v>
      </c>
      <c r="I86" s="444">
        <v>7.66</v>
      </c>
      <c r="J86" s="887">
        <v>8.26</v>
      </c>
      <c r="K86" s="931">
        <v>8.43</v>
      </c>
      <c r="L86" s="957">
        <v>8.1</v>
      </c>
      <c r="M86" s="870">
        <v>8.25</v>
      </c>
      <c r="N86" s="319">
        <v>8.0399999999999991</v>
      </c>
      <c r="O86" s="49">
        <f>AVERAGE(K86:N86)</f>
        <v>8.2050000000000001</v>
      </c>
      <c r="P86" s="931">
        <v>8.2200000000000006</v>
      </c>
      <c r="Q86" s="304">
        <v>8.25</v>
      </c>
      <c r="R86" s="304">
        <v>7.8</v>
      </c>
      <c r="S86" s="381">
        <v>7.85</v>
      </c>
      <c r="T86" s="869">
        <v>8.02</v>
      </c>
      <c r="U86" s="869">
        <v>7.85</v>
      </c>
      <c r="V86" s="304">
        <v>8.08</v>
      </c>
      <c r="W86" s="869">
        <v>7.84</v>
      </c>
      <c r="X86" s="869">
        <v>7.63</v>
      </c>
      <c r="Y86" s="869">
        <v>7.34</v>
      </c>
      <c r="Z86" s="869">
        <v>8.0299999999999994</v>
      </c>
      <c r="AA86" s="869">
        <v>8.08</v>
      </c>
      <c r="AB86" s="869">
        <v>7.88</v>
      </c>
      <c r="AC86" s="869"/>
      <c r="AD86" s="869"/>
      <c r="AE86" s="869"/>
    </row>
    <row r="87" spans="1:31" ht="15" customHeight="1">
      <c r="A87" s="121"/>
      <c r="B87" s="249" t="s">
        <v>176</v>
      </c>
      <c r="C87" s="51"/>
      <c r="D87" s="51"/>
      <c r="E87" s="51"/>
      <c r="F87" s="316"/>
      <c r="G87" s="384"/>
      <c r="H87" s="444">
        <v>7.8</v>
      </c>
      <c r="I87" s="51"/>
      <c r="J87" s="890"/>
      <c r="K87" s="931"/>
      <c r="L87" s="870"/>
      <c r="M87" s="870"/>
      <c r="N87" s="319"/>
      <c r="O87" s="49"/>
      <c r="P87" s="931"/>
      <c r="Q87" s="304"/>
      <c r="R87" s="304"/>
      <c r="S87" s="381"/>
      <c r="T87" s="304"/>
      <c r="U87" s="304"/>
      <c r="V87" s="304"/>
      <c r="W87" s="304"/>
      <c r="X87" s="1577"/>
      <c r="Y87" s="1577"/>
      <c r="Z87" s="3322"/>
      <c r="AA87" s="3319"/>
      <c r="AB87" s="1577"/>
      <c r="AC87" s="1577"/>
      <c r="AD87" s="3322"/>
      <c r="AE87" s="3319"/>
    </row>
    <row r="88" spans="1:31" ht="15" customHeight="1" thickBot="1">
      <c r="A88" s="121"/>
      <c r="B88" s="262" t="s">
        <v>177</v>
      </c>
      <c r="C88" s="710"/>
      <c r="D88" s="710"/>
      <c r="E88" s="710"/>
      <c r="F88" s="711"/>
      <c r="G88" s="712"/>
      <c r="H88" s="713">
        <v>8</v>
      </c>
      <c r="I88" s="710"/>
      <c r="J88" s="895"/>
      <c r="K88" s="932"/>
      <c r="L88" s="872"/>
      <c r="M88" s="872"/>
      <c r="N88" s="322"/>
      <c r="O88" s="49"/>
      <c r="P88" s="932"/>
      <c r="Q88" s="321"/>
      <c r="R88" s="321"/>
      <c r="S88" s="382"/>
      <c r="T88" s="304"/>
      <c r="U88" s="304"/>
      <c r="V88" s="304"/>
      <c r="W88" s="304"/>
      <c r="X88" s="1577"/>
      <c r="Y88" s="1577"/>
      <c r="Z88" s="3323"/>
      <c r="AA88" s="3320"/>
      <c r="AB88" s="1577"/>
      <c r="AC88" s="1577"/>
      <c r="AD88" s="3323"/>
      <c r="AE88" s="3320"/>
    </row>
    <row r="89" spans="1:31" s="1040" customFormat="1" ht="15" customHeight="1">
      <c r="A89" s="207"/>
      <c r="B89" s="207" t="s">
        <v>285</v>
      </c>
      <c r="C89" s="245">
        <f>COUNTIFS(C82:C88,"&gt;=6.5",C82:C88,"&lt;=8.5")</f>
        <v>0</v>
      </c>
      <c r="D89" s="245">
        <f t="shared" ref="D89:P89" si="52">COUNTIFS(D82:D88,"&gt;=6.5",D82:D88,"&lt;=8.5")</f>
        <v>0</v>
      </c>
      <c r="E89" s="245">
        <f t="shared" si="52"/>
        <v>0</v>
      </c>
      <c r="F89" s="245">
        <f t="shared" si="52"/>
        <v>4</v>
      </c>
      <c r="G89" s="245">
        <f t="shared" si="52"/>
        <v>0</v>
      </c>
      <c r="H89" s="245">
        <f t="shared" si="52"/>
        <v>7</v>
      </c>
      <c r="I89" s="245">
        <f t="shared" si="52"/>
        <v>4</v>
      </c>
      <c r="J89" s="245">
        <f t="shared" si="52"/>
        <v>4</v>
      </c>
      <c r="K89" s="245">
        <f t="shared" si="52"/>
        <v>2</v>
      </c>
      <c r="L89" s="245">
        <f t="shared" si="52"/>
        <v>4</v>
      </c>
      <c r="M89" s="245">
        <f t="shared" si="52"/>
        <v>4</v>
      </c>
      <c r="N89" s="245">
        <f t="shared" si="52"/>
        <v>3</v>
      </c>
      <c r="O89" s="245">
        <f t="shared" si="52"/>
        <v>4</v>
      </c>
      <c r="P89" s="245">
        <f t="shared" si="52"/>
        <v>4</v>
      </c>
      <c r="Q89" s="1040">
        <f>COUNTIFS(Q81:Q88,"&gt;=6.5",Q81:Q88,"&lt;=8.5")</f>
        <v>5</v>
      </c>
      <c r="R89" s="2753">
        <f>COUNTIFS(R81:R88,"&gt;=6.5",R81:R88,"&lt;=8.5")</f>
        <v>5</v>
      </c>
      <c r="S89" s="2836">
        <f>COUNTIFS(S81:S88,"&gt;=6.5",S81:S88,"&lt;=8.5")</f>
        <v>5</v>
      </c>
      <c r="T89" s="2874">
        <f t="shared" ref="T89:Y89" si="53">COUNTIFS(T81:T88,"&gt;=6.5",T81:T88,"&lt;=8.5")</f>
        <v>5</v>
      </c>
      <c r="U89" s="2874">
        <f t="shared" si="53"/>
        <v>5</v>
      </c>
      <c r="V89" s="2874">
        <f t="shared" si="53"/>
        <v>5</v>
      </c>
      <c r="W89" s="2874">
        <f t="shared" si="53"/>
        <v>5</v>
      </c>
      <c r="X89" s="3285">
        <f t="shared" si="53"/>
        <v>5</v>
      </c>
      <c r="Y89" s="3285">
        <f t="shared" si="53"/>
        <v>5</v>
      </c>
      <c r="Z89" s="3300">
        <f>COUNTIFS(Z82:Z88,"&gt;=7.0",Z82:Z88,"&lt;=8.5")</f>
        <v>4</v>
      </c>
      <c r="AA89" s="3300">
        <f>COUNTIFS(AA82:AA88,"&gt;=7.0",AA82:AA88,"&lt;=8.5")</f>
        <v>4</v>
      </c>
      <c r="AB89" s="3478">
        <f t="shared" ref="AB89:AC89" si="54">COUNTIFS(AB81:AB88,"&gt;=6.5",AB81:AB88,"&lt;=8.5")</f>
        <v>5</v>
      </c>
      <c r="AC89" s="3478">
        <f t="shared" si="54"/>
        <v>1</v>
      </c>
      <c r="AD89" s="3478">
        <f>COUNTIFS(AD82:AD88,"&gt;=7.0",AD82:AD88,"&lt;=8.5")</f>
        <v>0</v>
      </c>
      <c r="AE89" s="3478">
        <f>COUNTIFS(AE82:AE88,"&gt;=7.0",AE82:AE88,"&lt;=8.5")</f>
        <v>0</v>
      </c>
    </row>
    <row r="90" spans="1:31" s="1040" customFormat="1" ht="15" customHeight="1">
      <c r="A90" s="207"/>
      <c r="B90" s="207" t="s">
        <v>287</v>
      </c>
      <c r="C90" s="245">
        <f>COUNT(C82:C88)</f>
        <v>0</v>
      </c>
      <c r="D90" s="245">
        <f t="shared" ref="D90:P90" si="55">COUNT(D82:D88)</f>
        <v>0</v>
      </c>
      <c r="E90" s="245">
        <f t="shared" si="55"/>
        <v>0</v>
      </c>
      <c r="F90" s="245">
        <f t="shared" si="55"/>
        <v>4</v>
      </c>
      <c r="G90" s="245">
        <f t="shared" si="55"/>
        <v>4</v>
      </c>
      <c r="H90" s="245">
        <f t="shared" si="55"/>
        <v>7</v>
      </c>
      <c r="I90" s="245">
        <f t="shared" si="55"/>
        <v>4</v>
      </c>
      <c r="J90" s="245">
        <f t="shared" si="55"/>
        <v>4</v>
      </c>
      <c r="K90" s="245">
        <f t="shared" si="55"/>
        <v>4</v>
      </c>
      <c r="L90" s="245">
        <f t="shared" si="55"/>
        <v>4</v>
      </c>
      <c r="M90" s="245">
        <f t="shared" si="55"/>
        <v>4</v>
      </c>
      <c r="N90" s="245">
        <f t="shared" si="55"/>
        <v>4</v>
      </c>
      <c r="O90" s="245">
        <f t="shared" si="55"/>
        <v>4</v>
      </c>
      <c r="P90" s="245">
        <f t="shared" si="55"/>
        <v>4</v>
      </c>
      <c r="Q90" s="1040">
        <f>COUNT(Q81:Q88)</f>
        <v>5</v>
      </c>
      <c r="R90" s="2753">
        <f>COUNT(R81:R88)</f>
        <v>5</v>
      </c>
      <c r="S90" s="2836">
        <f>COUNT(S81:S88)</f>
        <v>5</v>
      </c>
      <c r="T90" s="2874">
        <f t="shared" ref="T90:Y90" si="56">COUNT(T81:T88)</f>
        <v>5</v>
      </c>
      <c r="U90" s="2874">
        <f t="shared" si="56"/>
        <v>5</v>
      </c>
      <c r="V90" s="2874">
        <f t="shared" si="56"/>
        <v>5</v>
      </c>
      <c r="W90" s="2874">
        <f t="shared" si="56"/>
        <v>5</v>
      </c>
      <c r="X90" s="3285">
        <f t="shared" si="56"/>
        <v>5</v>
      </c>
      <c r="Y90" s="3285">
        <f t="shared" si="56"/>
        <v>5</v>
      </c>
      <c r="Z90" s="3300">
        <f>COUNT(Z82:Z88)</f>
        <v>4</v>
      </c>
      <c r="AA90" s="3300">
        <f>COUNT(AA82:AA88)</f>
        <v>4</v>
      </c>
      <c r="AB90" s="3478">
        <f t="shared" ref="AB90:AC90" si="57">COUNT(AB81:AB88)</f>
        <v>5</v>
      </c>
      <c r="AC90" s="3478">
        <f t="shared" si="57"/>
        <v>1</v>
      </c>
      <c r="AD90" s="3478">
        <f>COUNT(AD82:AD88)</f>
        <v>0</v>
      </c>
      <c r="AE90" s="3478">
        <f>COUNT(AE82:AE88)</f>
        <v>0</v>
      </c>
    </row>
    <row r="91" spans="1:31" s="1040" customFormat="1" ht="15" customHeight="1">
      <c r="A91" s="207"/>
      <c r="B91" s="207" t="s">
        <v>202</v>
      </c>
      <c r="C91" s="1054" t="e">
        <f t="shared" ref="C91:L91" si="58">C89/C90</f>
        <v>#DIV/0!</v>
      </c>
      <c r="D91" s="1054" t="e">
        <f t="shared" si="58"/>
        <v>#DIV/0!</v>
      </c>
      <c r="E91" s="1054" t="e">
        <f t="shared" si="58"/>
        <v>#DIV/0!</v>
      </c>
      <c r="F91" s="1054">
        <f t="shared" si="58"/>
        <v>1</v>
      </c>
      <c r="G91" s="1054">
        <f t="shared" si="58"/>
        <v>0</v>
      </c>
      <c r="H91" s="1054">
        <f t="shared" si="58"/>
        <v>1</v>
      </c>
      <c r="I91" s="1054">
        <f t="shared" si="58"/>
        <v>1</v>
      </c>
      <c r="J91" s="1054">
        <f t="shared" si="58"/>
        <v>1</v>
      </c>
      <c r="K91" s="1054">
        <f t="shared" si="58"/>
        <v>0.5</v>
      </c>
      <c r="L91" s="1054">
        <f t="shared" si="58"/>
        <v>1</v>
      </c>
      <c r="M91" s="1054">
        <f t="shared" ref="M91:Y91" si="59">M89/M90</f>
        <v>1</v>
      </c>
      <c r="N91" s="1054">
        <f t="shared" si="59"/>
        <v>0.75</v>
      </c>
      <c r="O91" s="1054">
        <f t="shared" si="59"/>
        <v>1</v>
      </c>
      <c r="P91" s="1054">
        <f t="shared" si="59"/>
        <v>1</v>
      </c>
      <c r="Q91" s="1054">
        <f t="shared" si="59"/>
        <v>1</v>
      </c>
      <c r="R91" s="1054">
        <f t="shared" si="59"/>
        <v>1</v>
      </c>
      <c r="S91" s="1054">
        <f t="shared" si="59"/>
        <v>1</v>
      </c>
      <c r="T91" s="1054">
        <f t="shared" si="59"/>
        <v>1</v>
      </c>
      <c r="U91" s="1054">
        <f t="shared" si="59"/>
        <v>1</v>
      </c>
      <c r="V91" s="1054">
        <f t="shared" si="59"/>
        <v>1</v>
      </c>
      <c r="W91" s="1054">
        <f t="shared" si="59"/>
        <v>1</v>
      </c>
      <c r="X91" s="1054">
        <f t="shared" si="59"/>
        <v>1</v>
      </c>
      <c r="Y91" s="1054">
        <f t="shared" si="59"/>
        <v>1</v>
      </c>
      <c r="Z91" s="1054">
        <f t="shared" ref="Z91:AC91" si="60">Z89/Z90</f>
        <v>1</v>
      </c>
      <c r="AA91" s="1054">
        <f t="shared" si="60"/>
        <v>1</v>
      </c>
      <c r="AB91" s="1054">
        <f t="shared" si="60"/>
        <v>1</v>
      </c>
      <c r="AC91" s="1054">
        <f t="shared" si="60"/>
        <v>1</v>
      </c>
      <c r="AD91" s="1054" t="e">
        <f t="shared" ref="AD91:AE91" si="61">AD89/AD90</f>
        <v>#DIV/0!</v>
      </c>
      <c r="AE91" s="1054" t="e">
        <f t="shared" si="61"/>
        <v>#DIV/0!</v>
      </c>
    </row>
    <row r="92" spans="1:31" s="1089" customFormat="1" ht="15" customHeight="1">
      <c r="A92" s="121"/>
      <c r="B92" s="1055" t="s">
        <v>299</v>
      </c>
      <c r="C92" s="1056">
        <f>COUNTA(B82:B88)</f>
        <v>7</v>
      </c>
      <c r="D92" s="110"/>
      <c r="E92" s="110"/>
      <c r="F92" s="110"/>
      <c r="G92" s="107"/>
      <c r="H92" s="107"/>
      <c r="I92" s="120"/>
      <c r="J92" s="120"/>
      <c r="K92" s="221"/>
      <c r="L92" s="221"/>
      <c r="M92" s="221"/>
      <c r="N92" s="107"/>
      <c r="O92" s="107"/>
      <c r="P92" s="767"/>
      <c r="T92" s="2874"/>
      <c r="U92" s="2874"/>
      <c r="V92" s="2874"/>
      <c r="W92" s="2874"/>
    </row>
    <row r="93" spans="1:31" s="1040" customFormat="1" ht="15" customHeight="1">
      <c r="A93" s="121"/>
      <c r="B93" s="117"/>
      <c r="C93" s="110"/>
      <c r="D93" s="110"/>
      <c r="E93" s="110"/>
      <c r="F93" s="110"/>
      <c r="G93" s="107"/>
      <c r="H93" s="107"/>
      <c r="I93" s="120"/>
      <c r="J93" s="120"/>
      <c r="K93" s="221"/>
      <c r="L93" s="221"/>
      <c r="M93" s="221"/>
      <c r="N93" s="107"/>
      <c r="O93" s="107"/>
      <c r="P93" s="767"/>
      <c r="T93" s="2874"/>
      <c r="U93" s="2874"/>
      <c r="V93" s="2874"/>
      <c r="W93" s="2874"/>
    </row>
    <row r="94" spans="1:31" ht="15" customHeight="1">
      <c r="A94" s="121"/>
      <c r="B94" s="117"/>
      <c r="C94" s="110"/>
      <c r="D94" s="110"/>
      <c r="E94" s="110"/>
      <c r="F94" s="110"/>
      <c r="G94" s="107"/>
      <c r="H94" s="107"/>
      <c r="I94" s="120"/>
      <c r="J94" s="120"/>
      <c r="K94" s="221"/>
      <c r="L94" s="221"/>
      <c r="M94" s="221"/>
      <c r="N94" s="107"/>
      <c r="O94" s="107"/>
      <c r="P94" s="767"/>
    </row>
    <row r="95" spans="1:31" ht="15" customHeight="1" thickBot="1">
      <c r="A95" s="116"/>
      <c r="B95" s="116"/>
      <c r="C95" s="110"/>
      <c r="D95" s="110"/>
      <c r="E95" s="116"/>
      <c r="F95" s="3652" t="s">
        <v>235</v>
      </c>
      <c r="G95" s="3652"/>
      <c r="H95" s="107"/>
      <c r="I95" s="120"/>
      <c r="J95" s="120"/>
      <c r="K95" s="221"/>
      <c r="L95" s="221"/>
      <c r="M95" s="107"/>
      <c r="N95" s="3652" t="s">
        <v>235</v>
      </c>
      <c r="O95" s="3652"/>
      <c r="P95" s="3654"/>
    </row>
    <row r="96" spans="1:31" ht="15" customHeight="1" thickBot="1">
      <c r="A96" s="116"/>
      <c r="B96" s="116"/>
      <c r="C96" s="245"/>
      <c r="D96" s="246"/>
      <c r="E96" s="116"/>
      <c r="F96" s="3653"/>
      <c r="G96" s="3653"/>
      <c r="H96" s="107"/>
      <c r="I96" s="120"/>
      <c r="J96" s="120"/>
      <c r="K96" s="221"/>
      <c r="L96" s="221"/>
      <c r="M96" s="107"/>
      <c r="N96" s="3653"/>
      <c r="O96" s="3652"/>
      <c r="P96" s="3654"/>
      <c r="AB96" s="3516">
        <v>2017</v>
      </c>
      <c r="AC96" s="3517"/>
      <c r="AD96" s="3517"/>
      <c r="AE96" s="3518"/>
    </row>
    <row r="97" spans="1:31" ht="15" customHeight="1">
      <c r="A97" s="116"/>
      <c r="B97" s="267" t="s">
        <v>168</v>
      </c>
      <c r="C97" s="270">
        <v>6</v>
      </c>
      <c r="D97" s="270">
        <v>6</v>
      </c>
      <c r="E97" s="270">
        <v>6</v>
      </c>
      <c r="F97" s="336">
        <v>6</v>
      </c>
      <c r="G97" s="339">
        <v>6</v>
      </c>
      <c r="H97" s="270">
        <v>6</v>
      </c>
      <c r="I97" s="270">
        <v>6</v>
      </c>
      <c r="J97" s="271">
        <v>6</v>
      </c>
      <c r="K97" s="339">
        <v>6</v>
      </c>
      <c r="L97" s="270">
        <v>6</v>
      </c>
      <c r="M97" s="270">
        <v>6</v>
      </c>
      <c r="N97" s="271">
        <v>6</v>
      </c>
      <c r="O97" s="271">
        <v>6</v>
      </c>
      <c r="P97" s="271">
        <v>6</v>
      </c>
      <c r="Q97" s="271">
        <v>6</v>
      </c>
      <c r="R97" s="271">
        <v>6</v>
      </c>
      <c r="S97" s="271">
        <v>6</v>
      </c>
      <c r="T97" s="271">
        <v>6</v>
      </c>
      <c r="U97" s="271">
        <v>6</v>
      </c>
      <c r="V97" s="271">
        <v>6</v>
      </c>
      <c r="W97" s="271">
        <v>6</v>
      </c>
      <c r="X97" s="271">
        <v>6</v>
      </c>
      <c r="Y97" s="271">
        <v>6</v>
      </c>
      <c r="Z97" s="271">
        <v>7</v>
      </c>
      <c r="AA97" s="271">
        <v>7</v>
      </c>
      <c r="AB97" s="271">
        <v>7.5</v>
      </c>
      <c r="AC97" s="271">
        <v>7.9</v>
      </c>
      <c r="AD97" s="271">
        <v>8.3000000000000007</v>
      </c>
      <c r="AE97" s="271">
        <v>8.6999999999999993</v>
      </c>
    </row>
    <row r="98" spans="1:31" ht="15" customHeight="1" thickBot="1">
      <c r="A98" s="116"/>
      <c r="B98" s="273" t="s">
        <v>168</v>
      </c>
      <c r="C98" s="272">
        <v>8.5</v>
      </c>
      <c r="D98" s="272">
        <v>8.5</v>
      </c>
      <c r="E98" s="272">
        <v>8.5</v>
      </c>
      <c r="F98" s="377">
        <v>8.5</v>
      </c>
      <c r="G98" s="378">
        <v>8.5</v>
      </c>
      <c r="H98" s="272">
        <v>8.5</v>
      </c>
      <c r="I98" s="272">
        <v>8.5</v>
      </c>
      <c r="J98" s="379">
        <v>8.5</v>
      </c>
      <c r="K98" s="378">
        <v>8.5</v>
      </c>
      <c r="L98" s="272">
        <v>8.5</v>
      </c>
      <c r="M98" s="272">
        <v>8.5</v>
      </c>
      <c r="N98" s="379">
        <v>8.5</v>
      </c>
      <c r="O98" s="379">
        <v>8.5</v>
      </c>
      <c r="P98" s="897">
        <v>8.5</v>
      </c>
      <c r="Q98" s="897">
        <v>8.5</v>
      </c>
      <c r="R98" s="897">
        <v>8.5</v>
      </c>
      <c r="S98" s="897">
        <v>8.5</v>
      </c>
      <c r="T98" s="897">
        <v>8.5</v>
      </c>
      <c r="U98" s="897">
        <v>8.5</v>
      </c>
      <c r="V98" s="897">
        <v>8.5</v>
      </c>
      <c r="W98" s="897">
        <v>8.5</v>
      </c>
      <c r="X98" s="897">
        <v>8.5</v>
      </c>
      <c r="Y98" s="897">
        <v>8.5</v>
      </c>
      <c r="Z98" s="897">
        <v>8.5</v>
      </c>
      <c r="AA98" s="897">
        <v>8.5</v>
      </c>
      <c r="AB98" s="897">
        <v>8.5</v>
      </c>
      <c r="AC98" s="897">
        <v>8.5</v>
      </c>
      <c r="AD98" s="897">
        <v>8.5</v>
      </c>
      <c r="AE98" s="897">
        <v>8.5</v>
      </c>
    </row>
    <row r="99" spans="1:31" ht="15" customHeight="1">
      <c r="A99" s="116"/>
      <c r="B99" s="264" t="s">
        <v>183</v>
      </c>
      <c r="C99" s="243"/>
      <c r="D99" s="243"/>
      <c r="E99" s="243"/>
      <c r="F99" s="372">
        <v>8.07</v>
      </c>
      <c r="G99" s="314">
        <v>7.95</v>
      </c>
      <c r="H99" s="442">
        <v>8.02</v>
      </c>
      <c r="I99" s="442">
        <v>7.93</v>
      </c>
      <c r="J99" s="532">
        <v>8.2100000000000009</v>
      </c>
      <c r="K99" s="934">
        <v>8.18</v>
      </c>
      <c r="L99" s="953">
        <v>7.68</v>
      </c>
      <c r="M99" s="1648">
        <v>7.97</v>
      </c>
      <c r="N99" s="874">
        <v>7.91</v>
      </c>
      <c r="O99" s="49">
        <f t="shared" ref="O99:O108" si="62">AVERAGE(K99:N99)</f>
        <v>7.9349999999999996</v>
      </c>
      <c r="P99" s="936">
        <v>7.99</v>
      </c>
      <c r="Q99" s="692">
        <v>7.79</v>
      </c>
      <c r="R99" s="692">
        <v>8.1</v>
      </c>
      <c r="S99" s="693">
        <v>8.07</v>
      </c>
      <c r="T99" s="3188">
        <v>7.98</v>
      </c>
      <c r="U99" s="3188">
        <v>8.07</v>
      </c>
      <c r="V99" s="3188">
        <v>8.3000000000000007</v>
      </c>
      <c r="W99" s="3188"/>
      <c r="X99" s="3188">
        <v>8.23</v>
      </c>
      <c r="Y99" s="3188">
        <v>8.18</v>
      </c>
      <c r="Z99" s="3188">
        <v>7.9050000000000002</v>
      </c>
      <c r="AA99" s="3188">
        <v>8.17</v>
      </c>
      <c r="AB99" s="3188">
        <v>7.93</v>
      </c>
      <c r="AC99" s="3188"/>
      <c r="AD99" s="3188"/>
      <c r="AE99" s="3188"/>
    </row>
    <row r="100" spans="1:31" ht="15" customHeight="1">
      <c r="A100" s="121"/>
      <c r="B100" s="202" t="s">
        <v>140</v>
      </c>
      <c r="C100" s="443"/>
      <c r="D100" s="60"/>
      <c r="E100" s="60"/>
      <c r="F100" s="373">
        <v>7.41</v>
      </c>
      <c r="G100" s="375">
        <v>7.13</v>
      </c>
      <c r="H100" s="444">
        <v>7.415</v>
      </c>
      <c r="I100" s="444">
        <v>7.22</v>
      </c>
      <c r="J100" s="445">
        <v>7.73</v>
      </c>
      <c r="K100" s="921">
        <v>7.37</v>
      </c>
      <c r="L100" s="1647">
        <v>7.72</v>
      </c>
      <c r="M100" s="1642">
        <v>7.5</v>
      </c>
      <c r="N100" s="876">
        <v>7.55</v>
      </c>
      <c r="O100" s="49">
        <f t="shared" si="62"/>
        <v>7.5350000000000001</v>
      </c>
      <c r="P100" s="921">
        <v>7.19</v>
      </c>
      <c r="Q100" s="869">
        <v>7.72</v>
      </c>
      <c r="R100" s="869">
        <v>7.7</v>
      </c>
      <c r="S100" s="885">
        <v>7.25</v>
      </c>
      <c r="T100" s="3189">
        <v>7.2</v>
      </c>
      <c r="U100" s="3189">
        <v>7.75</v>
      </c>
      <c r="V100" s="3189">
        <v>7.74</v>
      </c>
      <c r="W100" s="3189"/>
      <c r="X100" s="3189">
        <v>8.1750000000000007</v>
      </c>
      <c r="Y100" s="3189">
        <v>7.61</v>
      </c>
      <c r="Z100" s="3189">
        <v>8.08</v>
      </c>
      <c r="AA100" s="3189">
        <v>7.39</v>
      </c>
      <c r="AB100" s="3189">
        <v>7.81</v>
      </c>
      <c r="AC100" s="3189"/>
      <c r="AD100" s="3189"/>
      <c r="AE100" s="3189"/>
    </row>
    <row r="101" spans="1:31" ht="15" customHeight="1">
      <c r="A101" s="121"/>
      <c r="B101" s="250" t="s">
        <v>182</v>
      </c>
      <c r="C101" s="60"/>
      <c r="D101" s="60"/>
      <c r="E101" s="60"/>
      <c r="F101" s="373">
        <v>8.0500000000000007</v>
      </c>
      <c r="G101" s="315">
        <v>7.91</v>
      </c>
      <c r="H101" s="444">
        <v>8.0649999999999995</v>
      </c>
      <c r="I101" s="444">
        <v>7.93</v>
      </c>
      <c r="J101" s="445">
        <v>8.33</v>
      </c>
      <c r="K101" s="935">
        <v>8.19</v>
      </c>
      <c r="L101" s="877">
        <v>7.92</v>
      </c>
      <c r="M101" s="1643">
        <v>7.97</v>
      </c>
      <c r="N101" s="876"/>
      <c r="O101" s="49">
        <f t="shared" si="62"/>
        <v>8.0266666666666655</v>
      </c>
      <c r="P101" s="921">
        <v>7.72</v>
      </c>
      <c r="Q101" s="869">
        <v>7.83</v>
      </c>
      <c r="R101" s="869">
        <v>8.1999999999999993</v>
      </c>
      <c r="S101" s="885">
        <v>8.15</v>
      </c>
      <c r="T101" s="3189">
        <v>7.99</v>
      </c>
      <c r="U101" s="3189">
        <v>8.16</v>
      </c>
      <c r="V101" s="3189">
        <v>8.31</v>
      </c>
      <c r="W101" s="3189"/>
      <c r="X101" s="3189">
        <v>8.24</v>
      </c>
      <c r="Y101" s="3189">
        <v>7.42</v>
      </c>
      <c r="Z101" s="3189">
        <v>7.32</v>
      </c>
      <c r="AA101" s="3189">
        <v>8.1199999999999992</v>
      </c>
      <c r="AB101" s="3189">
        <v>8.3699999999999992</v>
      </c>
      <c r="AC101" s="3189"/>
      <c r="AD101" s="3189"/>
      <c r="AE101" s="3189"/>
    </row>
    <row r="102" spans="1:31" ht="15" customHeight="1">
      <c r="A102" s="121"/>
      <c r="B102" s="202" t="s">
        <v>142</v>
      </c>
      <c r="C102" s="443"/>
      <c r="D102" s="60"/>
      <c r="E102" s="60"/>
      <c r="F102" s="373">
        <v>7.99</v>
      </c>
      <c r="G102" s="375">
        <v>7.87</v>
      </c>
      <c r="H102" s="444">
        <v>7.95</v>
      </c>
      <c r="I102" s="444">
        <v>7.89</v>
      </c>
      <c r="J102" s="39">
        <v>8.2200000000000006</v>
      </c>
      <c r="K102" s="921">
        <v>8.16</v>
      </c>
      <c r="L102" s="954">
        <v>7.87</v>
      </c>
      <c r="M102" s="1644">
        <v>7.97</v>
      </c>
      <c r="N102" s="876">
        <v>7.93</v>
      </c>
      <c r="O102" s="49">
        <f t="shared" si="62"/>
        <v>7.9824999999999999</v>
      </c>
      <c r="P102" s="931">
        <v>7.61</v>
      </c>
      <c r="Q102" s="304">
        <v>7.7</v>
      </c>
      <c r="R102" s="304">
        <v>8.1</v>
      </c>
      <c r="S102" s="319">
        <v>7.99</v>
      </c>
      <c r="T102" s="3189">
        <v>7.96</v>
      </c>
      <c r="U102" s="3189">
        <v>8.15</v>
      </c>
      <c r="V102" s="3189">
        <v>8.2200000000000006</v>
      </c>
      <c r="W102" s="2927"/>
      <c r="X102" s="3189">
        <v>7.4950000000000001</v>
      </c>
      <c r="Y102" s="3189">
        <v>8.19</v>
      </c>
      <c r="Z102" s="3189">
        <v>7.88</v>
      </c>
      <c r="AA102" s="3189">
        <v>8.24</v>
      </c>
      <c r="AB102" s="3189">
        <v>7.85</v>
      </c>
      <c r="AC102" s="3189"/>
      <c r="AD102" s="3189"/>
      <c r="AE102" s="3189"/>
    </row>
    <row r="103" spans="1:31" ht="15" customHeight="1">
      <c r="A103" s="121"/>
      <c r="B103" s="202" t="s">
        <v>141</v>
      </c>
      <c r="C103" s="443"/>
      <c r="D103" s="60"/>
      <c r="E103" s="60"/>
      <c r="F103" s="373">
        <v>8.09</v>
      </c>
      <c r="G103" s="375">
        <v>7.93</v>
      </c>
      <c r="H103" s="444">
        <v>8.0350000000000001</v>
      </c>
      <c r="I103" s="444">
        <v>7.87</v>
      </c>
      <c r="J103" s="445">
        <v>8.23</v>
      </c>
      <c r="K103" s="921">
        <v>8.15</v>
      </c>
      <c r="L103" s="952">
        <v>7.94</v>
      </c>
      <c r="M103" s="1649">
        <v>7.94</v>
      </c>
      <c r="N103" s="319">
        <v>7.93</v>
      </c>
      <c r="O103" s="49">
        <f t="shared" si="62"/>
        <v>7.99</v>
      </c>
      <c r="P103" s="931">
        <v>7.93</v>
      </c>
      <c r="Q103" s="304">
        <v>7.76</v>
      </c>
      <c r="R103" s="304">
        <v>8.1</v>
      </c>
      <c r="S103" s="319">
        <v>7.95</v>
      </c>
      <c r="T103" s="3189">
        <v>7.98</v>
      </c>
      <c r="U103" s="3189">
        <v>7.68</v>
      </c>
      <c r="V103" s="3189">
        <v>8.2100000000000009</v>
      </c>
      <c r="W103" s="2927"/>
      <c r="X103" s="3189">
        <v>8.1850000000000005</v>
      </c>
      <c r="Y103" s="3189">
        <v>8.18</v>
      </c>
      <c r="Z103" s="3189">
        <v>8.0500000000000007</v>
      </c>
      <c r="AA103" s="3189">
        <v>7.95</v>
      </c>
      <c r="AB103" s="3189">
        <v>8.16</v>
      </c>
      <c r="AC103" s="3189"/>
      <c r="AD103" s="3189"/>
      <c r="AE103" s="3189"/>
    </row>
    <row r="104" spans="1:31" ht="15" customHeight="1">
      <c r="A104" s="121"/>
      <c r="B104" s="202" t="s">
        <v>147</v>
      </c>
      <c r="C104" s="443"/>
      <c r="D104" s="60"/>
      <c r="E104" s="60"/>
      <c r="F104" s="373">
        <v>7.99</v>
      </c>
      <c r="G104" s="375">
        <v>7.74</v>
      </c>
      <c r="H104" s="444">
        <v>8.0050000000000008</v>
      </c>
      <c r="I104" s="444">
        <v>7.79</v>
      </c>
      <c r="J104" s="445">
        <v>8.0299999999999994</v>
      </c>
      <c r="K104" s="921">
        <v>8</v>
      </c>
      <c r="L104" s="952">
        <v>8.0299999999999994</v>
      </c>
      <c r="M104" s="1649">
        <v>7.35</v>
      </c>
      <c r="N104" s="319">
        <v>7.86</v>
      </c>
      <c r="O104" s="49">
        <f t="shared" si="62"/>
        <v>7.8100000000000005</v>
      </c>
      <c r="P104" s="931">
        <v>7.52</v>
      </c>
      <c r="Q104" s="304">
        <v>7.19</v>
      </c>
      <c r="R104" s="304">
        <v>8.1</v>
      </c>
      <c r="S104" s="319">
        <v>7.97</v>
      </c>
      <c r="T104" s="3189">
        <v>7.84</v>
      </c>
      <c r="U104" s="3189">
        <v>8</v>
      </c>
      <c r="V104" s="2927">
        <v>8.26</v>
      </c>
      <c r="W104" s="2927"/>
      <c r="X104" s="3189">
        <v>8.06</v>
      </c>
      <c r="Y104" s="3189">
        <v>7.76</v>
      </c>
      <c r="Z104" s="3189">
        <v>7.62</v>
      </c>
      <c r="AA104" s="3189">
        <v>8.0500000000000007</v>
      </c>
      <c r="AB104" s="3189">
        <v>8.06</v>
      </c>
      <c r="AC104" s="3189"/>
      <c r="AD104" s="3189"/>
      <c r="AE104" s="3189"/>
    </row>
    <row r="105" spans="1:31" ht="15" customHeight="1">
      <c r="A105" s="121"/>
      <c r="B105" s="202" t="s">
        <v>146</v>
      </c>
      <c r="C105" s="443"/>
      <c r="D105" s="60"/>
      <c r="E105" s="60"/>
      <c r="F105" s="373">
        <v>7.85</v>
      </c>
      <c r="G105" s="375">
        <v>7.93</v>
      </c>
      <c r="H105" s="444">
        <v>8.1050000000000004</v>
      </c>
      <c r="I105" s="444">
        <v>7.82</v>
      </c>
      <c r="J105" s="445">
        <v>8.08</v>
      </c>
      <c r="K105" s="921">
        <v>8.09</v>
      </c>
      <c r="L105" s="952">
        <v>7.93</v>
      </c>
      <c r="M105" s="1649">
        <v>7.79</v>
      </c>
      <c r="N105" s="319">
        <v>7.79</v>
      </c>
      <c r="O105" s="49">
        <f t="shared" si="62"/>
        <v>7.8999999999999995</v>
      </c>
      <c r="P105" s="931">
        <v>7.66</v>
      </c>
      <c r="Q105" s="304">
        <v>7.74</v>
      </c>
      <c r="R105" s="304">
        <v>8.1999999999999993</v>
      </c>
      <c r="S105" s="319">
        <v>7.99</v>
      </c>
      <c r="T105" s="3189">
        <v>7.84</v>
      </c>
      <c r="U105" s="3189">
        <v>8.0399999999999991</v>
      </c>
      <c r="V105" s="2927">
        <v>8.26</v>
      </c>
      <c r="W105" s="2927"/>
      <c r="X105" s="3189">
        <v>7.62</v>
      </c>
      <c r="Y105" s="3189">
        <v>7.45</v>
      </c>
      <c r="Z105" s="3189">
        <v>7.72</v>
      </c>
      <c r="AA105" s="3189">
        <v>7.93</v>
      </c>
      <c r="AB105" s="3189">
        <v>7.99</v>
      </c>
      <c r="AC105" s="3189"/>
      <c r="AD105" s="3189"/>
      <c r="AE105" s="3189"/>
    </row>
    <row r="106" spans="1:31" ht="15" customHeight="1">
      <c r="A106" s="121"/>
      <c r="B106" s="202" t="s">
        <v>145</v>
      </c>
      <c r="C106" s="443"/>
      <c r="D106" s="60"/>
      <c r="E106" s="60"/>
      <c r="F106" s="373">
        <v>7.84</v>
      </c>
      <c r="G106" s="375">
        <v>7.91</v>
      </c>
      <c r="H106" s="444">
        <v>8.0549999999999997</v>
      </c>
      <c r="I106" s="444">
        <v>7.62</v>
      </c>
      <c r="J106" s="385">
        <v>8.11</v>
      </c>
      <c r="K106" s="921">
        <v>8.1</v>
      </c>
      <c r="L106" s="952">
        <v>7.85</v>
      </c>
      <c r="M106" s="1649">
        <v>7.65</v>
      </c>
      <c r="N106" s="319">
        <v>7.88</v>
      </c>
      <c r="O106" s="49">
        <f t="shared" si="62"/>
        <v>7.87</v>
      </c>
      <c r="P106" s="931">
        <v>7.89</v>
      </c>
      <c r="Q106" s="304">
        <v>7.82</v>
      </c>
      <c r="R106" s="304">
        <v>8.1999999999999993</v>
      </c>
      <c r="S106" s="319">
        <v>7.88</v>
      </c>
      <c r="T106" s="3189">
        <v>7.83</v>
      </c>
      <c r="U106" s="3189">
        <v>8.01</v>
      </c>
      <c r="V106" s="2927">
        <v>8.0500000000000007</v>
      </c>
      <c r="W106" s="2927"/>
      <c r="X106" s="3189">
        <v>8.16</v>
      </c>
      <c r="Y106" s="3189">
        <v>8.17</v>
      </c>
      <c r="Z106" s="3189">
        <v>8.1999999999999993</v>
      </c>
      <c r="AA106" s="3189">
        <v>8.26</v>
      </c>
      <c r="AB106" s="3189" t="s">
        <v>336</v>
      </c>
      <c r="AC106" s="3189"/>
      <c r="AD106" s="3189"/>
      <c r="AE106" s="3189"/>
    </row>
    <row r="107" spans="1:31" ht="15" customHeight="1">
      <c r="A107" s="121"/>
      <c r="B107" s="202" t="s">
        <v>144</v>
      </c>
      <c r="C107" s="443"/>
      <c r="D107" s="60"/>
      <c r="E107" s="60"/>
      <c r="F107" s="373">
        <v>7.68</v>
      </c>
      <c r="G107" s="375">
        <v>7.91</v>
      </c>
      <c r="H107" s="444">
        <v>7.9450000000000003</v>
      </c>
      <c r="I107" s="444">
        <v>7.82</v>
      </c>
      <c r="J107" s="385">
        <v>8.07</v>
      </c>
      <c r="K107" s="921">
        <v>8.09</v>
      </c>
      <c r="L107" s="952">
        <v>7.86</v>
      </c>
      <c r="M107" s="1649">
        <v>7.8</v>
      </c>
      <c r="N107" s="319">
        <v>7.8</v>
      </c>
      <c r="O107" s="49">
        <f t="shared" si="62"/>
        <v>7.8875000000000002</v>
      </c>
      <c r="P107" s="931">
        <v>7.8</v>
      </c>
      <c r="Q107" s="304">
        <v>7.75</v>
      </c>
      <c r="R107" s="304">
        <v>8.1999999999999993</v>
      </c>
      <c r="S107" s="319">
        <v>7.72</v>
      </c>
      <c r="T107" s="3189">
        <v>7.82</v>
      </c>
      <c r="U107" s="3189">
        <v>7.99</v>
      </c>
      <c r="V107" s="2927">
        <v>8.1999999999999993</v>
      </c>
      <c r="W107" s="2927"/>
      <c r="X107" s="3189">
        <v>8.0549999999999997</v>
      </c>
      <c r="Y107" s="3189">
        <v>7.62</v>
      </c>
      <c r="Z107" s="3189">
        <v>7.34</v>
      </c>
      <c r="AA107" s="3189">
        <v>8.1999999999999993</v>
      </c>
      <c r="AB107" s="3189">
        <v>8.17</v>
      </c>
      <c r="AC107" s="3189"/>
      <c r="AD107" s="3189"/>
      <c r="AE107" s="3189"/>
    </row>
    <row r="108" spans="1:31" ht="15" customHeight="1" thickBot="1">
      <c r="A108" s="121"/>
      <c r="B108" s="215" t="s">
        <v>143</v>
      </c>
      <c r="C108" s="716"/>
      <c r="D108" s="276"/>
      <c r="E108" s="276"/>
      <c r="F108" s="374">
        <v>7.93</v>
      </c>
      <c r="G108" s="376">
        <v>8</v>
      </c>
      <c r="H108" s="713">
        <v>8.0150000000000006</v>
      </c>
      <c r="I108" s="713">
        <v>7.79</v>
      </c>
      <c r="J108" s="386">
        <v>8.06</v>
      </c>
      <c r="K108" s="933">
        <v>8.15</v>
      </c>
      <c r="L108" s="955">
        <v>8.08</v>
      </c>
      <c r="M108" s="1650">
        <v>7.96</v>
      </c>
      <c r="N108" s="322">
        <v>7.87</v>
      </c>
      <c r="O108" s="49">
        <f t="shared" si="62"/>
        <v>8.0150000000000006</v>
      </c>
      <c r="P108" s="932">
        <v>7.88</v>
      </c>
      <c r="Q108" s="321">
        <v>7.73</v>
      </c>
      <c r="R108" s="321">
        <v>7.9</v>
      </c>
      <c r="S108" s="322">
        <v>8.0299999999999994</v>
      </c>
      <c r="T108" s="3190">
        <v>7.88</v>
      </c>
      <c r="U108" s="3190">
        <v>8.06</v>
      </c>
      <c r="V108" s="2928">
        <v>8.07</v>
      </c>
      <c r="W108" s="2928"/>
      <c r="X108" s="3190">
        <v>8.1</v>
      </c>
      <c r="Y108" s="3190">
        <v>8.0299999999999994</v>
      </c>
      <c r="Z108" s="3190">
        <v>7.42</v>
      </c>
      <c r="AA108" s="3190">
        <v>6.17</v>
      </c>
      <c r="AB108" s="3190">
        <v>8.1300000000000008</v>
      </c>
      <c r="AC108" s="3190"/>
      <c r="AD108" s="3190"/>
      <c r="AE108" s="3190"/>
    </row>
    <row r="109" spans="1:31" s="1040" customFormat="1" ht="15" customHeight="1">
      <c r="A109" s="207"/>
      <c r="B109" s="207" t="s">
        <v>285</v>
      </c>
      <c r="C109" s="245">
        <f>COUNTIFS(C99:C108,"&gt;=6.5",C99:C108,"&lt;=8.5")</f>
        <v>0</v>
      </c>
      <c r="D109" s="245">
        <f t="shared" ref="D109:P109" si="63">COUNTIFS(D99:D108,"&gt;=6.5",D99:D108,"&lt;=8.5")</f>
        <v>0</v>
      </c>
      <c r="E109" s="245">
        <f t="shared" si="63"/>
        <v>0</v>
      </c>
      <c r="F109" s="245">
        <f t="shared" si="63"/>
        <v>10</v>
      </c>
      <c r="G109" s="245">
        <f t="shared" si="63"/>
        <v>10</v>
      </c>
      <c r="H109" s="245">
        <f t="shared" si="63"/>
        <v>10</v>
      </c>
      <c r="I109" s="245">
        <f t="shared" si="63"/>
        <v>10</v>
      </c>
      <c r="J109" s="245">
        <f t="shared" si="63"/>
        <v>10</v>
      </c>
      <c r="K109" s="245">
        <f t="shared" si="63"/>
        <v>10</v>
      </c>
      <c r="L109" s="245">
        <f t="shared" si="63"/>
        <v>10</v>
      </c>
      <c r="M109" s="245">
        <f t="shared" si="63"/>
        <v>10</v>
      </c>
      <c r="N109" s="245">
        <f t="shared" si="63"/>
        <v>9</v>
      </c>
      <c r="O109" s="245">
        <f t="shared" si="63"/>
        <v>10</v>
      </c>
      <c r="P109" s="245">
        <f t="shared" si="63"/>
        <v>10</v>
      </c>
      <c r="Q109" s="1040">
        <f>COUNTIFS(Q99:Q108,"&gt;=6.5",Q99:Q108,"&lt;=8.5")</f>
        <v>10</v>
      </c>
      <c r="R109" s="2753">
        <f t="shared" ref="R109:AA109" si="64">COUNTIFS(R99:R108,"&gt;=6.5",R99:R108,"&lt;=8.5")</f>
        <v>10</v>
      </c>
      <c r="S109" s="2753">
        <f t="shared" si="64"/>
        <v>10</v>
      </c>
      <c r="T109" s="2874">
        <f t="shared" si="64"/>
        <v>10</v>
      </c>
      <c r="U109" s="2874">
        <f t="shared" si="64"/>
        <v>10</v>
      </c>
      <c r="V109" s="2874">
        <f t="shared" si="64"/>
        <v>10</v>
      </c>
      <c r="W109" s="2874">
        <f t="shared" si="64"/>
        <v>0</v>
      </c>
      <c r="X109" s="2753">
        <f t="shared" si="64"/>
        <v>10</v>
      </c>
      <c r="Y109" s="2753">
        <f t="shared" si="64"/>
        <v>10</v>
      </c>
      <c r="Z109" s="2753">
        <f>COUNTIFS(Z99:Z108,"&gt;=7.0",Z99:Z108,"&lt;=8.5")</f>
        <v>10</v>
      </c>
      <c r="AA109" s="2753">
        <f t="shared" si="64"/>
        <v>9</v>
      </c>
      <c r="AB109" s="3478">
        <f t="shared" ref="AB109:AC109" si="65">COUNTIFS(AB99:AB108,"&gt;=6.5",AB99:AB108,"&lt;=8.5")</f>
        <v>9</v>
      </c>
      <c r="AC109" s="3478">
        <f t="shared" si="65"/>
        <v>0</v>
      </c>
      <c r="AD109" s="3478">
        <f>COUNTIFS(AD99:AD108,"&gt;=7.0",AD99:AD108,"&lt;=8.5")</f>
        <v>0</v>
      </c>
      <c r="AE109" s="3478">
        <f t="shared" ref="AE109" si="66">COUNTIFS(AE99:AE108,"&gt;=6.5",AE99:AE108,"&lt;=8.5")</f>
        <v>0</v>
      </c>
    </row>
    <row r="110" spans="1:31" s="1040" customFormat="1" ht="15" customHeight="1">
      <c r="A110" s="207"/>
      <c r="B110" s="207" t="s">
        <v>287</v>
      </c>
      <c r="C110" s="245">
        <f>COUNT(C99:C108)</f>
        <v>0</v>
      </c>
      <c r="D110" s="245">
        <f t="shared" ref="D110:P110" si="67">COUNT(D99:D108)</f>
        <v>0</v>
      </c>
      <c r="E110" s="245">
        <f t="shared" si="67"/>
        <v>0</v>
      </c>
      <c r="F110" s="245">
        <f t="shared" si="67"/>
        <v>10</v>
      </c>
      <c r="G110" s="245">
        <f t="shared" si="67"/>
        <v>10</v>
      </c>
      <c r="H110" s="245">
        <f t="shared" si="67"/>
        <v>10</v>
      </c>
      <c r="I110" s="245">
        <f t="shared" si="67"/>
        <v>10</v>
      </c>
      <c r="J110" s="245">
        <f t="shared" si="67"/>
        <v>10</v>
      </c>
      <c r="K110" s="245">
        <f t="shared" si="67"/>
        <v>10</v>
      </c>
      <c r="L110" s="245">
        <f t="shared" si="67"/>
        <v>10</v>
      </c>
      <c r="M110" s="245">
        <f t="shared" si="67"/>
        <v>10</v>
      </c>
      <c r="N110" s="245">
        <f t="shared" si="67"/>
        <v>9</v>
      </c>
      <c r="O110" s="245">
        <f t="shared" si="67"/>
        <v>10</v>
      </c>
      <c r="P110" s="245">
        <f t="shared" si="67"/>
        <v>10</v>
      </c>
      <c r="Q110" s="1040">
        <f>COUNT(Q99:Q108)</f>
        <v>10</v>
      </c>
      <c r="R110" s="2753">
        <f t="shared" ref="R110:AA110" si="68">COUNT(R99:R108)</f>
        <v>10</v>
      </c>
      <c r="S110" s="2753">
        <f t="shared" si="68"/>
        <v>10</v>
      </c>
      <c r="T110" s="2874">
        <f t="shared" si="68"/>
        <v>10</v>
      </c>
      <c r="U110" s="2874">
        <f t="shared" si="68"/>
        <v>10</v>
      </c>
      <c r="V110" s="2874">
        <f t="shared" si="68"/>
        <v>10</v>
      </c>
      <c r="W110" s="2874">
        <f t="shared" si="68"/>
        <v>0</v>
      </c>
      <c r="X110" s="2753">
        <f t="shared" si="68"/>
        <v>10</v>
      </c>
      <c r="Y110" s="2753">
        <f t="shared" si="68"/>
        <v>10</v>
      </c>
      <c r="Z110" s="2753">
        <f t="shared" si="68"/>
        <v>10</v>
      </c>
      <c r="AA110" s="2753">
        <f t="shared" si="68"/>
        <v>10</v>
      </c>
      <c r="AB110" s="3478">
        <f t="shared" ref="AB110:AE110" si="69">COUNT(AB99:AB108)</f>
        <v>9</v>
      </c>
      <c r="AC110" s="3478">
        <f t="shared" si="69"/>
        <v>0</v>
      </c>
      <c r="AD110" s="3478">
        <f t="shared" si="69"/>
        <v>0</v>
      </c>
      <c r="AE110" s="3478">
        <f t="shared" si="69"/>
        <v>0</v>
      </c>
    </row>
    <row r="111" spans="1:31" s="1040" customFormat="1" ht="15" customHeight="1">
      <c r="A111" s="207"/>
      <c r="B111" s="207" t="s">
        <v>202</v>
      </c>
      <c r="C111" s="1054" t="e">
        <f t="shared" ref="C111:L111" si="70">C109/C110</f>
        <v>#DIV/0!</v>
      </c>
      <c r="D111" s="1054" t="e">
        <f t="shared" si="70"/>
        <v>#DIV/0!</v>
      </c>
      <c r="E111" s="1054" t="e">
        <f t="shared" si="70"/>
        <v>#DIV/0!</v>
      </c>
      <c r="F111" s="1054">
        <f t="shared" si="70"/>
        <v>1</v>
      </c>
      <c r="G111" s="1054">
        <f t="shared" si="70"/>
        <v>1</v>
      </c>
      <c r="H111" s="1054">
        <f t="shared" si="70"/>
        <v>1</v>
      </c>
      <c r="I111" s="1054">
        <f t="shared" si="70"/>
        <v>1</v>
      </c>
      <c r="J111" s="1054">
        <f t="shared" si="70"/>
        <v>1</v>
      </c>
      <c r="K111" s="1054">
        <f t="shared" si="70"/>
        <v>1</v>
      </c>
      <c r="L111" s="1054">
        <f t="shared" si="70"/>
        <v>1</v>
      </c>
      <c r="M111" s="1054">
        <f t="shared" ref="M111:AA111" si="71">M109/M110</f>
        <v>1</v>
      </c>
      <c r="N111" s="1054">
        <f t="shared" si="71"/>
        <v>1</v>
      </c>
      <c r="O111" s="1054">
        <f t="shared" si="71"/>
        <v>1</v>
      </c>
      <c r="P111" s="1054">
        <f t="shared" si="71"/>
        <v>1</v>
      </c>
      <c r="Q111" s="1054">
        <f t="shared" si="71"/>
        <v>1</v>
      </c>
      <c r="R111" s="1054">
        <f t="shared" si="71"/>
        <v>1</v>
      </c>
      <c r="S111" s="1054">
        <f t="shared" si="71"/>
        <v>1</v>
      </c>
      <c r="T111" s="1054">
        <f t="shared" si="71"/>
        <v>1</v>
      </c>
      <c r="U111" s="1054">
        <f t="shared" si="71"/>
        <v>1</v>
      </c>
      <c r="V111" s="1054">
        <f t="shared" si="71"/>
        <v>1</v>
      </c>
      <c r="W111" s="1054" t="e">
        <f t="shared" si="71"/>
        <v>#DIV/0!</v>
      </c>
      <c r="X111" s="1054">
        <f t="shared" si="71"/>
        <v>1</v>
      </c>
      <c r="Y111" s="1054">
        <f t="shared" si="71"/>
        <v>1</v>
      </c>
      <c r="Z111" s="1054">
        <f t="shared" si="71"/>
        <v>1</v>
      </c>
      <c r="AA111" s="1054">
        <f t="shared" si="71"/>
        <v>0.9</v>
      </c>
      <c r="AB111" s="1054">
        <f t="shared" ref="AB111:AE111" si="72">AB109/AB110</f>
        <v>1</v>
      </c>
      <c r="AC111" s="1054" t="e">
        <f t="shared" si="72"/>
        <v>#DIV/0!</v>
      </c>
      <c r="AD111" s="1054" t="e">
        <f t="shared" si="72"/>
        <v>#DIV/0!</v>
      </c>
      <c r="AE111" s="1054" t="e">
        <f t="shared" si="72"/>
        <v>#DIV/0!</v>
      </c>
    </row>
    <row r="112" spans="1:31" s="1040" customFormat="1" ht="15" customHeight="1">
      <c r="A112" s="121"/>
      <c r="B112" s="117"/>
      <c r="C112" s="110"/>
      <c r="D112" s="110"/>
      <c r="E112" s="110"/>
      <c r="F112" s="110"/>
      <c r="G112" s="107"/>
      <c r="H112" s="107"/>
      <c r="I112" s="120"/>
      <c r="J112" s="120"/>
      <c r="K112" s="120"/>
      <c r="L112" s="120"/>
      <c r="M112" s="120"/>
      <c r="N112" s="120"/>
      <c r="O112" s="120"/>
      <c r="P112" s="767"/>
      <c r="T112" s="2874"/>
      <c r="U112" s="2874"/>
      <c r="V112" s="2874"/>
      <c r="W112" s="2874"/>
    </row>
    <row r="113" spans="1:31" s="1062" customFormat="1" ht="15" customHeight="1">
      <c r="A113" s="1072"/>
      <c r="B113" s="1097" t="s">
        <v>291</v>
      </c>
      <c r="C113" s="1081"/>
      <c r="D113" s="1081"/>
      <c r="E113" s="1081"/>
      <c r="F113" s="1081"/>
      <c r="G113" s="1072"/>
      <c r="H113" s="1072"/>
      <c r="I113" s="1097"/>
      <c r="J113" s="1097"/>
      <c r="K113" s="1097"/>
      <c r="L113" s="1097"/>
      <c r="M113" s="1097"/>
      <c r="N113" s="1097"/>
      <c r="O113" s="1097"/>
      <c r="P113" s="767"/>
      <c r="T113" s="2874"/>
      <c r="U113" s="2874"/>
      <c r="V113" s="2874"/>
      <c r="W113" s="2874"/>
    </row>
    <row r="114" spans="1:31" s="1062" customFormat="1" ht="15" customHeight="1">
      <c r="A114" s="1072"/>
      <c r="B114" s="1070" t="s">
        <v>285</v>
      </c>
      <c r="C114" s="1081">
        <f>SUM(C72,C89,C109)</f>
        <v>0</v>
      </c>
      <c r="D114" s="1081">
        <f t="shared" ref="D114:O114" si="73">SUM(D72,D89,D109)</f>
        <v>0</v>
      </c>
      <c r="E114" s="1081">
        <f t="shared" si="73"/>
        <v>0</v>
      </c>
      <c r="F114" s="1081">
        <f t="shared" si="73"/>
        <v>14</v>
      </c>
      <c r="G114" s="1081">
        <f t="shared" si="73"/>
        <v>11</v>
      </c>
      <c r="H114" s="1081">
        <f t="shared" si="73"/>
        <v>22</v>
      </c>
      <c r="I114" s="1081">
        <f t="shared" si="73"/>
        <v>19</v>
      </c>
      <c r="J114" s="1081">
        <f t="shared" si="73"/>
        <v>16</v>
      </c>
      <c r="K114" s="1081">
        <f t="shared" si="73"/>
        <v>12</v>
      </c>
      <c r="L114" s="1081">
        <f t="shared" si="73"/>
        <v>14</v>
      </c>
      <c r="M114" s="1081">
        <f t="shared" si="73"/>
        <v>14</v>
      </c>
      <c r="N114" s="1081">
        <f>SUM(N72,N89,N109)</f>
        <v>12</v>
      </c>
      <c r="O114" s="1081">
        <f t="shared" si="73"/>
        <v>14</v>
      </c>
      <c r="P114" s="1081">
        <f>SUM(P72,P89,P109)</f>
        <v>19</v>
      </c>
      <c r="Q114" s="1062">
        <f>SUM(Q72,Q89,Q109)</f>
        <v>20</v>
      </c>
      <c r="R114" s="2753">
        <f>SUM(R72,R89,R109)</f>
        <v>15</v>
      </c>
      <c r="S114" s="2753">
        <f>SUM(S72,S89,S109)</f>
        <v>15</v>
      </c>
      <c r="T114" s="2874">
        <f t="shared" ref="T114:AB114" si="74">SUM(T72,T89,T109)</f>
        <v>15</v>
      </c>
      <c r="U114" s="2874">
        <f t="shared" si="74"/>
        <v>20</v>
      </c>
      <c r="V114" s="2874">
        <f t="shared" si="74"/>
        <v>15</v>
      </c>
      <c r="W114" s="2874">
        <f t="shared" si="74"/>
        <v>6</v>
      </c>
      <c r="X114" s="3214">
        <f t="shared" si="74"/>
        <v>18</v>
      </c>
      <c r="Y114" s="3214">
        <f t="shared" si="74"/>
        <v>15</v>
      </c>
      <c r="Z114" s="3300">
        <f t="shared" si="74"/>
        <v>14</v>
      </c>
      <c r="AA114" s="3300">
        <f t="shared" si="74"/>
        <v>13</v>
      </c>
      <c r="AB114" s="3300">
        <f t="shared" si="74"/>
        <v>18</v>
      </c>
      <c r="AC114" s="3482">
        <f t="shared" ref="AC114:AE114" si="75">SUM(AC72,AC89,AC109)</f>
        <v>1</v>
      </c>
      <c r="AD114" s="3482">
        <f t="shared" si="75"/>
        <v>0</v>
      </c>
      <c r="AE114" s="3482">
        <f t="shared" si="75"/>
        <v>0</v>
      </c>
    </row>
    <row r="115" spans="1:31" s="1062" customFormat="1" ht="15" customHeight="1">
      <c r="A115" s="1072"/>
      <c r="B115" s="1070" t="s">
        <v>287</v>
      </c>
      <c r="C115" s="1081">
        <f t="shared" ref="C115:P115" si="76">SUM(C73,C90,C110)</f>
        <v>0</v>
      </c>
      <c r="D115" s="1081">
        <f t="shared" si="76"/>
        <v>0</v>
      </c>
      <c r="E115" s="1081">
        <f t="shared" si="76"/>
        <v>0</v>
      </c>
      <c r="F115" s="1081">
        <f t="shared" si="76"/>
        <v>14</v>
      </c>
      <c r="G115" s="1081">
        <f t="shared" si="76"/>
        <v>16</v>
      </c>
      <c r="H115" s="1081">
        <f t="shared" si="76"/>
        <v>22</v>
      </c>
      <c r="I115" s="1081">
        <f t="shared" si="76"/>
        <v>19</v>
      </c>
      <c r="J115" s="1081">
        <f t="shared" si="76"/>
        <v>19</v>
      </c>
      <c r="K115" s="1081">
        <f t="shared" si="76"/>
        <v>14</v>
      </c>
      <c r="L115" s="1081">
        <f t="shared" si="76"/>
        <v>14</v>
      </c>
      <c r="M115" s="1081">
        <f t="shared" si="76"/>
        <v>19</v>
      </c>
      <c r="N115" s="1081">
        <f t="shared" si="76"/>
        <v>13</v>
      </c>
      <c r="O115" s="1081">
        <f t="shared" si="76"/>
        <v>19</v>
      </c>
      <c r="P115" s="1081">
        <f t="shared" si="76"/>
        <v>19</v>
      </c>
      <c r="Q115" s="1062">
        <f>SUM(Q73,Q90,Q110)</f>
        <v>20</v>
      </c>
      <c r="R115" s="2753">
        <f>SUM(R73,R90,R110)</f>
        <v>15</v>
      </c>
      <c r="S115" s="2753">
        <f>SUM(S73,S90,S110)</f>
        <v>15</v>
      </c>
      <c r="T115" s="2874">
        <f t="shared" ref="T115:AB115" si="77">SUM(T73,T90,T110)</f>
        <v>15</v>
      </c>
      <c r="U115" s="2874">
        <f t="shared" si="77"/>
        <v>20</v>
      </c>
      <c r="V115" s="2874">
        <f t="shared" si="77"/>
        <v>15</v>
      </c>
      <c r="W115" s="2874">
        <f t="shared" si="77"/>
        <v>10</v>
      </c>
      <c r="X115" s="3214">
        <f t="shared" si="77"/>
        <v>20</v>
      </c>
      <c r="Y115" s="3214">
        <f t="shared" si="77"/>
        <v>15</v>
      </c>
      <c r="Z115" s="3300">
        <f t="shared" si="77"/>
        <v>14</v>
      </c>
      <c r="AA115" s="3300">
        <f t="shared" si="77"/>
        <v>14</v>
      </c>
      <c r="AB115" s="3300">
        <f t="shared" si="77"/>
        <v>19</v>
      </c>
      <c r="AC115" s="3482">
        <f t="shared" ref="AC115:AE115" si="78">SUM(AC73,AC90,AC110)</f>
        <v>1</v>
      </c>
      <c r="AD115" s="3482">
        <f t="shared" si="78"/>
        <v>0</v>
      </c>
      <c r="AE115" s="3482">
        <f t="shared" si="78"/>
        <v>0</v>
      </c>
    </row>
    <row r="116" spans="1:31" s="1062" customFormat="1" ht="15" customHeight="1">
      <c r="A116" s="1072"/>
      <c r="B116" s="1070" t="s">
        <v>202</v>
      </c>
      <c r="C116" s="1565" t="e">
        <f>C114/C115</f>
        <v>#DIV/0!</v>
      </c>
      <c r="D116" s="1565" t="e">
        <f t="shared" ref="D116:AB116" si="79">D114/D115</f>
        <v>#DIV/0!</v>
      </c>
      <c r="E116" s="1565" t="e">
        <f t="shared" si="79"/>
        <v>#DIV/0!</v>
      </c>
      <c r="F116" s="1565">
        <f t="shared" si="79"/>
        <v>1</v>
      </c>
      <c r="G116" s="1565">
        <f t="shared" si="79"/>
        <v>0.6875</v>
      </c>
      <c r="H116" s="1565">
        <f t="shared" si="79"/>
        <v>1</v>
      </c>
      <c r="I116" s="1565">
        <f t="shared" si="79"/>
        <v>1</v>
      </c>
      <c r="J116" s="1565">
        <f t="shared" si="79"/>
        <v>0.84210526315789469</v>
      </c>
      <c r="K116" s="1565">
        <f t="shared" si="79"/>
        <v>0.8571428571428571</v>
      </c>
      <c r="L116" s="1565">
        <f t="shared" si="79"/>
        <v>1</v>
      </c>
      <c r="M116" s="1565">
        <f t="shared" si="79"/>
        <v>0.73684210526315785</v>
      </c>
      <c r="N116" s="1565">
        <f t="shared" si="79"/>
        <v>0.92307692307692313</v>
      </c>
      <c r="O116" s="1565">
        <f t="shared" si="79"/>
        <v>0.73684210526315785</v>
      </c>
      <c r="P116" s="1565">
        <f t="shared" si="79"/>
        <v>1</v>
      </c>
      <c r="Q116" s="1565">
        <f t="shared" si="79"/>
        <v>1</v>
      </c>
      <c r="R116" s="1565">
        <f t="shared" si="79"/>
        <v>1</v>
      </c>
      <c r="S116" s="1565">
        <f t="shared" si="79"/>
        <v>1</v>
      </c>
      <c r="T116" s="1565">
        <f t="shared" si="79"/>
        <v>1</v>
      </c>
      <c r="U116" s="1565">
        <f t="shared" si="79"/>
        <v>1</v>
      </c>
      <c r="V116" s="1565">
        <f t="shared" si="79"/>
        <v>1</v>
      </c>
      <c r="W116" s="1565">
        <f t="shared" si="79"/>
        <v>0.6</v>
      </c>
      <c r="X116" s="1565">
        <f t="shared" si="79"/>
        <v>0.9</v>
      </c>
      <c r="Y116" s="1565">
        <f t="shared" si="79"/>
        <v>1</v>
      </c>
      <c r="Z116" s="1565">
        <f t="shared" si="79"/>
        <v>1</v>
      </c>
      <c r="AA116" s="1565">
        <f t="shared" si="79"/>
        <v>0.9285714285714286</v>
      </c>
      <c r="AB116" s="1565">
        <f t="shared" si="79"/>
        <v>0.94736842105263153</v>
      </c>
      <c r="AC116" s="1565">
        <f t="shared" ref="AC116:AE116" si="80">AC114/AC115</f>
        <v>1</v>
      </c>
      <c r="AD116" s="1565" t="e">
        <f t="shared" si="80"/>
        <v>#DIV/0!</v>
      </c>
      <c r="AE116" s="1565" t="e">
        <f t="shared" si="80"/>
        <v>#DIV/0!</v>
      </c>
    </row>
    <row r="117" spans="1:31" s="1040" customFormat="1" ht="15" customHeight="1">
      <c r="A117" s="1097"/>
      <c r="B117" s="1069" t="s">
        <v>295</v>
      </c>
      <c r="C117" s="1081"/>
      <c r="D117" s="1081"/>
      <c r="E117" s="1081"/>
      <c r="F117" s="1081"/>
      <c r="G117" s="1072"/>
      <c r="H117" s="1072"/>
      <c r="I117" s="1097"/>
      <c r="J117" s="1097"/>
      <c r="K117" s="1097"/>
      <c r="L117" s="1097"/>
      <c r="M117" s="1097"/>
      <c r="N117" s="1097"/>
      <c r="O117" s="1097"/>
      <c r="P117" s="767"/>
      <c r="T117" s="2874"/>
      <c r="U117" s="2874"/>
      <c r="V117" s="2874"/>
      <c r="W117" s="2874"/>
    </row>
    <row r="118" spans="1:31" ht="15" customHeight="1" thickBot="1">
      <c r="A118" s="116"/>
      <c r="B118" s="116"/>
      <c r="C118" s="116"/>
      <c r="D118" s="116"/>
      <c r="E118" s="116"/>
      <c r="F118" s="107"/>
      <c r="G118" s="107"/>
      <c r="H118" s="107"/>
      <c r="I118" s="120"/>
      <c r="J118" s="120"/>
      <c r="K118" s="120"/>
      <c r="L118" s="120"/>
      <c r="M118" s="120"/>
      <c r="N118" s="120"/>
      <c r="O118" s="120"/>
      <c r="P118" s="767"/>
    </row>
    <row r="119" spans="1:31" ht="15" customHeight="1" thickBot="1">
      <c r="A119" s="3722" t="s">
        <v>204</v>
      </c>
      <c r="B119" s="194"/>
      <c r="C119" s="194"/>
      <c r="D119" s="194"/>
      <c r="E119" s="194"/>
      <c r="F119" s="3650" t="s">
        <v>126</v>
      </c>
      <c r="G119" s="3650"/>
      <c r="H119" s="107"/>
      <c r="I119" s="107"/>
      <c r="J119" s="107"/>
      <c r="K119" s="107"/>
      <c r="L119" s="107"/>
      <c r="M119" s="107"/>
      <c r="N119" s="3650" t="s">
        <v>126</v>
      </c>
      <c r="O119" s="3650"/>
      <c r="P119" s="3656"/>
    </row>
    <row r="120" spans="1:31" ht="15" customHeight="1" thickBot="1">
      <c r="A120" s="3723"/>
      <c r="B120" s="194"/>
      <c r="C120" s="194"/>
      <c r="D120" s="194"/>
      <c r="E120" s="194"/>
      <c r="F120" s="3651"/>
      <c r="G120" s="3651"/>
      <c r="H120" s="107"/>
      <c r="I120" s="107"/>
      <c r="J120" s="107"/>
      <c r="K120" s="107"/>
      <c r="L120" s="107"/>
      <c r="M120" s="107"/>
      <c r="N120" s="3651"/>
      <c r="O120" s="3650"/>
      <c r="P120" s="3656"/>
      <c r="AB120" s="3516">
        <v>2017</v>
      </c>
      <c r="AC120" s="3517"/>
      <c r="AD120" s="3517"/>
      <c r="AE120" s="3518"/>
    </row>
    <row r="121" spans="1:31" ht="15" customHeight="1" thickBot="1">
      <c r="A121" s="121"/>
      <c r="B121" s="266" t="s">
        <v>168</v>
      </c>
      <c r="C121" s="268">
        <v>50</v>
      </c>
      <c r="D121" s="268">
        <v>50</v>
      </c>
      <c r="E121" s="268">
        <v>50</v>
      </c>
      <c r="F121" s="345">
        <v>50</v>
      </c>
      <c r="G121" s="346">
        <v>50</v>
      </c>
      <c r="H121" s="268">
        <v>50</v>
      </c>
      <c r="I121" s="268">
        <v>50</v>
      </c>
      <c r="J121" s="274">
        <v>50</v>
      </c>
      <c r="K121" s="360">
        <v>50</v>
      </c>
      <c r="L121" s="355">
        <v>50</v>
      </c>
      <c r="M121" s="355">
        <v>50</v>
      </c>
      <c r="N121" s="428">
        <v>50</v>
      </c>
      <c r="O121" s="428">
        <v>50</v>
      </c>
      <c r="P121" s="360">
        <v>50</v>
      </c>
      <c r="Q121" s="355">
        <v>50</v>
      </c>
      <c r="R121" s="355">
        <v>50</v>
      </c>
      <c r="S121" s="356">
        <v>50</v>
      </c>
      <c r="T121" s="356">
        <v>50</v>
      </c>
      <c r="U121" s="356">
        <v>50</v>
      </c>
      <c r="V121" s="356">
        <v>50</v>
      </c>
      <c r="W121" s="356">
        <v>50</v>
      </c>
      <c r="X121" s="356">
        <v>50</v>
      </c>
      <c r="Y121" s="356">
        <v>50</v>
      </c>
      <c r="Z121" s="356">
        <v>50</v>
      </c>
      <c r="AA121" s="356">
        <v>50</v>
      </c>
      <c r="AB121" s="356">
        <v>50</v>
      </c>
      <c r="AC121" s="356">
        <v>50</v>
      </c>
      <c r="AD121" s="356">
        <v>50</v>
      </c>
      <c r="AE121" s="356">
        <v>50</v>
      </c>
    </row>
    <row r="122" spans="1:31" ht="15" customHeight="1">
      <c r="A122" s="121"/>
      <c r="B122" s="249" t="s">
        <v>181</v>
      </c>
      <c r="C122" s="51"/>
      <c r="D122" s="51"/>
      <c r="E122" s="51"/>
      <c r="F122" s="316"/>
      <c r="G122" s="384"/>
      <c r="H122" s="444">
        <v>8.33</v>
      </c>
      <c r="I122" s="446">
        <v>16.66</v>
      </c>
      <c r="J122" s="887">
        <v>20</v>
      </c>
      <c r="K122" s="936">
        <v>10</v>
      </c>
      <c r="L122" s="958">
        <v>10</v>
      </c>
      <c r="M122" s="692">
        <v>10</v>
      </c>
      <c r="N122" s="693"/>
      <c r="O122" s="2142"/>
      <c r="P122" s="936">
        <v>10</v>
      </c>
      <c r="Q122" s="958">
        <v>20</v>
      </c>
      <c r="R122" s="692"/>
      <c r="S122" s="693"/>
      <c r="T122" s="3188"/>
      <c r="U122" s="3188">
        <v>17</v>
      </c>
      <c r="V122" s="3188">
        <v>10</v>
      </c>
      <c r="W122" s="3188">
        <v>10</v>
      </c>
      <c r="X122" s="3188">
        <v>10</v>
      </c>
      <c r="Y122" s="3188">
        <v>10</v>
      </c>
      <c r="Z122" s="3188">
        <v>10</v>
      </c>
      <c r="AA122" s="3188">
        <v>10</v>
      </c>
      <c r="AB122" s="3188">
        <v>7</v>
      </c>
      <c r="AC122" s="3188"/>
      <c r="AD122" s="3188"/>
      <c r="AE122" s="3188"/>
    </row>
    <row r="123" spans="1:31" ht="15" customHeight="1">
      <c r="A123" s="121"/>
      <c r="B123" s="202" t="s">
        <v>135</v>
      </c>
      <c r="C123" s="60"/>
      <c r="D123" s="447"/>
      <c r="E123" s="60"/>
      <c r="F123" s="448"/>
      <c r="G123" s="375"/>
      <c r="H123" s="444">
        <v>10</v>
      </c>
      <c r="I123" s="446">
        <v>20</v>
      </c>
      <c r="J123" s="887">
        <v>16.66</v>
      </c>
      <c r="K123" s="921">
        <v>20</v>
      </c>
      <c r="L123" s="959">
        <v>10</v>
      </c>
      <c r="M123" s="869">
        <v>10</v>
      </c>
      <c r="N123" s="885"/>
      <c r="O123" s="2142"/>
      <c r="P123" s="921">
        <v>20</v>
      </c>
      <c r="Q123" s="959">
        <v>23</v>
      </c>
      <c r="R123" s="869"/>
      <c r="S123" s="885"/>
      <c r="T123" s="3189"/>
      <c r="U123" s="3189">
        <v>13</v>
      </c>
      <c r="V123" s="3189">
        <v>10</v>
      </c>
      <c r="W123" s="3189">
        <v>16.670000000000002</v>
      </c>
      <c r="X123" s="3189">
        <v>10</v>
      </c>
      <c r="Y123" s="3189">
        <v>10</v>
      </c>
      <c r="Z123" s="3189">
        <v>14</v>
      </c>
      <c r="AA123" s="3189">
        <v>9</v>
      </c>
      <c r="AB123" s="3189">
        <v>8</v>
      </c>
      <c r="AC123" s="3189"/>
      <c r="AD123" s="3189"/>
      <c r="AE123" s="3189"/>
    </row>
    <row r="124" spans="1:31" ht="15" customHeight="1">
      <c r="A124" s="121"/>
      <c r="B124" s="249" t="s">
        <v>180</v>
      </c>
      <c r="C124" s="51"/>
      <c r="D124" s="51"/>
      <c r="E124" s="51"/>
      <c r="F124" s="316"/>
      <c r="G124" s="384"/>
      <c r="H124" s="444">
        <v>13.33</v>
      </c>
      <c r="I124" s="446">
        <v>20</v>
      </c>
      <c r="J124" s="887">
        <v>13.33</v>
      </c>
      <c r="K124" s="921">
        <v>10</v>
      </c>
      <c r="L124" s="959">
        <v>10</v>
      </c>
      <c r="M124" s="869">
        <v>10</v>
      </c>
      <c r="N124" s="885"/>
      <c r="O124" s="2142"/>
      <c r="P124" s="921">
        <v>10</v>
      </c>
      <c r="Q124" s="959">
        <v>20</v>
      </c>
      <c r="R124" s="869"/>
      <c r="S124" s="885"/>
      <c r="T124" s="3189"/>
      <c r="U124" s="3189">
        <v>50</v>
      </c>
      <c r="V124" s="3189">
        <v>16.670000000000002</v>
      </c>
      <c r="W124" s="3189">
        <v>10</v>
      </c>
      <c r="X124" s="3189">
        <v>15</v>
      </c>
      <c r="Y124" s="3189">
        <v>10</v>
      </c>
      <c r="Z124" s="3189">
        <v>20</v>
      </c>
      <c r="AA124" s="3189">
        <v>9</v>
      </c>
      <c r="AB124" s="3189">
        <v>9</v>
      </c>
      <c r="AC124" s="3189"/>
      <c r="AD124" s="3189"/>
      <c r="AE124" s="3189"/>
    </row>
    <row r="125" spans="1:31" ht="15" customHeight="1">
      <c r="A125" s="121"/>
      <c r="B125" s="202" t="s">
        <v>184</v>
      </c>
      <c r="C125" s="60"/>
      <c r="D125" s="60"/>
      <c r="E125" s="60"/>
      <c r="F125" s="448"/>
      <c r="G125" s="375"/>
      <c r="H125" s="444">
        <v>10</v>
      </c>
      <c r="I125" s="446">
        <v>30</v>
      </c>
      <c r="J125" s="887">
        <v>20</v>
      </c>
      <c r="K125" s="921">
        <v>20</v>
      </c>
      <c r="L125" s="959">
        <v>20</v>
      </c>
      <c r="M125" s="869">
        <v>20</v>
      </c>
      <c r="N125" s="885"/>
      <c r="O125" s="2142"/>
      <c r="P125" s="921">
        <v>20</v>
      </c>
      <c r="Q125" s="959">
        <v>27</v>
      </c>
      <c r="R125" s="869"/>
      <c r="S125" s="885"/>
      <c r="T125" s="3189"/>
      <c r="U125" s="3189">
        <v>37</v>
      </c>
      <c r="V125" s="3189">
        <v>33.33</v>
      </c>
      <c r="W125" s="3189">
        <v>30</v>
      </c>
      <c r="X125" s="3189">
        <v>20</v>
      </c>
      <c r="Y125" s="3189">
        <v>20</v>
      </c>
      <c r="Z125" s="3189">
        <v>22</v>
      </c>
      <c r="AA125" s="3189">
        <v>11</v>
      </c>
      <c r="AB125" s="3189">
        <v>9</v>
      </c>
      <c r="AC125" s="3189"/>
      <c r="AD125" s="3189"/>
      <c r="AE125" s="3189"/>
    </row>
    <row r="126" spans="1:31" ht="15" customHeight="1" thickBot="1">
      <c r="A126" s="121"/>
      <c r="B126" s="262" t="s">
        <v>179</v>
      </c>
      <c r="C126" s="710"/>
      <c r="D126" s="710"/>
      <c r="E126" s="710"/>
      <c r="F126" s="711"/>
      <c r="G126" s="384"/>
      <c r="H126" s="444">
        <v>10</v>
      </c>
      <c r="I126" s="446">
        <v>13.33</v>
      </c>
      <c r="J126" s="887">
        <v>10</v>
      </c>
      <c r="K126" s="937">
        <v>10</v>
      </c>
      <c r="L126" s="960">
        <v>10</v>
      </c>
      <c r="M126" s="540">
        <v>10</v>
      </c>
      <c r="N126" s="541"/>
      <c r="O126" s="61"/>
      <c r="P126" s="937">
        <v>10</v>
      </c>
      <c r="Q126" s="960">
        <v>17</v>
      </c>
      <c r="R126" s="540"/>
      <c r="S126" s="541"/>
      <c r="T126" s="2928"/>
      <c r="U126" s="3190">
        <v>10</v>
      </c>
      <c r="V126" s="3190">
        <v>10</v>
      </c>
      <c r="W126" s="3190">
        <v>10</v>
      </c>
      <c r="X126" s="3190">
        <v>10</v>
      </c>
      <c r="Y126" s="3190">
        <v>10</v>
      </c>
      <c r="Z126" s="3190">
        <v>16.670000000000002</v>
      </c>
      <c r="AA126" s="3190">
        <v>10</v>
      </c>
      <c r="AB126" s="3190">
        <v>8</v>
      </c>
      <c r="AC126" s="3190"/>
      <c r="AD126" s="3190"/>
      <c r="AE126" s="3190"/>
    </row>
    <row r="127" spans="1:31" s="1040" customFormat="1" ht="15" customHeight="1">
      <c r="A127" s="207"/>
      <c r="B127" s="207" t="s">
        <v>285</v>
      </c>
      <c r="C127" s="245">
        <f>COUNTIF(C122:C126,"&lt;=50")</f>
        <v>0</v>
      </c>
      <c r="D127" s="245">
        <f t="shared" ref="D127:N127" si="81">COUNTIF(D122:D126,"&lt;=50")</f>
        <v>0</v>
      </c>
      <c r="E127" s="245">
        <f t="shared" si="81"/>
        <v>0</v>
      </c>
      <c r="F127" s="245">
        <f t="shared" si="81"/>
        <v>0</v>
      </c>
      <c r="G127" s="245">
        <f t="shared" si="81"/>
        <v>0</v>
      </c>
      <c r="H127" s="245">
        <f t="shared" si="81"/>
        <v>5</v>
      </c>
      <c r="I127" s="245">
        <f t="shared" si="81"/>
        <v>5</v>
      </c>
      <c r="J127" s="245">
        <f t="shared" si="81"/>
        <v>5</v>
      </c>
      <c r="K127" s="245">
        <f t="shared" si="81"/>
        <v>5</v>
      </c>
      <c r="L127" s="245">
        <f t="shared" si="81"/>
        <v>5</v>
      </c>
      <c r="M127" s="245">
        <f t="shared" si="81"/>
        <v>5</v>
      </c>
      <c r="N127" s="245">
        <f t="shared" si="81"/>
        <v>0</v>
      </c>
      <c r="O127" s="245"/>
      <c r="P127" s="2977">
        <f>COUNTIF(P122:P126,"&lt;=50")</f>
        <v>5</v>
      </c>
      <c r="Q127" s="1040">
        <f>COUNTIF(Q122:Q126,"&lt;=50")</f>
        <v>5</v>
      </c>
      <c r="R127" s="2995"/>
      <c r="S127" s="2995"/>
      <c r="T127" s="2995"/>
      <c r="U127" s="2995">
        <f t="shared" ref="U127:AA127" si="82">COUNTIF(U122:U126,"&lt;=50")</f>
        <v>5</v>
      </c>
      <c r="V127" s="3300">
        <f t="shared" si="82"/>
        <v>5</v>
      </c>
      <c r="W127" s="3300">
        <f t="shared" si="82"/>
        <v>5</v>
      </c>
      <c r="X127" s="3300">
        <f t="shared" si="82"/>
        <v>5</v>
      </c>
      <c r="Y127" s="3300">
        <f t="shared" si="82"/>
        <v>5</v>
      </c>
      <c r="Z127" s="3300">
        <f t="shared" si="82"/>
        <v>5</v>
      </c>
      <c r="AA127" s="3300">
        <f t="shared" si="82"/>
        <v>5</v>
      </c>
      <c r="AB127" s="3482">
        <f t="shared" ref="AB127:AE127" si="83">COUNTIF(AB122:AB126,"&lt;=50")</f>
        <v>5</v>
      </c>
      <c r="AC127" s="3482">
        <f t="shared" si="83"/>
        <v>0</v>
      </c>
      <c r="AD127" s="3482">
        <f t="shared" si="83"/>
        <v>0</v>
      </c>
      <c r="AE127" s="3482">
        <f t="shared" si="83"/>
        <v>0</v>
      </c>
    </row>
    <row r="128" spans="1:31" s="1040" customFormat="1" ht="15" customHeight="1">
      <c r="A128" s="207"/>
      <c r="B128" s="207" t="s">
        <v>287</v>
      </c>
      <c r="C128" s="245">
        <f>COUNTA(C122:C126)</f>
        <v>0</v>
      </c>
      <c r="D128" s="245">
        <f t="shared" ref="D128:N128" si="84">COUNTA(D122:D126)</f>
        <v>0</v>
      </c>
      <c r="E128" s="245">
        <f t="shared" si="84"/>
        <v>0</v>
      </c>
      <c r="F128" s="245">
        <f t="shared" si="84"/>
        <v>0</v>
      </c>
      <c r="G128" s="245">
        <f t="shared" si="84"/>
        <v>0</v>
      </c>
      <c r="H128" s="245">
        <f t="shared" si="84"/>
        <v>5</v>
      </c>
      <c r="I128" s="245">
        <f t="shared" si="84"/>
        <v>5</v>
      </c>
      <c r="J128" s="245">
        <f t="shared" si="84"/>
        <v>5</v>
      </c>
      <c r="K128" s="245">
        <f t="shared" si="84"/>
        <v>5</v>
      </c>
      <c r="L128" s="245">
        <f t="shared" si="84"/>
        <v>5</v>
      </c>
      <c r="M128" s="245">
        <f t="shared" si="84"/>
        <v>5</v>
      </c>
      <c r="N128" s="245">
        <f t="shared" si="84"/>
        <v>0</v>
      </c>
      <c r="O128" s="245"/>
      <c r="P128" s="2977">
        <f>COUNT(P122:P126)</f>
        <v>5</v>
      </c>
      <c r="Q128" s="1040">
        <f>COUNT(Q122:Q126)</f>
        <v>5</v>
      </c>
      <c r="R128" s="2995"/>
      <c r="S128" s="2995"/>
      <c r="T128" s="2995"/>
      <c r="U128" s="2995">
        <f t="shared" ref="U128:AA128" si="85">COUNT(U122:U126)</f>
        <v>5</v>
      </c>
      <c r="V128" s="3300">
        <f t="shared" si="85"/>
        <v>5</v>
      </c>
      <c r="W128" s="3300">
        <f t="shared" si="85"/>
        <v>5</v>
      </c>
      <c r="X128" s="3300">
        <f t="shared" si="85"/>
        <v>5</v>
      </c>
      <c r="Y128" s="3300">
        <f t="shared" si="85"/>
        <v>5</v>
      </c>
      <c r="Z128" s="3300">
        <f t="shared" si="85"/>
        <v>5</v>
      </c>
      <c r="AA128" s="3300">
        <f t="shared" si="85"/>
        <v>5</v>
      </c>
      <c r="AB128" s="3482">
        <f t="shared" ref="AB128:AE128" si="86">COUNT(AB122:AB126)</f>
        <v>5</v>
      </c>
      <c r="AC128" s="3482">
        <f t="shared" si="86"/>
        <v>0</v>
      </c>
      <c r="AD128" s="3482">
        <f t="shared" si="86"/>
        <v>0</v>
      </c>
      <c r="AE128" s="3482">
        <f t="shared" si="86"/>
        <v>0</v>
      </c>
    </row>
    <row r="129" spans="1:31" s="1040" customFormat="1" ht="15" customHeight="1">
      <c r="A129" s="207"/>
      <c r="B129" s="207" t="s">
        <v>202</v>
      </c>
      <c r="C129" s="1054" t="e">
        <f t="shared" ref="C129:Q129" si="87">C127/C128</f>
        <v>#DIV/0!</v>
      </c>
      <c r="D129" s="1054" t="e">
        <f t="shared" si="87"/>
        <v>#DIV/0!</v>
      </c>
      <c r="E129" s="1054" t="e">
        <f t="shared" si="87"/>
        <v>#DIV/0!</v>
      </c>
      <c r="F129" s="1054" t="e">
        <f t="shared" si="87"/>
        <v>#DIV/0!</v>
      </c>
      <c r="G129" s="1054" t="e">
        <f t="shared" si="87"/>
        <v>#DIV/0!</v>
      </c>
      <c r="H129" s="1054">
        <f t="shared" si="87"/>
        <v>1</v>
      </c>
      <c r="I129" s="1054">
        <f t="shared" si="87"/>
        <v>1</v>
      </c>
      <c r="J129" s="1054">
        <f t="shared" si="87"/>
        <v>1</v>
      </c>
      <c r="K129" s="1054">
        <f t="shared" si="87"/>
        <v>1</v>
      </c>
      <c r="L129" s="1054">
        <f t="shared" si="87"/>
        <v>1</v>
      </c>
      <c r="M129" s="1054">
        <f t="shared" si="87"/>
        <v>1</v>
      </c>
      <c r="N129" s="1054" t="e">
        <f t="shared" si="87"/>
        <v>#DIV/0!</v>
      </c>
      <c r="O129" s="1054" t="e">
        <f t="shared" si="87"/>
        <v>#DIV/0!</v>
      </c>
      <c r="P129" s="1054">
        <f t="shared" si="87"/>
        <v>1</v>
      </c>
      <c r="Q129" s="1054">
        <f t="shared" si="87"/>
        <v>1</v>
      </c>
      <c r="R129" s="1054"/>
      <c r="S129" s="1054"/>
      <c r="T129" s="1054"/>
      <c r="U129" s="1054">
        <f t="shared" ref="U129:AA129" si="88">U127/U128</f>
        <v>1</v>
      </c>
      <c r="V129" s="1054">
        <f t="shared" si="88"/>
        <v>1</v>
      </c>
      <c r="W129" s="1054">
        <f t="shared" si="88"/>
        <v>1</v>
      </c>
      <c r="X129" s="1054">
        <f t="shared" si="88"/>
        <v>1</v>
      </c>
      <c r="Y129" s="1054">
        <f t="shared" si="88"/>
        <v>1</v>
      </c>
      <c r="Z129" s="1054">
        <f t="shared" si="88"/>
        <v>1</v>
      </c>
      <c r="AA129" s="1054">
        <f t="shared" si="88"/>
        <v>1</v>
      </c>
      <c r="AB129" s="1054">
        <f t="shared" ref="AB129:AE129" si="89">AB127/AB128</f>
        <v>1</v>
      </c>
      <c r="AC129" s="1054" t="e">
        <f t="shared" si="89"/>
        <v>#DIV/0!</v>
      </c>
      <c r="AD129" s="1054" t="e">
        <f t="shared" si="89"/>
        <v>#DIV/0!</v>
      </c>
      <c r="AE129" s="1054" t="e">
        <f t="shared" si="89"/>
        <v>#DIV/0!</v>
      </c>
    </row>
    <row r="130" spans="1:31" s="1040" customFormat="1" ht="15" customHeight="1">
      <c r="A130" s="121"/>
      <c r="B130" s="217"/>
      <c r="C130" s="245"/>
      <c r="D130" s="246"/>
      <c r="E130" s="218"/>
      <c r="F130" s="120"/>
      <c r="G130" s="107"/>
      <c r="H130" s="107"/>
      <c r="I130" s="107"/>
      <c r="J130" s="107"/>
      <c r="K130" s="107"/>
      <c r="L130" s="107"/>
      <c r="M130" s="107"/>
      <c r="N130" s="107"/>
      <c r="O130" s="107"/>
      <c r="P130" s="767"/>
      <c r="T130" s="2874"/>
      <c r="U130" s="2874"/>
      <c r="V130" s="2874"/>
      <c r="W130" s="2874"/>
      <c r="AB130" s="3482"/>
      <c r="AC130" s="3482"/>
      <c r="AD130" s="3482"/>
      <c r="AE130" s="3482"/>
    </row>
    <row r="131" spans="1:31" s="1040" customFormat="1" ht="15" customHeight="1">
      <c r="A131" s="121"/>
      <c r="B131" s="217"/>
      <c r="C131" s="245"/>
      <c r="D131" s="246"/>
      <c r="E131" s="218"/>
      <c r="F131" s="120"/>
      <c r="G131" s="107"/>
      <c r="H131" s="107"/>
      <c r="I131" s="107"/>
      <c r="J131" s="107"/>
      <c r="K131" s="107"/>
      <c r="L131" s="107"/>
      <c r="M131" s="107"/>
      <c r="N131" s="107"/>
      <c r="O131" s="107"/>
      <c r="P131" s="767"/>
      <c r="T131" s="2874"/>
      <c r="U131" s="2874"/>
      <c r="V131" s="2874"/>
      <c r="W131" s="2874"/>
    </row>
    <row r="132" spans="1:31" ht="15" customHeight="1">
      <c r="A132" s="121"/>
      <c r="B132" s="217"/>
      <c r="C132" s="245"/>
      <c r="D132" s="246"/>
      <c r="E132" s="218"/>
      <c r="F132" s="120"/>
      <c r="G132" s="107"/>
      <c r="H132" s="107"/>
      <c r="I132" s="107"/>
      <c r="J132" s="107"/>
      <c r="K132" s="107"/>
      <c r="L132" s="107"/>
      <c r="M132" s="107"/>
      <c r="N132" s="107"/>
      <c r="O132" s="107"/>
      <c r="P132" s="767"/>
    </row>
    <row r="133" spans="1:31" ht="15" customHeight="1" thickBot="1">
      <c r="A133" s="116"/>
      <c r="B133" s="116"/>
      <c r="C133" s="245"/>
      <c r="D133" s="246"/>
      <c r="E133" s="116"/>
      <c r="F133" s="3652" t="s">
        <v>234</v>
      </c>
      <c r="G133" s="3652"/>
      <c r="H133" s="107"/>
      <c r="I133" s="107"/>
      <c r="J133" s="107"/>
      <c r="K133" s="107"/>
      <c r="L133" s="107"/>
      <c r="M133" s="107"/>
      <c r="N133" s="3652" t="s">
        <v>234</v>
      </c>
      <c r="O133" s="3652"/>
      <c r="P133" s="3654"/>
    </row>
    <row r="134" spans="1:31" ht="15" customHeight="1" thickBot="1">
      <c r="A134" s="116"/>
      <c r="B134" s="116"/>
      <c r="C134" s="245"/>
      <c r="D134" s="246"/>
      <c r="E134" s="116"/>
      <c r="F134" s="3653"/>
      <c r="G134" s="3653"/>
      <c r="H134" s="107"/>
      <c r="I134" s="107"/>
      <c r="J134" s="107"/>
      <c r="K134" s="107"/>
      <c r="L134" s="107"/>
      <c r="M134" s="107"/>
      <c r="N134" s="3653"/>
      <c r="O134" s="3652"/>
      <c r="P134" s="3654"/>
      <c r="AB134" s="3516">
        <v>2017</v>
      </c>
      <c r="AC134" s="3517"/>
      <c r="AD134" s="3517"/>
      <c r="AE134" s="3518"/>
    </row>
    <row r="135" spans="1:31" ht="15" customHeight="1" thickBot="1">
      <c r="A135" s="121"/>
      <c r="B135" s="542" t="s">
        <v>168</v>
      </c>
      <c r="C135" s="355">
        <v>50</v>
      </c>
      <c r="D135" s="355">
        <v>50</v>
      </c>
      <c r="E135" s="355">
        <v>50</v>
      </c>
      <c r="F135" s="355">
        <v>50</v>
      </c>
      <c r="G135" s="355">
        <v>50</v>
      </c>
      <c r="H135" s="355">
        <v>50</v>
      </c>
      <c r="I135" s="355">
        <v>50</v>
      </c>
      <c r="J135" s="355">
        <v>50</v>
      </c>
      <c r="K135" s="355">
        <v>50</v>
      </c>
      <c r="L135" s="355">
        <v>50</v>
      </c>
      <c r="M135" s="355">
        <v>50</v>
      </c>
      <c r="N135" s="355">
        <v>50</v>
      </c>
      <c r="O135" s="355">
        <v>50</v>
      </c>
      <c r="P135" s="355">
        <v>50</v>
      </c>
      <c r="Q135" s="355">
        <v>50</v>
      </c>
      <c r="R135" s="355">
        <v>50</v>
      </c>
      <c r="S135" s="355">
        <v>50</v>
      </c>
      <c r="T135" s="355">
        <v>50</v>
      </c>
      <c r="U135" s="355">
        <v>50</v>
      </c>
      <c r="V135" s="355">
        <v>50</v>
      </c>
      <c r="W135" s="355">
        <v>50</v>
      </c>
      <c r="X135" s="355">
        <v>50</v>
      </c>
      <c r="Y135" s="355">
        <v>50</v>
      </c>
      <c r="Z135" s="355">
        <v>50</v>
      </c>
      <c r="AA135" s="355">
        <v>50</v>
      </c>
      <c r="AB135" s="355">
        <v>50</v>
      </c>
      <c r="AC135" s="355">
        <v>50</v>
      </c>
      <c r="AD135" s="355">
        <v>50</v>
      </c>
      <c r="AE135" s="355">
        <v>50</v>
      </c>
    </row>
    <row r="136" spans="1:31" ht="15" customHeight="1">
      <c r="A136" s="121"/>
      <c r="B136" s="698" t="s">
        <v>178</v>
      </c>
      <c r="C136" s="692"/>
      <c r="D136" s="692"/>
      <c r="E136" s="692"/>
      <c r="F136" s="693"/>
      <c r="G136" s="691"/>
      <c r="H136" s="692"/>
      <c r="I136" s="692"/>
      <c r="J136" s="898"/>
      <c r="K136" s="691"/>
      <c r="L136" s="958"/>
      <c r="M136" s="692"/>
      <c r="N136" s="693"/>
      <c r="O136" s="2142"/>
      <c r="P136" s="936"/>
      <c r="Q136" s="692"/>
      <c r="R136" s="692"/>
      <c r="S136" s="898"/>
      <c r="T136" s="691"/>
      <c r="U136" s="692"/>
      <c r="V136" s="692"/>
      <c r="W136" s="692"/>
      <c r="X136" s="692"/>
      <c r="Y136" s="692"/>
      <c r="Z136" s="692"/>
      <c r="AA136" s="693"/>
      <c r="AB136" s="693"/>
      <c r="AC136" s="693"/>
      <c r="AD136" s="693"/>
      <c r="AE136" s="693"/>
    </row>
    <row r="137" spans="1:31" ht="15" customHeight="1">
      <c r="A137" s="121"/>
      <c r="B137" s="363" t="s">
        <v>137</v>
      </c>
      <c r="C137" s="689"/>
      <c r="D137" s="668"/>
      <c r="E137" s="690"/>
      <c r="F137" s="403"/>
      <c r="G137" s="401"/>
      <c r="H137" s="402"/>
      <c r="I137" s="402"/>
      <c r="J137" s="899"/>
      <c r="K137" s="318"/>
      <c r="L137" s="952"/>
      <c r="M137" s="304"/>
      <c r="N137" s="319"/>
      <c r="O137" s="61"/>
      <c r="P137" s="921"/>
      <c r="Q137" s="869"/>
      <c r="R137" s="869"/>
      <c r="S137" s="2886"/>
      <c r="T137" s="888"/>
      <c r="U137" s="869"/>
      <c r="V137" s="869"/>
      <c r="W137" s="869">
        <v>3.6</v>
      </c>
      <c r="X137" s="869"/>
      <c r="Y137" s="869"/>
      <c r="Z137" s="869">
        <v>79.5</v>
      </c>
      <c r="AA137" s="885">
        <v>40</v>
      </c>
      <c r="AB137" s="885">
        <v>50</v>
      </c>
      <c r="AC137" s="885"/>
      <c r="AD137" s="885"/>
      <c r="AE137" s="885"/>
    </row>
    <row r="138" spans="1:31" ht="15" customHeight="1">
      <c r="A138" s="121"/>
      <c r="B138" s="260" t="s">
        <v>138</v>
      </c>
      <c r="C138" s="290"/>
      <c r="D138" s="291"/>
      <c r="E138" s="292"/>
      <c r="F138" s="287"/>
      <c r="G138" s="401"/>
      <c r="H138" s="402"/>
      <c r="I138" s="402"/>
      <c r="J138" s="899"/>
      <c r="K138" s="318"/>
      <c r="L138" s="952"/>
      <c r="M138" s="304"/>
      <c r="N138" s="319"/>
      <c r="O138" s="61"/>
      <c r="P138" s="921"/>
      <c r="Q138" s="869"/>
      <c r="R138" s="869"/>
      <c r="S138" s="2886"/>
      <c r="T138" s="888"/>
      <c r="U138" s="869"/>
      <c r="V138" s="869"/>
      <c r="W138" s="869">
        <v>4.0199999999999996</v>
      </c>
      <c r="X138" s="869"/>
      <c r="Y138" s="869"/>
      <c r="Z138" s="869">
        <v>103</v>
      </c>
      <c r="AA138" s="885">
        <v>35</v>
      </c>
      <c r="AB138" s="885">
        <v>69.67</v>
      </c>
      <c r="AC138" s="885"/>
      <c r="AD138" s="885"/>
      <c r="AE138" s="885"/>
    </row>
    <row r="139" spans="1:31" ht="15" customHeight="1">
      <c r="A139" s="121"/>
      <c r="B139" s="260" t="s">
        <v>139</v>
      </c>
      <c r="C139" s="290"/>
      <c r="D139" s="291"/>
      <c r="E139" s="292"/>
      <c r="F139" s="287"/>
      <c r="G139" s="401"/>
      <c r="H139" s="402"/>
      <c r="I139" s="402"/>
      <c r="J139" s="899"/>
      <c r="K139" s="318"/>
      <c r="L139" s="952"/>
      <c r="M139" s="304"/>
      <c r="N139" s="319"/>
      <c r="O139" s="61"/>
      <c r="P139" s="921"/>
      <c r="Q139" s="869"/>
      <c r="R139" s="869"/>
      <c r="S139" s="2886"/>
      <c r="T139" s="888"/>
      <c r="U139" s="869"/>
      <c r="V139" s="869"/>
      <c r="W139" s="869">
        <v>3.59</v>
      </c>
      <c r="X139" s="869"/>
      <c r="Y139" s="869"/>
      <c r="Z139" s="869">
        <v>44</v>
      </c>
      <c r="AA139" s="885">
        <v>68.33</v>
      </c>
      <c r="AB139" s="885">
        <v>66.33</v>
      </c>
      <c r="AC139" s="885"/>
      <c r="AD139" s="885"/>
      <c r="AE139" s="885"/>
    </row>
    <row r="140" spans="1:31" ht="15" customHeight="1">
      <c r="A140" s="121"/>
      <c r="B140" s="261" t="s">
        <v>136</v>
      </c>
      <c r="C140" s="293"/>
      <c r="D140" s="294"/>
      <c r="E140" s="295"/>
      <c r="F140" s="699"/>
      <c r="G140" s="401"/>
      <c r="H140" s="402"/>
      <c r="I140" s="402"/>
      <c r="J140" s="899"/>
      <c r="K140" s="871"/>
      <c r="L140" s="957"/>
      <c r="M140" s="870"/>
      <c r="N140" s="319"/>
      <c r="O140" s="61"/>
      <c r="P140" s="931"/>
      <c r="Q140" s="304"/>
      <c r="R140" s="304"/>
      <c r="S140" s="381"/>
      <c r="T140" s="318"/>
      <c r="U140" s="304"/>
      <c r="V140" s="304"/>
      <c r="W140" s="304">
        <v>3.38</v>
      </c>
      <c r="X140" s="304"/>
      <c r="Y140" s="304"/>
      <c r="Z140" s="304">
        <v>38.5</v>
      </c>
      <c r="AA140" s="319">
        <v>55</v>
      </c>
      <c r="AB140" s="319">
        <v>57</v>
      </c>
      <c r="AC140" s="319"/>
      <c r="AD140" s="319"/>
      <c r="AE140" s="319"/>
    </row>
    <row r="141" spans="1:31" ht="15" customHeight="1">
      <c r="A141" s="121"/>
      <c r="B141" s="249" t="s">
        <v>176</v>
      </c>
      <c r="C141" s="283"/>
      <c r="D141" s="283"/>
      <c r="E141" s="283"/>
      <c r="F141" s="299"/>
      <c r="G141" s="342"/>
      <c r="H141" s="298"/>
      <c r="I141" s="281"/>
      <c r="J141" s="659"/>
      <c r="K141" s="871"/>
      <c r="L141" s="957"/>
      <c r="M141" s="870"/>
      <c r="N141" s="319"/>
      <c r="O141" s="61"/>
      <c r="P141" s="931"/>
      <c r="Q141" s="304"/>
      <c r="R141" s="304"/>
      <c r="S141" s="381"/>
      <c r="T141" s="318"/>
      <c r="U141" s="304"/>
      <c r="V141" s="304"/>
      <c r="W141" s="304"/>
      <c r="X141" s="304"/>
      <c r="Y141" s="304"/>
      <c r="Z141" s="304"/>
      <c r="AA141" s="319"/>
      <c r="AB141" s="319"/>
      <c r="AC141" s="319"/>
      <c r="AD141" s="319"/>
      <c r="AE141" s="319"/>
    </row>
    <row r="142" spans="1:31" ht="15" customHeight="1" thickBot="1">
      <c r="A142" s="121"/>
      <c r="B142" s="262" t="s">
        <v>177</v>
      </c>
      <c r="C142" s="296"/>
      <c r="D142" s="296"/>
      <c r="E142" s="296"/>
      <c r="F142" s="717"/>
      <c r="G142" s="350"/>
      <c r="H142" s="694"/>
      <c r="I142" s="289"/>
      <c r="J142" s="900"/>
      <c r="K142" s="871"/>
      <c r="L142" s="957"/>
      <c r="M142" s="870"/>
      <c r="N142" s="319"/>
      <c r="O142" s="61"/>
      <c r="P142" s="932"/>
      <c r="Q142" s="321"/>
      <c r="R142" s="321"/>
      <c r="S142" s="382"/>
      <c r="T142" s="320"/>
      <c r="U142" s="321"/>
      <c r="V142" s="321"/>
      <c r="W142" s="321"/>
      <c r="X142" s="321"/>
      <c r="Y142" s="321"/>
      <c r="Z142" s="321"/>
      <c r="AA142" s="322"/>
      <c r="AB142" s="322"/>
      <c r="AC142" s="322"/>
      <c r="AD142" s="322"/>
      <c r="AE142" s="322"/>
    </row>
    <row r="143" spans="1:31" s="1040" customFormat="1" ht="15" customHeight="1">
      <c r="A143" s="207"/>
      <c r="B143" s="207" t="s">
        <v>285</v>
      </c>
      <c r="C143" s="245">
        <f>COUNTIF(C136:C142,"&lt;=50")</f>
        <v>0</v>
      </c>
      <c r="D143" s="245">
        <f t="shared" ref="D143:N143" si="90">COUNTIF(D136:D142,"&lt;=50")</f>
        <v>0</v>
      </c>
      <c r="E143" s="245">
        <f t="shared" si="90"/>
        <v>0</v>
      </c>
      <c r="F143" s="245">
        <f t="shared" si="90"/>
        <v>0</v>
      </c>
      <c r="G143" s="245">
        <f t="shared" si="90"/>
        <v>0</v>
      </c>
      <c r="H143" s="245">
        <f t="shared" si="90"/>
        <v>0</v>
      </c>
      <c r="I143" s="245">
        <f t="shared" si="90"/>
        <v>0</v>
      </c>
      <c r="J143" s="245">
        <f t="shared" si="90"/>
        <v>0</v>
      </c>
      <c r="K143" s="245">
        <f t="shared" si="90"/>
        <v>0</v>
      </c>
      <c r="L143" s="245">
        <f t="shared" si="90"/>
        <v>0</v>
      </c>
      <c r="M143" s="245">
        <f t="shared" si="90"/>
        <v>0</v>
      </c>
      <c r="N143" s="245">
        <f t="shared" si="90"/>
        <v>0</v>
      </c>
      <c r="O143" s="245"/>
      <c r="P143" s="767"/>
      <c r="Q143" s="2556">
        <f>COUNTIF(Q136:Q142,"&lt;=50")</f>
        <v>0</v>
      </c>
      <c r="R143" s="3300">
        <f t="shared" ref="R143:AA143" si="91">COUNTIF(R136:R142,"&lt;=50")</f>
        <v>0</v>
      </c>
      <c r="S143" s="3300">
        <f t="shared" si="91"/>
        <v>0</v>
      </c>
      <c r="T143" s="3300">
        <f t="shared" si="91"/>
        <v>0</v>
      </c>
      <c r="U143" s="3300">
        <f t="shared" si="91"/>
        <v>0</v>
      </c>
      <c r="V143" s="3300">
        <f t="shared" si="91"/>
        <v>0</v>
      </c>
      <c r="W143" s="3300">
        <f t="shared" si="91"/>
        <v>4</v>
      </c>
      <c r="X143" s="3300">
        <f t="shared" si="91"/>
        <v>0</v>
      </c>
      <c r="Y143" s="3300">
        <f t="shared" si="91"/>
        <v>0</v>
      </c>
      <c r="Z143" s="3300">
        <f t="shared" si="91"/>
        <v>2</v>
      </c>
      <c r="AA143" s="3300">
        <f t="shared" si="91"/>
        <v>2</v>
      </c>
      <c r="AB143" s="3482">
        <f t="shared" ref="AB143:AE143" si="92">COUNTIF(AB136:AB142,"&lt;=50")</f>
        <v>1</v>
      </c>
      <c r="AC143" s="3482">
        <f t="shared" si="92"/>
        <v>0</v>
      </c>
      <c r="AD143" s="3482">
        <f t="shared" si="92"/>
        <v>0</v>
      </c>
      <c r="AE143" s="3482">
        <f t="shared" si="92"/>
        <v>0</v>
      </c>
    </row>
    <row r="144" spans="1:31" s="1040" customFormat="1" ht="15" customHeight="1">
      <c r="A144" s="207"/>
      <c r="B144" s="207" t="s">
        <v>287</v>
      </c>
      <c r="C144" s="245">
        <f>COUNT(C136:C142)</f>
        <v>0</v>
      </c>
      <c r="D144" s="245">
        <f t="shared" ref="D144" si="93">COUNT(D136:D142)</f>
        <v>0</v>
      </c>
      <c r="E144" s="245">
        <f t="shared" ref="E144:AA144" si="94">COUNT(E136:E142)</f>
        <v>0</v>
      </c>
      <c r="F144" s="245">
        <f t="shared" si="94"/>
        <v>0</v>
      </c>
      <c r="G144" s="245">
        <f t="shared" si="94"/>
        <v>0</v>
      </c>
      <c r="H144" s="245">
        <f t="shared" si="94"/>
        <v>0</v>
      </c>
      <c r="I144" s="245">
        <f t="shared" si="94"/>
        <v>0</v>
      </c>
      <c r="J144" s="245">
        <f t="shared" si="94"/>
        <v>0</v>
      </c>
      <c r="K144" s="245">
        <f t="shared" si="94"/>
        <v>0</v>
      </c>
      <c r="L144" s="245">
        <f t="shared" si="94"/>
        <v>0</v>
      </c>
      <c r="M144" s="245">
        <f t="shared" si="94"/>
        <v>0</v>
      </c>
      <c r="N144" s="245">
        <f t="shared" si="94"/>
        <v>0</v>
      </c>
      <c r="O144" s="245">
        <f t="shared" si="94"/>
        <v>0</v>
      </c>
      <c r="P144" s="245">
        <f t="shared" si="94"/>
        <v>0</v>
      </c>
      <c r="Q144" s="245">
        <f t="shared" si="94"/>
        <v>0</v>
      </c>
      <c r="R144" s="245">
        <f t="shared" si="94"/>
        <v>0</v>
      </c>
      <c r="S144" s="245">
        <f t="shared" si="94"/>
        <v>0</v>
      </c>
      <c r="T144" s="245">
        <f t="shared" si="94"/>
        <v>0</v>
      </c>
      <c r="U144" s="245">
        <f t="shared" si="94"/>
        <v>0</v>
      </c>
      <c r="V144" s="245">
        <f t="shared" si="94"/>
        <v>0</v>
      </c>
      <c r="W144" s="245">
        <f t="shared" si="94"/>
        <v>4</v>
      </c>
      <c r="X144" s="245">
        <f t="shared" si="94"/>
        <v>0</v>
      </c>
      <c r="Y144" s="245">
        <f t="shared" si="94"/>
        <v>0</v>
      </c>
      <c r="Z144" s="245">
        <f t="shared" si="94"/>
        <v>4</v>
      </c>
      <c r="AA144" s="245">
        <f t="shared" si="94"/>
        <v>4</v>
      </c>
      <c r="AB144" s="245">
        <f t="shared" ref="AB144:AE144" si="95">COUNT(AB136:AB142)</f>
        <v>4</v>
      </c>
      <c r="AC144" s="245">
        <f t="shared" si="95"/>
        <v>0</v>
      </c>
      <c r="AD144" s="245">
        <f t="shared" si="95"/>
        <v>0</v>
      </c>
      <c r="AE144" s="245">
        <f t="shared" si="95"/>
        <v>0</v>
      </c>
    </row>
    <row r="145" spans="1:31" s="1040" customFormat="1" ht="15" customHeight="1">
      <c r="A145" s="207"/>
      <c r="B145" s="207" t="s">
        <v>202</v>
      </c>
      <c r="C145" s="1054" t="e">
        <f t="shared" ref="C145:D145" si="96">C143/C144</f>
        <v>#DIV/0!</v>
      </c>
      <c r="D145" s="1054" t="e">
        <f t="shared" si="96"/>
        <v>#DIV/0!</v>
      </c>
      <c r="E145" s="1054" t="e">
        <f t="shared" ref="E145:AA145" si="97">E143/E144</f>
        <v>#DIV/0!</v>
      </c>
      <c r="F145" s="1054" t="e">
        <f t="shared" si="97"/>
        <v>#DIV/0!</v>
      </c>
      <c r="G145" s="1054" t="e">
        <f t="shared" si="97"/>
        <v>#DIV/0!</v>
      </c>
      <c r="H145" s="1054" t="e">
        <f t="shared" si="97"/>
        <v>#DIV/0!</v>
      </c>
      <c r="I145" s="1054" t="e">
        <f t="shared" si="97"/>
        <v>#DIV/0!</v>
      </c>
      <c r="J145" s="1054" t="e">
        <f t="shared" si="97"/>
        <v>#DIV/0!</v>
      </c>
      <c r="K145" s="1054" t="e">
        <f t="shared" si="97"/>
        <v>#DIV/0!</v>
      </c>
      <c r="L145" s="1054" t="e">
        <f t="shared" si="97"/>
        <v>#DIV/0!</v>
      </c>
      <c r="M145" s="1054" t="e">
        <f t="shared" si="97"/>
        <v>#DIV/0!</v>
      </c>
      <c r="N145" s="1054" t="e">
        <f t="shared" si="97"/>
        <v>#DIV/0!</v>
      </c>
      <c r="O145" s="1054" t="e">
        <f t="shared" si="97"/>
        <v>#DIV/0!</v>
      </c>
      <c r="P145" s="1054" t="e">
        <f t="shared" si="97"/>
        <v>#DIV/0!</v>
      </c>
      <c r="Q145" s="1054" t="e">
        <f t="shared" si="97"/>
        <v>#DIV/0!</v>
      </c>
      <c r="R145" s="1054" t="e">
        <f t="shared" si="97"/>
        <v>#DIV/0!</v>
      </c>
      <c r="S145" s="1054" t="e">
        <f t="shared" si="97"/>
        <v>#DIV/0!</v>
      </c>
      <c r="T145" s="1054" t="e">
        <f t="shared" si="97"/>
        <v>#DIV/0!</v>
      </c>
      <c r="U145" s="1054" t="e">
        <f t="shared" si="97"/>
        <v>#DIV/0!</v>
      </c>
      <c r="V145" s="1054" t="e">
        <f t="shared" si="97"/>
        <v>#DIV/0!</v>
      </c>
      <c r="W145" s="1054">
        <f t="shared" si="97"/>
        <v>1</v>
      </c>
      <c r="X145" s="1054" t="e">
        <f t="shared" si="97"/>
        <v>#DIV/0!</v>
      </c>
      <c r="Y145" s="1054" t="e">
        <f t="shared" si="97"/>
        <v>#DIV/0!</v>
      </c>
      <c r="Z145" s="1054">
        <f t="shared" si="97"/>
        <v>0.5</v>
      </c>
      <c r="AA145" s="1054">
        <f t="shared" si="97"/>
        <v>0.5</v>
      </c>
      <c r="AB145" s="1054">
        <f t="shared" ref="AB145:AE145" si="98">AB143/AB144</f>
        <v>0.25</v>
      </c>
      <c r="AC145" s="1054" t="e">
        <f t="shared" si="98"/>
        <v>#DIV/0!</v>
      </c>
      <c r="AD145" s="1054" t="e">
        <f t="shared" si="98"/>
        <v>#DIV/0!</v>
      </c>
      <c r="AE145" s="1054" t="e">
        <f t="shared" si="98"/>
        <v>#DIV/0!</v>
      </c>
    </row>
    <row r="146" spans="1:31" s="1040" customFormat="1" ht="15" customHeight="1">
      <c r="A146" s="121"/>
      <c r="B146" s="117"/>
      <c r="C146" s="110"/>
      <c r="D146" s="110"/>
      <c r="E146" s="110"/>
      <c r="F146" s="110"/>
      <c r="G146" s="107"/>
      <c r="H146" s="107"/>
      <c r="I146" s="120"/>
      <c r="J146" s="120"/>
      <c r="K146" s="221"/>
      <c r="L146" s="221"/>
      <c r="M146" s="221"/>
      <c r="N146" s="107"/>
      <c r="O146" s="107"/>
      <c r="P146" s="767"/>
      <c r="T146" s="2874"/>
      <c r="U146" s="2874"/>
      <c r="V146" s="2874"/>
      <c r="W146" s="2874"/>
    </row>
    <row r="147" spans="1:31" s="1040" customFormat="1" ht="15" customHeight="1">
      <c r="A147" s="121"/>
      <c r="B147" s="117"/>
      <c r="C147" s="110"/>
      <c r="D147" s="110"/>
      <c r="E147" s="110"/>
      <c r="F147" s="110"/>
      <c r="G147" s="107"/>
      <c r="H147" s="107"/>
      <c r="I147" s="120"/>
      <c r="J147" s="120"/>
      <c r="K147" s="221"/>
      <c r="L147" s="221"/>
      <c r="M147" s="221"/>
      <c r="N147" s="107"/>
      <c r="O147" s="107"/>
      <c r="P147" s="767"/>
      <c r="T147" s="2874"/>
      <c r="U147" s="2874"/>
      <c r="V147" s="2874"/>
      <c r="W147" s="2874"/>
    </row>
    <row r="148" spans="1:31" ht="15" customHeight="1">
      <c r="A148" s="121"/>
      <c r="B148" s="117"/>
      <c r="C148" s="110"/>
      <c r="D148" s="110"/>
      <c r="E148" s="110"/>
      <c r="F148" s="110"/>
      <c r="G148" s="107"/>
      <c r="H148" s="107"/>
      <c r="I148" s="120"/>
      <c r="J148" s="120"/>
      <c r="K148" s="221"/>
      <c r="L148" s="221"/>
      <c r="M148" s="221"/>
      <c r="N148" s="107"/>
      <c r="O148" s="107"/>
      <c r="P148" s="767"/>
    </row>
    <row r="149" spans="1:31" ht="15" customHeight="1" thickBot="1">
      <c r="A149" s="116"/>
      <c r="B149" s="116"/>
      <c r="C149" s="110"/>
      <c r="D149" s="110"/>
      <c r="E149" s="116"/>
      <c r="F149" s="3652" t="s">
        <v>235</v>
      </c>
      <c r="G149" s="3652"/>
      <c r="H149" s="107"/>
      <c r="I149" s="120"/>
      <c r="J149" s="120"/>
      <c r="K149" s="221"/>
      <c r="L149" s="221"/>
      <c r="M149" s="107"/>
      <c r="N149" s="3652" t="s">
        <v>235</v>
      </c>
      <c r="O149" s="3652"/>
      <c r="P149" s="3654"/>
    </row>
    <row r="150" spans="1:31" ht="15" customHeight="1" thickBot="1">
      <c r="A150" s="116"/>
      <c r="B150" s="116"/>
      <c r="C150" s="245"/>
      <c r="D150" s="246"/>
      <c r="E150" s="116"/>
      <c r="F150" s="3653"/>
      <c r="G150" s="3653"/>
      <c r="H150" s="107"/>
      <c r="I150" s="120"/>
      <c r="J150" s="120"/>
      <c r="K150" s="221"/>
      <c r="L150" s="221"/>
      <c r="M150" s="107"/>
      <c r="N150" s="3653"/>
      <c r="O150" s="3652"/>
      <c r="P150" s="3654"/>
      <c r="AB150" s="3516">
        <v>2017</v>
      </c>
      <c r="AC150" s="3517"/>
      <c r="AD150" s="3517"/>
      <c r="AE150" s="3518"/>
    </row>
    <row r="151" spans="1:31" ht="15" customHeight="1" thickBot="1">
      <c r="A151" s="116"/>
      <c r="B151" s="266" t="s">
        <v>168</v>
      </c>
      <c r="C151" s="268">
        <v>50</v>
      </c>
      <c r="D151" s="268">
        <v>50</v>
      </c>
      <c r="E151" s="268">
        <v>50</v>
      </c>
      <c r="F151" s="345">
        <v>50</v>
      </c>
      <c r="G151" s="346">
        <v>50</v>
      </c>
      <c r="H151" s="268">
        <v>50</v>
      </c>
      <c r="I151" s="268">
        <v>50</v>
      </c>
      <c r="J151" s="274">
        <v>50</v>
      </c>
      <c r="K151" s="346">
        <v>50</v>
      </c>
      <c r="L151" s="268">
        <v>50</v>
      </c>
      <c r="M151" s="268">
        <v>50</v>
      </c>
      <c r="N151" s="274">
        <v>50</v>
      </c>
      <c r="O151" s="345">
        <v>50</v>
      </c>
      <c r="P151" s="346">
        <v>50</v>
      </c>
      <c r="Q151" s="268">
        <v>50</v>
      </c>
      <c r="R151" s="268">
        <v>50</v>
      </c>
      <c r="S151" s="269">
        <v>50</v>
      </c>
      <c r="T151" s="269">
        <v>50</v>
      </c>
      <c r="U151" s="269">
        <v>50</v>
      </c>
      <c r="V151" s="269">
        <v>50</v>
      </c>
      <c r="W151" s="269">
        <v>50</v>
      </c>
      <c r="X151" s="269">
        <v>50</v>
      </c>
      <c r="Y151" s="269">
        <v>50</v>
      </c>
      <c r="Z151" s="269">
        <v>50</v>
      </c>
      <c r="AA151" s="269">
        <v>50</v>
      </c>
      <c r="AB151" s="269">
        <v>50</v>
      </c>
      <c r="AC151" s="269">
        <v>50</v>
      </c>
      <c r="AD151" s="269">
        <v>50</v>
      </c>
      <c r="AE151" s="269">
        <v>50</v>
      </c>
    </row>
    <row r="152" spans="1:31" ht="15" customHeight="1">
      <c r="A152" s="116"/>
      <c r="B152" s="264" t="s">
        <v>183</v>
      </c>
      <c r="C152" s="243"/>
      <c r="D152" s="243"/>
      <c r="E152" s="243"/>
      <c r="F152" s="372">
        <v>61</v>
      </c>
      <c r="G152" s="314"/>
      <c r="H152" s="442">
        <v>40</v>
      </c>
      <c r="I152" s="442">
        <v>102</v>
      </c>
      <c r="J152" s="532">
        <v>114</v>
      </c>
      <c r="K152" s="934">
        <v>121</v>
      </c>
      <c r="L152" s="953">
        <v>37.33</v>
      </c>
      <c r="M152" s="873">
        <v>114</v>
      </c>
      <c r="N152" s="2186">
        <v>32.67</v>
      </c>
      <c r="O152" s="2144">
        <f>AVERAGE(K152:N152)</f>
        <v>76.25</v>
      </c>
      <c r="P152" s="934">
        <v>60.33</v>
      </c>
      <c r="Q152" s="2190">
        <v>50.33</v>
      </c>
      <c r="R152" s="2190"/>
      <c r="S152" s="2191"/>
      <c r="T152" s="2191"/>
      <c r="U152" s="2191"/>
      <c r="V152" s="2191"/>
      <c r="W152" s="2191"/>
      <c r="X152" s="2191"/>
      <c r="Y152" s="2191"/>
      <c r="Z152" s="2191" t="s">
        <v>336</v>
      </c>
      <c r="AA152" s="2191"/>
      <c r="AB152" s="2191">
        <v>103</v>
      </c>
      <c r="AC152" s="2191"/>
      <c r="AD152" s="2191"/>
      <c r="AE152" s="2191"/>
    </row>
    <row r="153" spans="1:31" ht="15" customHeight="1">
      <c r="A153" s="121"/>
      <c r="B153" s="202" t="s">
        <v>140</v>
      </c>
      <c r="C153" s="443"/>
      <c r="D153" s="60"/>
      <c r="E153" s="60"/>
      <c r="F153" s="373">
        <v>46</v>
      </c>
      <c r="G153" s="375"/>
      <c r="H153" s="444">
        <v>27.5</v>
      </c>
      <c r="I153" s="444">
        <v>7</v>
      </c>
      <c r="J153" s="445">
        <v>32</v>
      </c>
      <c r="K153" s="921">
        <v>59.66</v>
      </c>
      <c r="L153" s="951">
        <v>31</v>
      </c>
      <c r="M153" s="875">
        <v>32</v>
      </c>
      <c r="N153" s="2187">
        <v>15.67</v>
      </c>
      <c r="O153" s="2144">
        <f t="shared" ref="O153:O161" si="99">AVERAGE(K153:N153)</f>
        <v>34.582499999999996</v>
      </c>
      <c r="P153" s="921">
        <v>60.67</v>
      </c>
      <c r="Q153" s="869">
        <v>26</v>
      </c>
      <c r="R153" s="869"/>
      <c r="S153" s="885"/>
      <c r="T153" s="885"/>
      <c r="U153" s="885"/>
      <c r="V153" s="885"/>
      <c r="W153" s="885"/>
      <c r="X153" s="885"/>
      <c r="Y153" s="885"/>
      <c r="Z153" s="885" t="s">
        <v>336</v>
      </c>
      <c r="AA153" s="885"/>
      <c r="AB153" s="885">
        <v>13.33</v>
      </c>
      <c r="AC153" s="885"/>
      <c r="AD153" s="885"/>
      <c r="AE153" s="885"/>
    </row>
    <row r="154" spans="1:31" ht="15" customHeight="1">
      <c r="A154" s="121"/>
      <c r="B154" s="250" t="s">
        <v>182</v>
      </c>
      <c r="C154" s="60"/>
      <c r="D154" s="60"/>
      <c r="E154" s="60"/>
      <c r="F154" s="373">
        <v>62</v>
      </c>
      <c r="G154" s="315"/>
      <c r="H154" s="444">
        <v>42.5</v>
      </c>
      <c r="I154" s="444">
        <v>198</v>
      </c>
      <c r="J154" s="445">
        <v>131</v>
      </c>
      <c r="K154" s="935">
        <v>121.33</v>
      </c>
      <c r="L154" s="877">
        <v>36</v>
      </c>
      <c r="M154" s="877">
        <v>39</v>
      </c>
      <c r="N154" s="2187"/>
      <c r="O154" s="2144">
        <f t="shared" si="99"/>
        <v>65.443333333333328</v>
      </c>
      <c r="P154" s="921">
        <v>43.67</v>
      </c>
      <c r="Q154" s="869">
        <v>55.33</v>
      </c>
      <c r="R154" s="869"/>
      <c r="S154" s="885"/>
      <c r="T154" s="885"/>
      <c r="U154" s="885"/>
      <c r="V154" s="885"/>
      <c r="W154" s="885"/>
      <c r="X154" s="885"/>
      <c r="Y154" s="885"/>
      <c r="Z154" s="885" t="s">
        <v>336</v>
      </c>
      <c r="AA154" s="885"/>
      <c r="AB154" s="885">
        <v>67.66</v>
      </c>
      <c r="AC154" s="885"/>
      <c r="AD154" s="885"/>
      <c r="AE154" s="885"/>
    </row>
    <row r="155" spans="1:31" ht="15" customHeight="1">
      <c r="A155" s="121"/>
      <c r="B155" s="202" t="s">
        <v>142</v>
      </c>
      <c r="C155" s="443"/>
      <c r="D155" s="60"/>
      <c r="E155" s="60"/>
      <c r="F155" s="373">
        <v>81.69</v>
      </c>
      <c r="G155" s="375"/>
      <c r="H155" s="444">
        <v>49</v>
      </c>
      <c r="I155" s="444">
        <v>232</v>
      </c>
      <c r="J155" s="445">
        <v>84.33</v>
      </c>
      <c r="K155" s="921">
        <v>80.33</v>
      </c>
      <c r="L155" s="954">
        <v>58.33</v>
      </c>
      <c r="M155" s="878">
        <v>187.33</v>
      </c>
      <c r="N155" s="2187">
        <v>40.67</v>
      </c>
      <c r="O155" s="2144">
        <f t="shared" si="99"/>
        <v>91.665000000000006</v>
      </c>
      <c r="P155" s="921">
        <v>69.33</v>
      </c>
      <c r="Q155" s="869">
        <v>48.67</v>
      </c>
      <c r="R155" s="869"/>
      <c r="S155" s="885"/>
      <c r="T155" s="885"/>
      <c r="U155" s="885"/>
      <c r="V155" s="885"/>
      <c r="W155" s="885"/>
      <c r="X155" s="885"/>
      <c r="Y155" s="885"/>
      <c r="Z155" s="885" t="s">
        <v>336</v>
      </c>
      <c r="AA155" s="885"/>
      <c r="AB155" s="885">
        <v>70</v>
      </c>
      <c r="AC155" s="885"/>
      <c r="AD155" s="885"/>
      <c r="AE155" s="885"/>
    </row>
    <row r="156" spans="1:31" ht="15" customHeight="1">
      <c r="A156" s="121"/>
      <c r="B156" s="202" t="s">
        <v>141</v>
      </c>
      <c r="C156" s="443"/>
      <c r="D156" s="60"/>
      <c r="E156" s="60"/>
      <c r="F156" s="373">
        <v>73</v>
      </c>
      <c r="G156" s="375"/>
      <c r="H156" s="444">
        <v>50.5</v>
      </c>
      <c r="I156" s="444">
        <v>222</v>
      </c>
      <c r="J156" s="445">
        <v>98.66</v>
      </c>
      <c r="K156" s="921">
        <v>122</v>
      </c>
      <c r="L156" s="952">
        <v>38.659999999999997</v>
      </c>
      <c r="M156" s="304">
        <v>14.632999999999999</v>
      </c>
      <c r="N156" s="2188">
        <v>30.67</v>
      </c>
      <c r="O156" s="2144">
        <f t="shared" si="99"/>
        <v>51.490750000000006</v>
      </c>
      <c r="P156" s="931">
        <v>60.67</v>
      </c>
      <c r="Q156" s="304">
        <v>41</v>
      </c>
      <c r="R156" s="304"/>
      <c r="S156" s="319"/>
      <c r="T156" s="319"/>
      <c r="U156" s="319"/>
      <c r="V156" s="319"/>
      <c r="W156" s="319"/>
      <c r="X156" s="319"/>
      <c r="Y156" s="319"/>
      <c r="Z156" s="319" t="s">
        <v>336</v>
      </c>
      <c r="AA156" s="319"/>
      <c r="AB156" s="319">
        <v>73</v>
      </c>
      <c r="AC156" s="319"/>
      <c r="AD156" s="319"/>
      <c r="AE156" s="319"/>
    </row>
    <row r="157" spans="1:31" ht="15" customHeight="1">
      <c r="A157" s="121"/>
      <c r="B157" s="202" t="s">
        <v>147</v>
      </c>
      <c r="C157" s="443"/>
      <c r="D157" s="60"/>
      <c r="E157" s="60"/>
      <c r="F157" s="373">
        <v>54.6</v>
      </c>
      <c r="G157" s="375"/>
      <c r="H157" s="444">
        <v>26.5</v>
      </c>
      <c r="I157" s="444">
        <v>112</v>
      </c>
      <c r="J157" s="445">
        <v>82</v>
      </c>
      <c r="K157" s="921">
        <v>44.66</v>
      </c>
      <c r="L157" s="952">
        <v>74</v>
      </c>
      <c r="M157" s="304">
        <v>117.67</v>
      </c>
      <c r="N157" s="2188">
        <v>26.67</v>
      </c>
      <c r="O157" s="2144">
        <f t="shared" si="99"/>
        <v>65.75</v>
      </c>
      <c r="P157" s="931">
        <v>26</v>
      </c>
      <c r="Q157" s="304">
        <v>81.33</v>
      </c>
      <c r="R157" s="304"/>
      <c r="S157" s="319"/>
      <c r="T157" s="319"/>
      <c r="U157" s="319"/>
      <c r="V157" s="319"/>
      <c r="W157" s="319"/>
      <c r="X157" s="319"/>
      <c r="Y157" s="319"/>
      <c r="Z157" s="319" t="s">
        <v>336</v>
      </c>
      <c r="AA157" s="319"/>
      <c r="AB157" s="319">
        <v>49.33</v>
      </c>
      <c r="AC157" s="319"/>
      <c r="AD157" s="319"/>
      <c r="AE157" s="319"/>
    </row>
    <row r="158" spans="1:31" ht="15" customHeight="1">
      <c r="A158" s="121"/>
      <c r="B158" s="202" t="s">
        <v>146</v>
      </c>
      <c r="C158" s="443"/>
      <c r="D158" s="60"/>
      <c r="E158" s="60"/>
      <c r="F158" s="373">
        <v>47.6</v>
      </c>
      <c r="G158" s="375"/>
      <c r="H158" s="444">
        <v>30</v>
      </c>
      <c r="I158" s="444">
        <v>148</v>
      </c>
      <c r="J158" s="445">
        <v>45</v>
      </c>
      <c r="K158" s="921">
        <v>36</v>
      </c>
      <c r="L158" s="952">
        <v>74.66</v>
      </c>
      <c r="M158" s="304">
        <v>100.67</v>
      </c>
      <c r="N158" s="2188">
        <v>20.67</v>
      </c>
      <c r="O158" s="2144">
        <f t="shared" si="99"/>
        <v>58</v>
      </c>
      <c r="P158" s="931">
        <v>26</v>
      </c>
      <c r="Q158" s="304">
        <v>89</v>
      </c>
      <c r="R158" s="304"/>
      <c r="S158" s="319"/>
      <c r="T158" s="319"/>
      <c r="U158" s="319"/>
      <c r="V158" s="319"/>
      <c r="W158" s="319"/>
      <c r="X158" s="319"/>
      <c r="Y158" s="319"/>
      <c r="Z158" s="319" t="s">
        <v>336</v>
      </c>
      <c r="AA158" s="319"/>
      <c r="AB158" s="319">
        <v>46</v>
      </c>
      <c r="AC158" s="319"/>
      <c r="AD158" s="319"/>
      <c r="AE158" s="319"/>
    </row>
    <row r="159" spans="1:31" ht="15" customHeight="1">
      <c r="A159" s="121"/>
      <c r="B159" s="202" t="s">
        <v>145</v>
      </c>
      <c r="C159" s="443"/>
      <c r="D159" s="60"/>
      <c r="E159" s="60"/>
      <c r="F159" s="373">
        <v>67.66</v>
      </c>
      <c r="G159" s="375"/>
      <c r="H159" s="444">
        <v>29</v>
      </c>
      <c r="I159" s="444">
        <v>150</v>
      </c>
      <c r="J159" s="385">
        <v>109</v>
      </c>
      <c r="K159" s="921">
        <v>95.33</v>
      </c>
      <c r="L159" s="952">
        <v>72</v>
      </c>
      <c r="M159" s="304">
        <v>205.67</v>
      </c>
      <c r="N159" s="2188">
        <v>39</v>
      </c>
      <c r="O159" s="2144">
        <f t="shared" si="99"/>
        <v>103</v>
      </c>
      <c r="P159" s="931">
        <v>26</v>
      </c>
      <c r="Q159" s="304">
        <v>63.67</v>
      </c>
      <c r="R159" s="304"/>
      <c r="S159" s="319"/>
      <c r="T159" s="319"/>
      <c r="U159" s="319"/>
      <c r="V159" s="319"/>
      <c r="W159" s="319"/>
      <c r="X159" s="319"/>
      <c r="Y159" s="319"/>
      <c r="Z159" s="319" t="s">
        <v>336</v>
      </c>
      <c r="AA159" s="319"/>
      <c r="AB159" s="319" t="s">
        <v>336</v>
      </c>
      <c r="AC159" s="319"/>
      <c r="AD159" s="319"/>
      <c r="AE159" s="319"/>
    </row>
    <row r="160" spans="1:31" ht="15" customHeight="1">
      <c r="A160" s="121"/>
      <c r="B160" s="202" t="s">
        <v>144</v>
      </c>
      <c r="C160" s="443"/>
      <c r="D160" s="60"/>
      <c r="E160" s="60"/>
      <c r="F160" s="373">
        <v>122.66</v>
      </c>
      <c r="G160" s="375"/>
      <c r="H160" s="444">
        <v>28</v>
      </c>
      <c r="I160" s="444">
        <v>122</v>
      </c>
      <c r="J160" s="385">
        <v>20.329999999999998</v>
      </c>
      <c r="K160" s="921">
        <v>60.33</v>
      </c>
      <c r="L160" s="952">
        <v>18.5</v>
      </c>
      <c r="M160" s="304">
        <v>86.67</v>
      </c>
      <c r="N160" s="2188">
        <v>23.67</v>
      </c>
      <c r="O160" s="2144">
        <f t="shared" si="99"/>
        <v>47.292500000000004</v>
      </c>
      <c r="P160" s="931">
        <v>34.67</v>
      </c>
      <c r="Q160" s="304">
        <v>67.67</v>
      </c>
      <c r="R160" s="304"/>
      <c r="S160" s="319"/>
      <c r="T160" s="319"/>
      <c r="U160" s="319"/>
      <c r="V160" s="319"/>
      <c r="W160" s="319"/>
      <c r="X160" s="319"/>
      <c r="Y160" s="319"/>
      <c r="Z160" s="319" t="s">
        <v>336</v>
      </c>
      <c r="AA160" s="319"/>
      <c r="AB160" s="319">
        <v>101.66</v>
      </c>
      <c r="AC160" s="319"/>
      <c r="AD160" s="319"/>
      <c r="AE160" s="319"/>
    </row>
    <row r="161" spans="1:31" ht="15" customHeight="1" thickBot="1">
      <c r="A161" s="121"/>
      <c r="B161" s="215" t="s">
        <v>143</v>
      </c>
      <c r="C161" s="716"/>
      <c r="D161" s="276"/>
      <c r="E161" s="276"/>
      <c r="F161" s="374">
        <v>62</v>
      </c>
      <c r="G161" s="375"/>
      <c r="H161" s="444">
        <v>46.5</v>
      </c>
      <c r="I161" s="444">
        <v>158</v>
      </c>
      <c r="J161" s="385">
        <v>179.66</v>
      </c>
      <c r="K161" s="933">
        <v>173.33</v>
      </c>
      <c r="L161" s="955">
        <v>82.33</v>
      </c>
      <c r="M161" s="321">
        <v>113.33</v>
      </c>
      <c r="N161" s="2189">
        <v>43.33</v>
      </c>
      <c r="O161" s="2144">
        <f t="shared" si="99"/>
        <v>103.08</v>
      </c>
      <c r="P161" s="932">
        <v>128</v>
      </c>
      <c r="Q161" s="321">
        <v>50.33</v>
      </c>
      <c r="R161" s="321"/>
      <c r="S161" s="322"/>
      <c r="T161" s="322"/>
      <c r="U161" s="322"/>
      <c r="V161" s="322"/>
      <c r="W161" s="322"/>
      <c r="X161" s="322"/>
      <c r="Y161" s="322"/>
      <c r="Z161" s="322" t="s">
        <v>336</v>
      </c>
      <c r="AA161" s="322"/>
      <c r="AB161" s="322">
        <v>105.33</v>
      </c>
      <c r="AC161" s="322"/>
      <c r="AD161" s="322"/>
      <c r="AE161" s="322"/>
    </row>
    <row r="162" spans="1:31" s="1040" customFormat="1" ht="15" customHeight="1">
      <c r="A162" s="207"/>
      <c r="B162" s="207" t="s">
        <v>285</v>
      </c>
      <c r="C162" s="245">
        <f>COUNTIF(C152:C161,"&lt;=50")</f>
        <v>0</v>
      </c>
      <c r="D162" s="245">
        <f t="shared" ref="D162" si="100">COUNTIF(D152:D161,"&lt;=50")</f>
        <v>0</v>
      </c>
      <c r="E162" s="245">
        <f t="shared" ref="E162:S162" si="101">COUNTIF(E152:E161,"&lt;=50")</f>
        <v>0</v>
      </c>
      <c r="F162" s="245">
        <f t="shared" si="101"/>
        <v>2</v>
      </c>
      <c r="G162" s="245">
        <f t="shared" si="101"/>
        <v>0</v>
      </c>
      <c r="H162" s="245">
        <f t="shared" si="101"/>
        <v>9</v>
      </c>
      <c r="I162" s="245">
        <f t="shared" si="101"/>
        <v>1</v>
      </c>
      <c r="J162" s="245">
        <f t="shared" si="101"/>
        <v>3</v>
      </c>
      <c r="K162" s="245">
        <f t="shared" si="101"/>
        <v>2</v>
      </c>
      <c r="L162" s="245">
        <f t="shared" si="101"/>
        <v>5</v>
      </c>
      <c r="M162" s="245">
        <f t="shared" si="101"/>
        <v>3</v>
      </c>
      <c r="N162" s="245">
        <f t="shared" si="101"/>
        <v>9</v>
      </c>
      <c r="O162" s="245">
        <f t="shared" si="101"/>
        <v>2</v>
      </c>
      <c r="P162" s="245">
        <f t="shared" si="101"/>
        <v>5</v>
      </c>
      <c r="Q162" s="245">
        <f t="shared" si="101"/>
        <v>3</v>
      </c>
      <c r="R162" s="245">
        <f t="shared" si="101"/>
        <v>0</v>
      </c>
      <c r="S162" s="245">
        <f t="shared" si="101"/>
        <v>0</v>
      </c>
      <c r="T162" s="245">
        <f t="shared" ref="T162:AA162" si="102">COUNTIF(T152:T161,"&lt;=50")</f>
        <v>0</v>
      </c>
      <c r="U162" s="245">
        <f t="shared" si="102"/>
        <v>0</v>
      </c>
      <c r="V162" s="245">
        <f t="shared" si="102"/>
        <v>0</v>
      </c>
      <c r="W162" s="245">
        <f t="shared" si="102"/>
        <v>0</v>
      </c>
      <c r="X162" s="245">
        <f t="shared" si="102"/>
        <v>0</v>
      </c>
      <c r="Y162" s="245">
        <f t="shared" si="102"/>
        <v>0</v>
      </c>
      <c r="Z162" s="245">
        <f t="shared" si="102"/>
        <v>0</v>
      </c>
      <c r="AA162" s="245">
        <f t="shared" si="102"/>
        <v>0</v>
      </c>
      <c r="AB162" s="245">
        <f t="shared" ref="AB162:AE162" si="103">COUNTIF(AB152:AB161,"&lt;=50")</f>
        <v>3</v>
      </c>
      <c r="AC162" s="245">
        <f t="shared" si="103"/>
        <v>0</v>
      </c>
      <c r="AD162" s="245">
        <f t="shared" si="103"/>
        <v>0</v>
      </c>
      <c r="AE162" s="245">
        <f t="shared" si="103"/>
        <v>0</v>
      </c>
    </row>
    <row r="163" spans="1:31" s="1040" customFormat="1" ht="15" customHeight="1">
      <c r="A163" s="207"/>
      <c r="B163" s="207" t="s">
        <v>287</v>
      </c>
      <c r="C163" s="245">
        <f>COUNT(C152:C161)</f>
        <v>0</v>
      </c>
      <c r="D163" s="245">
        <f t="shared" ref="D163" si="104">COUNT(D152:D161)</f>
        <v>0</v>
      </c>
      <c r="E163" s="245">
        <f t="shared" ref="E163:S163" si="105">COUNT(E152:E161)</f>
        <v>0</v>
      </c>
      <c r="F163" s="245">
        <f t="shared" si="105"/>
        <v>10</v>
      </c>
      <c r="G163" s="245">
        <f t="shared" si="105"/>
        <v>0</v>
      </c>
      <c r="H163" s="245">
        <f t="shared" si="105"/>
        <v>10</v>
      </c>
      <c r="I163" s="245">
        <f t="shared" si="105"/>
        <v>10</v>
      </c>
      <c r="J163" s="245">
        <f t="shared" si="105"/>
        <v>10</v>
      </c>
      <c r="K163" s="245">
        <f t="shared" si="105"/>
        <v>10</v>
      </c>
      <c r="L163" s="245">
        <f t="shared" si="105"/>
        <v>10</v>
      </c>
      <c r="M163" s="245">
        <f t="shared" si="105"/>
        <v>10</v>
      </c>
      <c r="N163" s="245">
        <f t="shared" si="105"/>
        <v>9</v>
      </c>
      <c r="O163" s="245">
        <f t="shared" si="105"/>
        <v>10</v>
      </c>
      <c r="P163" s="245">
        <f t="shared" si="105"/>
        <v>10</v>
      </c>
      <c r="Q163" s="245">
        <f t="shared" si="105"/>
        <v>10</v>
      </c>
      <c r="R163" s="245">
        <f t="shared" si="105"/>
        <v>0</v>
      </c>
      <c r="S163" s="245">
        <f t="shared" si="105"/>
        <v>0</v>
      </c>
      <c r="T163" s="245">
        <f t="shared" ref="T163:AA163" si="106">COUNT(T152:T161)</f>
        <v>0</v>
      </c>
      <c r="U163" s="245">
        <f t="shared" si="106"/>
        <v>0</v>
      </c>
      <c r="V163" s="245">
        <f t="shared" si="106"/>
        <v>0</v>
      </c>
      <c r="W163" s="245">
        <f t="shared" si="106"/>
        <v>0</v>
      </c>
      <c r="X163" s="245">
        <f t="shared" si="106"/>
        <v>0</v>
      </c>
      <c r="Y163" s="245">
        <f t="shared" si="106"/>
        <v>0</v>
      </c>
      <c r="Z163" s="245">
        <f t="shared" si="106"/>
        <v>0</v>
      </c>
      <c r="AA163" s="245">
        <f t="shared" si="106"/>
        <v>0</v>
      </c>
      <c r="AB163" s="245">
        <f t="shared" ref="AB163:AE163" si="107">COUNT(AB152:AB161)</f>
        <v>9</v>
      </c>
      <c r="AC163" s="245">
        <f t="shared" si="107"/>
        <v>0</v>
      </c>
      <c r="AD163" s="245">
        <f t="shared" si="107"/>
        <v>0</v>
      </c>
      <c r="AE163" s="245">
        <f t="shared" si="107"/>
        <v>0</v>
      </c>
    </row>
    <row r="164" spans="1:31" s="1040" customFormat="1" ht="15" customHeight="1">
      <c r="A164" s="207"/>
      <c r="B164" s="207" t="s">
        <v>202</v>
      </c>
      <c r="C164" s="1054" t="e">
        <f t="shared" ref="C164:D164" si="108">C162/C163</f>
        <v>#DIV/0!</v>
      </c>
      <c r="D164" s="1054" t="e">
        <f t="shared" si="108"/>
        <v>#DIV/0!</v>
      </c>
      <c r="E164" s="1054" t="e">
        <f t="shared" ref="E164:S164" si="109">E162/E163</f>
        <v>#DIV/0!</v>
      </c>
      <c r="F164" s="1054">
        <f t="shared" si="109"/>
        <v>0.2</v>
      </c>
      <c r="G164" s="1054" t="e">
        <f t="shared" si="109"/>
        <v>#DIV/0!</v>
      </c>
      <c r="H164" s="1054">
        <f t="shared" si="109"/>
        <v>0.9</v>
      </c>
      <c r="I164" s="1054">
        <f t="shared" si="109"/>
        <v>0.1</v>
      </c>
      <c r="J164" s="1054">
        <f t="shared" si="109"/>
        <v>0.3</v>
      </c>
      <c r="K164" s="1054">
        <f t="shared" si="109"/>
        <v>0.2</v>
      </c>
      <c r="L164" s="1054">
        <f t="shared" si="109"/>
        <v>0.5</v>
      </c>
      <c r="M164" s="1054">
        <f t="shared" si="109"/>
        <v>0.3</v>
      </c>
      <c r="N164" s="1054">
        <f t="shared" si="109"/>
        <v>1</v>
      </c>
      <c r="O164" s="1054">
        <f t="shared" si="109"/>
        <v>0.2</v>
      </c>
      <c r="P164" s="1054">
        <f t="shared" si="109"/>
        <v>0.5</v>
      </c>
      <c r="Q164" s="1054">
        <f t="shared" si="109"/>
        <v>0.3</v>
      </c>
      <c r="R164" s="1054" t="e">
        <f t="shared" si="109"/>
        <v>#DIV/0!</v>
      </c>
      <c r="S164" s="1054" t="e">
        <f t="shared" si="109"/>
        <v>#DIV/0!</v>
      </c>
      <c r="T164" s="1054" t="e">
        <f t="shared" ref="T164:AA164" si="110">T162/T163</f>
        <v>#DIV/0!</v>
      </c>
      <c r="U164" s="1054" t="e">
        <f t="shared" si="110"/>
        <v>#DIV/0!</v>
      </c>
      <c r="V164" s="1054" t="e">
        <f t="shared" si="110"/>
        <v>#DIV/0!</v>
      </c>
      <c r="W164" s="1054" t="e">
        <f t="shared" si="110"/>
        <v>#DIV/0!</v>
      </c>
      <c r="X164" s="1054" t="e">
        <f t="shared" si="110"/>
        <v>#DIV/0!</v>
      </c>
      <c r="Y164" s="1054" t="e">
        <f t="shared" si="110"/>
        <v>#DIV/0!</v>
      </c>
      <c r="Z164" s="1054" t="e">
        <f t="shared" si="110"/>
        <v>#DIV/0!</v>
      </c>
      <c r="AA164" s="1054" t="e">
        <f t="shared" si="110"/>
        <v>#DIV/0!</v>
      </c>
      <c r="AB164" s="1054">
        <f t="shared" ref="AB164:AE164" si="111">AB162/AB163</f>
        <v>0.33333333333333331</v>
      </c>
      <c r="AC164" s="1054" t="e">
        <f t="shared" si="111"/>
        <v>#DIV/0!</v>
      </c>
      <c r="AD164" s="1054" t="e">
        <f t="shared" si="111"/>
        <v>#DIV/0!</v>
      </c>
      <c r="AE164" s="1054" t="e">
        <f t="shared" si="111"/>
        <v>#DIV/0!</v>
      </c>
    </row>
    <row r="165" spans="1:31" s="1040" customFormat="1" ht="15" customHeight="1">
      <c r="A165" s="121"/>
      <c r="B165" s="117"/>
      <c r="C165" s="110"/>
      <c r="D165" s="110"/>
      <c r="E165" s="110"/>
      <c r="F165" s="110"/>
      <c r="G165" s="107"/>
      <c r="H165" s="107"/>
      <c r="I165" s="120"/>
      <c r="J165" s="120"/>
      <c r="K165" s="120"/>
      <c r="L165" s="120"/>
      <c r="M165" s="120"/>
      <c r="N165" s="120"/>
      <c r="O165" s="120"/>
      <c r="P165" s="767"/>
      <c r="T165" s="2874"/>
      <c r="U165" s="2874"/>
      <c r="V165" s="2874"/>
      <c r="W165" s="2874"/>
    </row>
    <row r="166" spans="1:31" s="1040" customFormat="1" ht="15" customHeight="1">
      <c r="A166" s="1068"/>
      <c r="B166" s="1097" t="s">
        <v>291</v>
      </c>
      <c r="C166" s="1081"/>
      <c r="D166" s="1081"/>
      <c r="E166" s="1081"/>
      <c r="F166" s="1081"/>
      <c r="G166" s="1072"/>
      <c r="H166" s="1072"/>
      <c r="I166" s="1097"/>
      <c r="J166" s="1097"/>
      <c r="K166" s="1097"/>
      <c r="L166" s="1097"/>
      <c r="M166" s="1097"/>
      <c r="N166" s="1097"/>
      <c r="O166" s="1097"/>
      <c r="P166" s="770"/>
      <c r="T166" s="2874"/>
      <c r="U166" s="2874"/>
      <c r="V166" s="2874"/>
      <c r="W166" s="2874"/>
    </row>
    <row r="167" spans="1:31" ht="15" customHeight="1">
      <c r="A167" s="1068"/>
      <c r="B167" s="1070" t="s">
        <v>285</v>
      </c>
      <c r="C167" s="1081">
        <f>SUM(C127,C143,C162)</f>
        <v>0</v>
      </c>
      <c r="D167" s="1081">
        <f t="shared" ref="D167:Q167" si="112">SUM(D127,D143,D162)</f>
        <v>0</v>
      </c>
      <c r="E167" s="1081">
        <f t="shared" si="112"/>
        <v>0</v>
      </c>
      <c r="F167" s="1081">
        <f t="shared" si="112"/>
        <v>2</v>
      </c>
      <c r="G167" s="1081">
        <f t="shared" si="112"/>
        <v>0</v>
      </c>
      <c r="H167" s="1081">
        <f t="shared" si="112"/>
        <v>14</v>
      </c>
      <c r="I167" s="1081">
        <f t="shared" si="112"/>
        <v>6</v>
      </c>
      <c r="J167" s="1081">
        <f t="shared" si="112"/>
        <v>8</v>
      </c>
      <c r="K167" s="1081">
        <f t="shared" si="112"/>
        <v>7</v>
      </c>
      <c r="L167" s="1081">
        <f t="shared" si="112"/>
        <v>10</v>
      </c>
      <c r="M167" s="1081">
        <f t="shared" si="112"/>
        <v>8</v>
      </c>
      <c r="N167" s="1081">
        <f t="shared" si="112"/>
        <v>9</v>
      </c>
      <c r="O167" s="1081">
        <f t="shared" si="112"/>
        <v>2</v>
      </c>
      <c r="P167" s="1081">
        <f t="shared" si="112"/>
        <v>10</v>
      </c>
      <c r="Q167" s="1081">
        <f t="shared" si="112"/>
        <v>8</v>
      </c>
      <c r="R167" s="1081">
        <f t="shared" ref="R167:AA167" si="113">SUM(R127,R143,R162)</f>
        <v>0</v>
      </c>
      <c r="S167" s="1081">
        <f t="shared" si="113"/>
        <v>0</v>
      </c>
      <c r="T167" s="1081">
        <f t="shared" si="113"/>
        <v>0</v>
      </c>
      <c r="U167" s="1081">
        <f t="shared" si="113"/>
        <v>5</v>
      </c>
      <c r="V167" s="1081">
        <f t="shared" si="113"/>
        <v>5</v>
      </c>
      <c r="W167" s="1081">
        <f t="shared" si="113"/>
        <v>9</v>
      </c>
      <c r="X167" s="1081">
        <f t="shared" si="113"/>
        <v>5</v>
      </c>
      <c r="Y167" s="1081">
        <f t="shared" si="113"/>
        <v>5</v>
      </c>
      <c r="Z167" s="1081">
        <f t="shared" si="113"/>
        <v>7</v>
      </c>
      <c r="AA167" s="1081">
        <f t="shared" si="113"/>
        <v>7</v>
      </c>
      <c r="AB167" s="1081">
        <f t="shared" ref="AB167:AE167" si="114">SUM(AB127,AB143,AB162)</f>
        <v>9</v>
      </c>
      <c r="AC167" s="1081">
        <f t="shared" si="114"/>
        <v>0</v>
      </c>
      <c r="AD167" s="1081">
        <f t="shared" si="114"/>
        <v>0</v>
      </c>
      <c r="AE167" s="1081">
        <f t="shared" si="114"/>
        <v>0</v>
      </c>
    </row>
    <row r="168" spans="1:31">
      <c r="A168" s="1068"/>
      <c r="B168" s="1070" t="s">
        <v>287</v>
      </c>
      <c r="C168" s="1081">
        <f>SUM(C128,C144,C163)</f>
        <v>0</v>
      </c>
      <c r="D168" s="1081">
        <f t="shared" ref="D168:Q168" si="115">SUM(D128,D144,D163)</f>
        <v>0</v>
      </c>
      <c r="E168" s="1081">
        <f t="shared" si="115"/>
        <v>0</v>
      </c>
      <c r="F168" s="1081">
        <f t="shared" si="115"/>
        <v>10</v>
      </c>
      <c r="G168" s="1081">
        <f t="shared" si="115"/>
        <v>0</v>
      </c>
      <c r="H168" s="1081">
        <f t="shared" si="115"/>
        <v>15</v>
      </c>
      <c r="I168" s="1081">
        <f t="shared" si="115"/>
        <v>15</v>
      </c>
      <c r="J168" s="1081">
        <f t="shared" si="115"/>
        <v>15</v>
      </c>
      <c r="K168" s="1081">
        <f t="shared" si="115"/>
        <v>15</v>
      </c>
      <c r="L168" s="1081">
        <f t="shared" si="115"/>
        <v>15</v>
      </c>
      <c r="M168" s="1081">
        <f t="shared" si="115"/>
        <v>15</v>
      </c>
      <c r="N168" s="1081">
        <f t="shared" si="115"/>
        <v>9</v>
      </c>
      <c r="O168" s="1081">
        <f t="shared" si="115"/>
        <v>10</v>
      </c>
      <c r="P168" s="1081">
        <f t="shared" si="115"/>
        <v>15</v>
      </c>
      <c r="Q168" s="1081">
        <f t="shared" si="115"/>
        <v>15</v>
      </c>
      <c r="R168" s="1081">
        <f t="shared" ref="R168:AA168" si="116">SUM(R128,R144,R163)</f>
        <v>0</v>
      </c>
      <c r="S168" s="1081">
        <f t="shared" si="116"/>
        <v>0</v>
      </c>
      <c r="T168" s="1081">
        <f t="shared" si="116"/>
        <v>0</v>
      </c>
      <c r="U168" s="1081">
        <f t="shared" si="116"/>
        <v>5</v>
      </c>
      <c r="V168" s="1081">
        <f t="shared" si="116"/>
        <v>5</v>
      </c>
      <c r="W168" s="1081">
        <f t="shared" si="116"/>
        <v>9</v>
      </c>
      <c r="X168" s="1081">
        <f t="shared" si="116"/>
        <v>5</v>
      </c>
      <c r="Y168" s="1081">
        <f t="shared" si="116"/>
        <v>5</v>
      </c>
      <c r="Z168" s="1081">
        <f t="shared" si="116"/>
        <v>9</v>
      </c>
      <c r="AA168" s="1081">
        <f t="shared" si="116"/>
        <v>9</v>
      </c>
      <c r="AB168" s="1081">
        <f t="shared" ref="AB168:AE168" si="117">SUM(AB128,AB144,AB163)</f>
        <v>18</v>
      </c>
      <c r="AC168" s="1081">
        <f t="shared" si="117"/>
        <v>0</v>
      </c>
      <c r="AD168" s="1081">
        <f t="shared" si="117"/>
        <v>0</v>
      </c>
      <c r="AE168" s="1081">
        <f t="shared" si="117"/>
        <v>0</v>
      </c>
    </row>
    <row r="169" spans="1:31">
      <c r="A169" s="1068"/>
      <c r="B169" s="1070" t="s">
        <v>202</v>
      </c>
      <c r="C169" s="1565" t="e">
        <f>C167/C168</f>
        <v>#DIV/0!</v>
      </c>
      <c r="D169" s="1565" t="e">
        <f t="shared" ref="D169:Q169" si="118">D167/D168</f>
        <v>#DIV/0!</v>
      </c>
      <c r="E169" s="1565" t="e">
        <f t="shared" si="118"/>
        <v>#DIV/0!</v>
      </c>
      <c r="F169" s="1565">
        <f t="shared" si="118"/>
        <v>0.2</v>
      </c>
      <c r="G169" s="1565" t="e">
        <f t="shared" si="118"/>
        <v>#DIV/0!</v>
      </c>
      <c r="H169" s="1565">
        <f t="shared" si="118"/>
        <v>0.93333333333333335</v>
      </c>
      <c r="I169" s="1565">
        <f t="shared" si="118"/>
        <v>0.4</v>
      </c>
      <c r="J169" s="1565">
        <f t="shared" si="118"/>
        <v>0.53333333333333333</v>
      </c>
      <c r="K169" s="1565">
        <f t="shared" si="118"/>
        <v>0.46666666666666667</v>
      </c>
      <c r="L169" s="1565">
        <f t="shared" si="118"/>
        <v>0.66666666666666663</v>
      </c>
      <c r="M169" s="1565">
        <f t="shared" si="118"/>
        <v>0.53333333333333333</v>
      </c>
      <c r="N169" s="1565">
        <f t="shared" si="118"/>
        <v>1</v>
      </c>
      <c r="O169" s="1565">
        <f t="shared" si="118"/>
        <v>0.2</v>
      </c>
      <c r="P169" s="1565">
        <f t="shared" si="118"/>
        <v>0.66666666666666663</v>
      </c>
      <c r="Q169" s="1565">
        <f t="shared" si="118"/>
        <v>0.53333333333333333</v>
      </c>
      <c r="R169" s="1565" t="e">
        <f t="shared" ref="R169:AA169" si="119">R167/R168</f>
        <v>#DIV/0!</v>
      </c>
      <c r="S169" s="1565" t="e">
        <f t="shared" si="119"/>
        <v>#DIV/0!</v>
      </c>
      <c r="T169" s="1565" t="e">
        <f t="shared" si="119"/>
        <v>#DIV/0!</v>
      </c>
      <c r="U169" s="1565">
        <f t="shared" si="119"/>
        <v>1</v>
      </c>
      <c r="V169" s="1565">
        <f t="shared" si="119"/>
        <v>1</v>
      </c>
      <c r="W169" s="1565">
        <f t="shared" si="119"/>
        <v>1</v>
      </c>
      <c r="X169" s="1565">
        <f t="shared" si="119"/>
        <v>1</v>
      </c>
      <c r="Y169" s="1565">
        <f t="shared" si="119"/>
        <v>1</v>
      </c>
      <c r="Z169" s="1565">
        <f t="shared" si="119"/>
        <v>0.77777777777777779</v>
      </c>
      <c r="AA169" s="1565">
        <f t="shared" si="119"/>
        <v>0.77777777777777779</v>
      </c>
      <c r="AB169" s="1565">
        <f t="shared" ref="AB169:AE169" si="120">AB167/AB168</f>
        <v>0.5</v>
      </c>
      <c r="AC169" s="1565" t="e">
        <f t="shared" si="120"/>
        <v>#DIV/0!</v>
      </c>
      <c r="AD169" s="1565" t="e">
        <f t="shared" si="120"/>
        <v>#DIV/0!</v>
      </c>
      <c r="AE169" s="1565" t="e">
        <f t="shared" si="120"/>
        <v>#DIV/0!</v>
      </c>
    </row>
    <row r="170" spans="1:31">
      <c r="A170" s="121"/>
      <c r="B170" s="117"/>
      <c r="C170" s="110"/>
      <c r="D170" s="110"/>
      <c r="E170" s="110"/>
      <c r="F170" s="110"/>
      <c r="G170" s="107"/>
      <c r="H170" s="107"/>
      <c r="I170" s="120"/>
      <c r="J170" s="120"/>
      <c r="K170" s="120"/>
      <c r="L170" s="120"/>
      <c r="M170" s="120"/>
      <c r="N170" s="120"/>
      <c r="O170" s="120"/>
    </row>
    <row r="171" spans="1:31">
      <c r="A171" s="255"/>
      <c r="B171" s="1599" t="s">
        <v>338</v>
      </c>
      <c r="C171" s="1600">
        <v>19</v>
      </c>
      <c r="D171" s="805"/>
      <c r="E171" s="805"/>
      <c r="F171" s="805"/>
      <c r="G171" s="771"/>
      <c r="H171" s="771"/>
      <c r="I171" s="771"/>
      <c r="J171" s="771"/>
      <c r="K171" s="771"/>
      <c r="L171" s="771"/>
      <c r="M171" s="771"/>
      <c r="N171" s="771"/>
      <c r="O171" s="120"/>
    </row>
  </sheetData>
  <mergeCells count="69">
    <mergeCell ref="AB120:AE120"/>
    <mergeCell ref="AB134:AE134"/>
    <mergeCell ref="AB150:AE150"/>
    <mergeCell ref="Q9:Q10"/>
    <mergeCell ref="R9:R10"/>
    <mergeCell ref="S9:S10"/>
    <mergeCell ref="Y9:Y10"/>
    <mergeCell ref="AB27:AE27"/>
    <mergeCell ref="AB42:AE42"/>
    <mergeCell ref="AB64:AE64"/>
    <mergeCell ref="AB79:AE79"/>
    <mergeCell ref="AB96:AE96"/>
    <mergeCell ref="N149:P150"/>
    <mergeCell ref="K8:N8"/>
    <mergeCell ref="N119:P120"/>
    <mergeCell ref="M9:M10"/>
    <mergeCell ref="N9:N10"/>
    <mergeCell ref="P9:P10"/>
    <mergeCell ref="N26:P27"/>
    <mergeCell ref="N41:P42"/>
    <mergeCell ref="N78:P79"/>
    <mergeCell ref="N95:P96"/>
    <mergeCell ref="N133:P134"/>
    <mergeCell ref="F119:G120"/>
    <mergeCell ref="C8:F8"/>
    <mergeCell ref="G8:J8"/>
    <mergeCell ref="F149:G150"/>
    <mergeCell ref="F78:G79"/>
    <mergeCell ref="F95:G96"/>
    <mergeCell ref="F26:G27"/>
    <mergeCell ref="F41:G42"/>
    <mergeCell ref="E9:E10"/>
    <mergeCell ref="F9:F10"/>
    <mergeCell ref="G9:G10"/>
    <mergeCell ref="H9:H10"/>
    <mergeCell ref="I9:I10"/>
    <mergeCell ref="J9:J10"/>
    <mergeCell ref="F133:G134"/>
    <mergeCell ref="A13:A14"/>
    <mergeCell ref="A63:A64"/>
    <mergeCell ref="A119:A120"/>
    <mergeCell ref="C9:C10"/>
    <mergeCell ref="D9:D10"/>
    <mergeCell ref="A8:A10"/>
    <mergeCell ref="B8:B10"/>
    <mergeCell ref="E2:K3"/>
    <mergeCell ref="F5:J5"/>
    <mergeCell ref="F13:G14"/>
    <mergeCell ref="N13:P14"/>
    <mergeCell ref="F63:G64"/>
    <mergeCell ref="N63:P64"/>
    <mergeCell ref="O9:O10"/>
    <mergeCell ref="K9:K10"/>
    <mergeCell ref="L9:L10"/>
    <mergeCell ref="P8:S8"/>
    <mergeCell ref="X8:AA8"/>
    <mergeCell ref="X9:X10"/>
    <mergeCell ref="T8:W8"/>
    <mergeCell ref="T9:T10"/>
    <mergeCell ref="U9:U10"/>
    <mergeCell ref="V9:V10"/>
    <mergeCell ref="W9:W10"/>
    <mergeCell ref="Z9:Z10"/>
    <mergeCell ref="AA9:AA10"/>
    <mergeCell ref="AB8:AE8"/>
    <mergeCell ref="AB9:AB10"/>
    <mergeCell ref="AC9:AC10"/>
    <mergeCell ref="AD9:AD10"/>
    <mergeCell ref="AE9:AE10"/>
  </mergeCells>
  <conditionalFormatting sqref="E146:F148 C146:D149 C165:F165 C170:F171">
    <cfRule type="cellIs" dxfId="68" priority="119" operator="greaterThanOrEqual">
      <formula>5</formula>
    </cfRule>
  </conditionalFormatting>
  <conditionalFormatting sqref="F16:O20 F44:O53 F29:O35">
    <cfRule type="cellIs" dxfId="67" priority="117" operator="greaterThanOrEqual">
      <formula>5</formula>
    </cfRule>
  </conditionalFormatting>
  <conditionalFormatting sqref="C67:N71 C82:N88 C99:N108">
    <cfRule type="cellIs" dxfId="66" priority="102" operator="between">
      <formula>6</formula>
      <formula>8.5</formula>
    </cfRule>
  </conditionalFormatting>
  <conditionalFormatting sqref="C136:O142 F122:O126 F152:O161">
    <cfRule type="cellIs" dxfId="65" priority="87" operator="lessThanOrEqual">
      <formula>50</formula>
    </cfRule>
  </conditionalFormatting>
  <conditionalFormatting sqref="O67:O71">
    <cfRule type="cellIs" dxfId="64" priority="62" operator="greaterThanOrEqual">
      <formula>5</formula>
    </cfRule>
  </conditionalFormatting>
  <conditionalFormatting sqref="O82:O88">
    <cfRule type="cellIs" dxfId="63" priority="61" operator="greaterThanOrEqual">
      <formula>5</formula>
    </cfRule>
  </conditionalFormatting>
  <conditionalFormatting sqref="O99:O108">
    <cfRule type="cellIs" dxfId="62" priority="60" operator="greaterThanOrEqual">
      <formula>5</formula>
    </cfRule>
  </conditionalFormatting>
  <conditionalFormatting sqref="C152:O161">
    <cfRule type="cellIs" dxfId="61" priority="58" operator="lessThan">
      <formula>50</formula>
    </cfRule>
    <cfRule type="cellIs" dxfId="60" priority="59" operator="greaterThan">
      <formula>50</formula>
    </cfRule>
  </conditionalFormatting>
  <conditionalFormatting sqref="C122:O126">
    <cfRule type="cellIs" dxfId="59" priority="56" operator="lessThan">
      <formula>50</formula>
    </cfRule>
    <cfRule type="cellIs" dxfId="58" priority="57" operator="greaterThan">
      <formula>50</formula>
    </cfRule>
  </conditionalFormatting>
  <conditionalFormatting sqref="C99:O108">
    <cfRule type="cellIs" dxfId="57" priority="54" operator="lessThan">
      <formula>8.5</formula>
    </cfRule>
    <cfRule type="cellIs" dxfId="56" priority="55" operator="greaterThan">
      <formula>8.5</formula>
    </cfRule>
  </conditionalFormatting>
  <conditionalFormatting sqref="C82:O88">
    <cfRule type="cellIs" dxfId="55" priority="52" operator="lessThan">
      <formula>8.5</formula>
    </cfRule>
    <cfRule type="cellIs" dxfId="54" priority="53" operator="greaterThan">
      <formula>8.5</formula>
    </cfRule>
  </conditionalFormatting>
  <conditionalFormatting sqref="O71">
    <cfRule type="cellIs" dxfId="53" priority="51" operator="greaterThan">
      <formula>8.5</formula>
    </cfRule>
  </conditionalFormatting>
  <conditionalFormatting sqref="C67:O71">
    <cfRule type="cellIs" dxfId="52" priority="49" operator="lessThan">
      <formula>8.5</formula>
    </cfRule>
    <cfRule type="cellIs" dxfId="51" priority="50" operator="greaterThan">
      <formula>8.5</formula>
    </cfRule>
  </conditionalFormatting>
  <conditionalFormatting sqref="C44:O53">
    <cfRule type="cellIs" dxfId="50" priority="46" operator="lessThan">
      <formula>5</formula>
    </cfRule>
    <cfRule type="cellIs" dxfId="49" priority="47" operator="greaterThan">
      <formula>5</formula>
    </cfRule>
    <cfRule type="cellIs" dxfId="48" priority="48" operator="greaterThan">
      <formula>5</formula>
    </cfRule>
  </conditionalFormatting>
  <conditionalFormatting sqref="F30:O33">
    <cfRule type="cellIs" dxfId="47" priority="44" operator="lessThan">
      <formula>5</formula>
    </cfRule>
    <cfRule type="cellIs" dxfId="46" priority="45" operator="greaterThan">
      <formula>5</formula>
    </cfRule>
  </conditionalFormatting>
  <conditionalFormatting sqref="C16:O20">
    <cfRule type="cellIs" dxfId="45" priority="42" operator="lessThan">
      <formula>5</formula>
    </cfRule>
    <cfRule type="cellIs" dxfId="44" priority="43" operator="greaterThan">
      <formula>5</formula>
    </cfRule>
  </conditionalFormatting>
  <conditionalFormatting sqref="P16:Z20 AB16:AD20">
    <cfRule type="cellIs" dxfId="43" priority="41" operator="greaterThanOrEqual">
      <formula>5</formula>
    </cfRule>
  </conditionalFormatting>
  <conditionalFormatting sqref="P16:Z20 AB16:AD20">
    <cfRule type="cellIs" dxfId="42" priority="39" operator="lessThan">
      <formula>5</formula>
    </cfRule>
    <cfRule type="cellIs" dxfId="41" priority="40" operator="greaterThan">
      <formula>5</formula>
    </cfRule>
  </conditionalFormatting>
  <conditionalFormatting sqref="P29:AE35">
    <cfRule type="cellIs" dxfId="40" priority="38" operator="greaterThanOrEqual">
      <formula>5</formula>
    </cfRule>
  </conditionalFormatting>
  <conditionalFormatting sqref="P29:AE35">
    <cfRule type="cellIs" dxfId="39" priority="36" operator="lessThan">
      <formula>5</formula>
    </cfRule>
    <cfRule type="cellIs" dxfId="38" priority="37" operator="greaterThan">
      <formula>5</formula>
    </cfRule>
  </conditionalFormatting>
  <conditionalFormatting sqref="P44:W53 X49:X53 Y48:AA53 AB49:AB53 X44:AE47 AC48:AE53">
    <cfRule type="cellIs" dxfId="37" priority="35" operator="greaterThanOrEqual">
      <formula>5</formula>
    </cfRule>
  </conditionalFormatting>
  <conditionalFormatting sqref="P44:W53 X49:X53 Y48:AA53 AB49:AB53 X44:AE47 AC48:AE53">
    <cfRule type="cellIs" dxfId="36" priority="33" operator="lessThan">
      <formula>5</formula>
    </cfRule>
    <cfRule type="cellIs" dxfId="35" priority="34" operator="greaterThan">
      <formula>5</formula>
    </cfRule>
  </conditionalFormatting>
  <conditionalFormatting sqref="P67:W71">
    <cfRule type="cellIs" dxfId="34" priority="9" operator="between">
      <formula>6</formula>
      <formula>8.5</formula>
    </cfRule>
    <cfRule type="cellIs" dxfId="33" priority="32" operator="greaterThanOrEqual">
      <formula>5</formula>
    </cfRule>
  </conditionalFormatting>
  <conditionalFormatting sqref="P67:W71">
    <cfRule type="cellIs" dxfId="32" priority="30" operator="lessThan">
      <formula>5</formula>
    </cfRule>
    <cfRule type="cellIs" dxfId="31" priority="31" operator="greaterThan">
      <formula>5</formula>
    </cfRule>
  </conditionalFormatting>
  <conditionalFormatting sqref="P82:W88 X83:AE86">
    <cfRule type="cellIs" dxfId="30" priority="8" operator="between">
      <formula>6.8</formula>
      <formula>8.5</formula>
    </cfRule>
    <cfRule type="cellIs" dxfId="29" priority="29" operator="greaterThanOrEqual">
      <formula>5</formula>
    </cfRule>
  </conditionalFormatting>
  <conditionalFormatting sqref="P82:W88 X83:AE86">
    <cfRule type="cellIs" dxfId="28" priority="27" operator="lessThan">
      <formula>5</formula>
    </cfRule>
    <cfRule type="cellIs" dxfId="27" priority="28" operator="greaterThan">
      <formula>5</formula>
    </cfRule>
  </conditionalFormatting>
  <conditionalFormatting sqref="P99:AE108">
    <cfRule type="cellIs" dxfId="26" priority="7" operator="between">
      <formula>6.8</formula>
      <formula>8.5</formula>
    </cfRule>
    <cfRule type="cellIs" dxfId="25" priority="26" operator="greaterThanOrEqual">
      <formula>5</formula>
    </cfRule>
  </conditionalFormatting>
  <conditionalFormatting sqref="P99:AE108">
    <cfRule type="cellIs" dxfId="24" priority="24" operator="lessThan">
      <formula>5</formula>
    </cfRule>
    <cfRule type="cellIs" dxfId="23" priority="25" operator="greaterThan">
      <formula>5</formula>
    </cfRule>
  </conditionalFormatting>
  <conditionalFormatting sqref="P136:AE142">
    <cfRule type="cellIs" dxfId="22" priority="20" operator="greaterThanOrEqual">
      <formula>5</formula>
    </cfRule>
  </conditionalFormatting>
  <conditionalFormatting sqref="P136:AE142">
    <cfRule type="cellIs" dxfId="21" priority="18" operator="lessThan">
      <formula>5</formula>
    </cfRule>
    <cfRule type="cellIs" dxfId="20" priority="19" operator="greaterThan">
      <formula>5</formula>
    </cfRule>
  </conditionalFormatting>
  <conditionalFormatting sqref="P152:AE161">
    <cfRule type="cellIs" dxfId="19" priority="5" operator="greaterThan">
      <formula>50</formula>
    </cfRule>
    <cfRule type="cellIs" dxfId="18" priority="6" operator="lessThan">
      <formula>50</formula>
    </cfRule>
    <cfRule type="cellIs" dxfId="17" priority="17" operator="greaterThanOrEqual">
      <formula>5</formula>
    </cfRule>
  </conditionalFormatting>
  <conditionalFormatting sqref="P152:AE161">
    <cfRule type="cellIs" dxfId="16" priority="15" operator="lessThan">
      <formula>5</formula>
    </cfRule>
    <cfRule type="cellIs" dxfId="15" priority="16" operator="greaterThan">
      <formula>5</formula>
    </cfRule>
  </conditionalFormatting>
  <conditionalFormatting sqref="P122:AE126">
    <cfRule type="cellIs" dxfId="14" priority="10" operator="greaterThan">
      <formula>50</formula>
    </cfRule>
    <cfRule type="cellIs" dxfId="13" priority="11" operator="lessThan">
      <formula>50</formula>
    </cfRule>
    <cfRule type="cellIs" dxfId="12" priority="14" operator="lessThanOrEqual">
      <formula>50</formula>
    </cfRule>
  </conditionalFormatting>
  <conditionalFormatting sqref="P122:AE126">
    <cfRule type="cellIs" dxfId="11" priority="12" operator="lessThan">
      <formula>50</formula>
    </cfRule>
    <cfRule type="cellIs" dxfId="10" priority="13" operator="greaterThan">
      <formula>50</formula>
    </cfRule>
  </conditionalFormatting>
  <conditionalFormatting sqref="Y67:AA71 AC67:AE71">
    <cfRule type="cellIs" dxfId="9" priority="3" operator="between">
      <formula>6</formula>
      <formula>8.5</formula>
    </cfRule>
    <cfRule type="cellIs" dxfId="8" priority="4" operator="greaterThanOrEqual">
      <formula>5</formula>
    </cfRule>
  </conditionalFormatting>
  <conditionalFormatting sqref="Y67:AA71 AC67:AE71">
    <cfRule type="cellIs" dxfId="7" priority="1" operator="lessThan">
      <formula>5</formula>
    </cfRule>
    <cfRule type="cellIs" dxfId="6" priority="2" operator="greaterThan">
      <formula>5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E100"/>
  <sheetViews>
    <sheetView topLeftCell="A9" zoomScale="71" zoomScaleNormal="71" workbookViewId="0">
      <pane xSplit="1" topLeftCell="EB1" activePane="topRight" state="frozen"/>
      <selection pane="topRight" activeCell="FB54" sqref="FB54"/>
    </sheetView>
  </sheetViews>
  <sheetFormatPr defaultRowHeight="15"/>
  <cols>
    <col min="1" max="1" width="30.7109375" customWidth="1"/>
    <col min="2" max="2" width="25.7109375" customWidth="1"/>
    <col min="4" max="4" width="10" bestFit="1" customWidth="1"/>
    <col min="20" max="23" width="9.140625" style="2995"/>
    <col min="25" max="27" width="9.140625" style="3287"/>
    <col min="28" max="29" width="9.140625" style="3482"/>
    <col min="30" max="31" width="9.140625" style="3287"/>
    <col min="33" max="33" width="30.7109375" customWidth="1"/>
    <col min="34" max="34" width="27.42578125" customWidth="1"/>
    <col min="52" max="55" width="9.140625" style="2874"/>
    <col min="58" max="59" width="9.140625" style="3287"/>
    <col min="60" max="62" width="9.140625" style="3482"/>
    <col min="63" max="63" width="9.140625" style="3287"/>
    <col min="65" max="65" width="30.7109375" customWidth="1"/>
    <col min="66" max="66" width="27.42578125" customWidth="1"/>
    <col min="74" max="74" width="9.140625" customWidth="1"/>
    <col min="84" max="87" width="9.140625" style="2995"/>
    <col min="89" max="91" width="9.140625" style="3287"/>
    <col min="92" max="95" width="9.140625" style="3482"/>
    <col min="98" max="98" width="30.7109375" customWidth="1"/>
    <col min="99" max="99" width="27.42578125" customWidth="1"/>
    <col min="117" max="120" width="9.140625" style="2874"/>
    <col min="121" max="121" width="9.140625" customWidth="1"/>
    <col min="122" max="124" width="9.140625" style="3287"/>
    <col min="125" max="128" width="9.140625" style="3482"/>
    <col min="129" max="129" width="9.140625" customWidth="1"/>
    <col min="131" max="131" width="30.7109375" customWidth="1"/>
    <col min="132" max="132" width="27.42578125" customWidth="1"/>
    <col min="150" max="153" width="9.140625" style="2874"/>
  </cols>
  <sheetData>
    <row r="1" spans="1:161">
      <c r="A1" s="726"/>
      <c r="B1" s="726"/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  <c r="W1" s="726"/>
      <c r="X1" s="726"/>
      <c r="Y1" s="726"/>
      <c r="Z1" s="726"/>
      <c r="AA1" s="726"/>
      <c r="AB1" s="726"/>
      <c r="AC1" s="726"/>
      <c r="AD1" s="726"/>
      <c r="AE1" s="726"/>
      <c r="AF1" s="726"/>
      <c r="AG1" s="726"/>
      <c r="AH1" s="726"/>
      <c r="AJ1" s="726"/>
      <c r="AK1" s="726"/>
      <c r="AL1" s="726"/>
      <c r="AM1" s="726"/>
      <c r="AN1" s="726"/>
      <c r="AO1" s="726"/>
      <c r="AP1" s="726"/>
      <c r="AQ1" s="726"/>
      <c r="AR1" s="726"/>
      <c r="AS1" s="726"/>
      <c r="AT1" s="726"/>
      <c r="AU1" s="726"/>
      <c r="AV1" s="726"/>
      <c r="AW1" s="726"/>
      <c r="AX1" s="726"/>
      <c r="AY1" s="726"/>
      <c r="AZ1" s="726"/>
      <c r="BA1" s="726"/>
      <c r="BB1" s="726"/>
      <c r="BC1" s="726"/>
      <c r="BD1" s="726"/>
      <c r="BE1" s="726"/>
      <c r="BF1" s="726"/>
      <c r="BG1" s="726"/>
      <c r="BH1" s="726"/>
      <c r="BI1" s="726"/>
      <c r="BJ1" s="726"/>
      <c r="BK1" s="726"/>
      <c r="BL1" s="726"/>
      <c r="BM1" s="726"/>
      <c r="BN1" s="726"/>
      <c r="BO1" s="726"/>
      <c r="BP1" s="726"/>
      <c r="BQ1" s="726"/>
      <c r="BR1" s="726"/>
      <c r="BS1" s="726"/>
      <c r="BT1" s="726"/>
      <c r="BU1" s="726"/>
      <c r="BV1" s="726"/>
      <c r="BW1" s="726"/>
      <c r="BX1" s="726"/>
      <c r="BY1" s="726"/>
      <c r="BZ1" s="726"/>
      <c r="CA1" s="726"/>
      <c r="CB1" s="726"/>
      <c r="CC1" s="726"/>
      <c r="CD1" s="726"/>
      <c r="CE1" s="726"/>
      <c r="CF1" s="726"/>
      <c r="CG1" s="726"/>
      <c r="CH1" s="726"/>
      <c r="CI1" s="726"/>
      <c r="CJ1" s="726"/>
      <c r="CK1" s="726"/>
      <c r="CL1" s="726"/>
      <c r="CM1" s="726"/>
      <c r="CN1" s="726"/>
      <c r="CO1" s="726"/>
      <c r="CP1" s="726"/>
      <c r="CQ1" s="726"/>
      <c r="CR1" s="726"/>
      <c r="CS1" s="726"/>
      <c r="CT1" s="726"/>
      <c r="CU1" s="726"/>
      <c r="CV1" s="726"/>
      <c r="CW1" s="726"/>
      <c r="CX1" s="726"/>
      <c r="CY1" s="726"/>
      <c r="CZ1" s="726"/>
      <c r="DA1" s="726"/>
      <c r="DB1" s="726"/>
      <c r="DC1" s="726"/>
      <c r="DD1" s="726"/>
      <c r="DE1" s="726"/>
      <c r="DF1" s="726"/>
      <c r="DG1" s="726"/>
      <c r="DH1" s="726"/>
      <c r="DI1" s="726"/>
      <c r="DJ1" s="726"/>
      <c r="DK1" s="726"/>
      <c r="DL1" s="726"/>
      <c r="DM1" s="726"/>
      <c r="DN1" s="726"/>
      <c r="DO1" s="726"/>
      <c r="DP1" s="726"/>
      <c r="DQ1" s="726"/>
      <c r="DR1" s="726"/>
      <c r="DS1" s="726"/>
      <c r="DT1" s="726"/>
      <c r="DU1" s="726"/>
      <c r="DV1" s="726"/>
      <c r="DW1" s="726"/>
      <c r="DX1" s="726"/>
      <c r="DY1" s="726"/>
      <c r="DZ1" s="726"/>
      <c r="EA1" s="726"/>
      <c r="EB1" s="726"/>
      <c r="EC1" s="726"/>
      <c r="ED1" s="726"/>
      <c r="EE1" s="726"/>
      <c r="EF1" s="726"/>
      <c r="EG1" s="726"/>
      <c r="EH1" s="726"/>
      <c r="EI1" s="726"/>
      <c r="EJ1" s="726"/>
      <c r="EK1" s="726"/>
      <c r="EL1" s="726"/>
      <c r="EM1" s="726"/>
      <c r="EN1" s="726"/>
      <c r="EO1" s="726"/>
      <c r="EP1" s="726"/>
      <c r="EQ1" s="726"/>
      <c r="ER1" s="726"/>
      <c r="ES1" s="726"/>
      <c r="ET1" s="726"/>
      <c r="EU1" s="726"/>
      <c r="EV1" s="726"/>
      <c r="EW1" s="726"/>
      <c r="EX1" s="764"/>
    </row>
    <row r="2" spans="1:161" ht="15" customHeight="1">
      <c r="A2" s="726"/>
      <c r="B2" s="726"/>
      <c r="C2" s="726"/>
      <c r="D2" s="3762" t="s">
        <v>264</v>
      </c>
      <c r="E2" s="3762"/>
      <c r="F2" s="3762"/>
      <c r="G2" s="3762"/>
      <c r="H2" s="3762"/>
      <c r="I2" s="3762"/>
      <c r="J2" s="3762"/>
      <c r="K2" s="3762"/>
      <c r="L2" s="3762"/>
      <c r="M2" s="3762"/>
      <c r="N2" s="726"/>
      <c r="O2" s="726"/>
      <c r="P2" s="726"/>
      <c r="Q2" s="726"/>
      <c r="R2" s="726"/>
      <c r="S2" s="726"/>
      <c r="T2" s="726"/>
      <c r="U2" s="726"/>
      <c r="V2" s="726"/>
      <c r="W2" s="726"/>
      <c r="X2" s="726"/>
      <c r="Y2" s="726"/>
      <c r="Z2" s="726"/>
      <c r="AA2" s="726"/>
      <c r="AB2" s="726"/>
      <c r="AC2" s="726"/>
      <c r="AD2" s="726"/>
      <c r="AE2" s="726"/>
      <c r="AF2" s="726"/>
      <c r="AG2" s="726"/>
      <c r="AH2" s="726"/>
      <c r="AJ2" s="726"/>
      <c r="AK2" s="726"/>
      <c r="AL2" s="726"/>
      <c r="AM2" s="726"/>
      <c r="AN2" s="726"/>
      <c r="AO2" s="726"/>
      <c r="AP2" s="726"/>
      <c r="AQ2" s="726"/>
      <c r="AR2" s="726"/>
      <c r="AS2" s="726"/>
      <c r="AT2" s="726"/>
      <c r="AU2" s="726"/>
      <c r="AV2" s="726"/>
      <c r="AW2" s="726"/>
      <c r="AX2" s="726"/>
      <c r="AY2" s="726"/>
      <c r="AZ2" s="726"/>
      <c r="BA2" s="726"/>
      <c r="BB2" s="726"/>
      <c r="BC2" s="726"/>
      <c r="BD2" s="726"/>
      <c r="BE2" s="726"/>
      <c r="BF2" s="726"/>
      <c r="BG2" s="726"/>
      <c r="BH2" s="726"/>
      <c r="BI2" s="726"/>
      <c r="BJ2" s="726"/>
      <c r="BK2" s="726"/>
      <c r="BL2" s="726"/>
      <c r="BM2" s="726"/>
      <c r="BN2" s="726"/>
      <c r="BO2" s="726"/>
      <c r="BP2" s="726"/>
      <c r="BQ2" s="726"/>
      <c r="BR2" s="726"/>
      <c r="BS2" s="726"/>
      <c r="BT2" s="726"/>
      <c r="BU2" s="726"/>
      <c r="BV2" s="726"/>
      <c r="BW2" s="726"/>
      <c r="BX2" s="726"/>
      <c r="BY2" s="726"/>
      <c r="BZ2" s="726"/>
      <c r="CA2" s="726"/>
      <c r="CB2" s="726"/>
      <c r="CC2" s="726"/>
      <c r="CD2" s="726"/>
      <c r="CE2" s="726"/>
      <c r="CF2" s="726"/>
      <c r="CG2" s="726"/>
      <c r="CH2" s="726"/>
      <c r="CI2" s="726"/>
      <c r="CJ2" s="726"/>
      <c r="CK2" s="726"/>
      <c r="CL2" s="726"/>
      <c r="CM2" s="726"/>
      <c r="CN2" s="726"/>
      <c r="CO2" s="726"/>
      <c r="CP2" s="726"/>
      <c r="CQ2" s="726"/>
      <c r="CR2" s="726"/>
      <c r="CS2" s="726"/>
      <c r="CT2" s="726"/>
      <c r="CU2" s="726"/>
      <c r="CV2" s="726"/>
      <c r="CW2" s="726"/>
      <c r="CX2" s="726"/>
      <c r="CY2" s="726"/>
      <c r="CZ2" s="726"/>
      <c r="DA2" s="726"/>
      <c r="DB2" s="726"/>
      <c r="DC2" s="726"/>
      <c r="DD2" s="726"/>
      <c r="DE2" s="726"/>
      <c r="DF2" s="726"/>
      <c r="DG2" s="726"/>
      <c r="DH2" s="726"/>
      <c r="DI2" s="726"/>
      <c r="DJ2" s="726"/>
      <c r="DK2" s="726"/>
      <c r="DL2" s="726"/>
      <c r="DM2" s="726"/>
      <c r="DN2" s="726"/>
      <c r="DO2" s="726"/>
      <c r="DP2" s="726"/>
      <c r="DQ2" s="726"/>
      <c r="DR2" s="726"/>
      <c r="DS2" s="726"/>
      <c r="DT2" s="726"/>
      <c r="DU2" s="726"/>
      <c r="DV2" s="726"/>
      <c r="DW2" s="726"/>
      <c r="DX2" s="726"/>
      <c r="DY2" s="726"/>
      <c r="DZ2" s="726"/>
      <c r="EA2" s="726"/>
      <c r="EB2" s="726"/>
      <c r="EC2" s="726"/>
      <c r="ED2" s="726"/>
      <c r="EE2" s="726"/>
      <c r="EF2" s="726"/>
      <c r="EG2" s="726"/>
      <c r="EH2" s="726"/>
      <c r="EI2" s="726"/>
      <c r="EJ2" s="726"/>
      <c r="EK2" s="726"/>
      <c r="EL2" s="726"/>
      <c r="EM2" s="726"/>
      <c r="EN2" s="726"/>
      <c r="EO2" s="726"/>
      <c r="EP2" s="726"/>
      <c r="EQ2" s="726"/>
      <c r="ER2" s="726"/>
      <c r="ES2" s="726"/>
      <c r="ET2" s="726"/>
      <c r="EU2" s="726"/>
      <c r="EV2" s="726"/>
      <c r="EW2" s="726"/>
      <c r="EX2" s="764"/>
    </row>
    <row r="3" spans="1:161" ht="15" customHeight="1">
      <c r="A3" s="726"/>
      <c r="B3" s="726"/>
      <c r="C3" s="726"/>
      <c r="D3" s="3762"/>
      <c r="E3" s="3762"/>
      <c r="F3" s="3762"/>
      <c r="G3" s="3762"/>
      <c r="H3" s="3762"/>
      <c r="I3" s="3762"/>
      <c r="J3" s="3762"/>
      <c r="K3" s="3762"/>
      <c r="L3" s="3762"/>
      <c r="M3" s="3762"/>
      <c r="N3" s="920"/>
      <c r="O3" s="920"/>
      <c r="P3" s="920"/>
      <c r="Q3" s="726"/>
      <c r="R3" s="726"/>
      <c r="S3" s="726"/>
      <c r="T3" s="920"/>
      <c r="U3" s="726"/>
      <c r="V3" s="726"/>
      <c r="W3" s="726"/>
      <c r="X3" s="726"/>
      <c r="Y3" s="726"/>
      <c r="Z3" s="726"/>
      <c r="AA3" s="726"/>
      <c r="AB3" s="726"/>
      <c r="AC3" s="726"/>
      <c r="AD3" s="726"/>
      <c r="AE3" s="726"/>
      <c r="AF3" s="726"/>
      <c r="AG3" s="726"/>
      <c r="AH3" s="726"/>
      <c r="AI3" s="726"/>
      <c r="AJ3" s="726"/>
      <c r="AK3" s="726"/>
      <c r="AL3" s="726"/>
      <c r="AM3" s="726"/>
      <c r="AN3" s="726"/>
      <c r="AO3" s="726"/>
      <c r="AP3" s="726"/>
      <c r="AQ3" s="726"/>
      <c r="AR3" s="726"/>
      <c r="AS3" s="726"/>
      <c r="AT3" s="726"/>
      <c r="AU3" s="726"/>
      <c r="AV3" s="726"/>
      <c r="AW3" s="726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726"/>
      <c r="BM3" s="726"/>
      <c r="BN3" s="726"/>
      <c r="BO3" s="726"/>
      <c r="BP3" s="726"/>
      <c r="BQ3" s="726"/>
      <c r="BR3" s="726"/>
      <c r="BS3" s="726"/>
      <c r="BT3" s="726"/>
      <c r="BU3" s="726"/>
      <c r="BV3" s="726"/>
      <c r="BW3" s="726"/>
      <c r="BX3" s="726"/>
      <c r="BY3" s="726"/>
      <c r="BZ3" s="726"/>
      <c r="CA3" s="726"/>
      <c r="CB3" s="726"/>
      <c r="CC3" s="726"/>
      <c r="CD3" s="726"/>
      <c r="CE3" s="726"/>
      <c r="CF3" s="726"/>
      <c r="CG3" s="726"/>
      <c r="CH3" s="726"/>
      <c r="CI3" s="726"/>
      <c r="CJ3" s="726"/>
      <c r="CK3" s="726"/>
      <c r="CL3" s="726"/>
      <c r="CM3" s="726"/>
      <c r="CN3" s="726"/>
      <c r="CO3" s="726"/>
      <c r="CP3" s="726"/>
      <c r="CQ3" s="726"/>
      <c r="CR3" s="726"/>
      <c r="CS3" s="726"/>
      <c r="CT3" s="726"/>
      <c r="CU3" s="726"/>
      <c r="CV3" s="726"/>
      <c r="CW3" s="726"/>
      <c r="CX3" s="726"/>
      <c r="CY3" s="726"/>
      <c r="CZ3" s="726"/>
      <c r="DA3" s="726"/>
      <c r="DB3" s="726"/>
      <c r="DC3" s="726"/>
      <c r="DD3" s="726"/>
      <c r="DE3" s="726"/>
      <c r="DF3" s="726"/>
      <c r="DG3" s="726"/>
      <c r="DH3" s="726"/>
      <c r="DI3" s="726"/>
      <c r="DJ3" s="726"/>
      <c r="DK3" s="726"/>
      <c r="DL3" s="726"/>
      <c r="DM3" s="726"/>
      <c r="DN3" s="726"/>
      <c r="DO3" s="726"/>
      <c r="DP3" s="726"/>
      <c r="DQ3" s="726"/>
      <c r="DR3" s="726"/>
      <c r="DS3" s="726"/>
      <c r="DT3" s="726"/>
      <c r="DU3" s="726"/>
      <c r="DV3" s="726"/>
      <c r="DW3" s="726"/>
      <c r="DX3" s="726"/>
      <c r="DY3" s="726"/>
      <c r="DZ3" s="726"/>
      <c r="EA3" s="726"/>
      <c r="EB3" s="726"/>
      <c r="EC3" s="726"/>
      <c r="ED3" s="726"/>
      <c r="EE3" s="726"/>
      <c r="EF3" s="726"/>
      <c r="EG3" s="726"/>
      <c r="EH3" s="726"/>
      <c r="EI3" s="726"/>
      <c r="EJ3" s="726"/>
      <c r="EK3" s="726"/>
      <c r="EL3" s="726"/>
      <c r="EM3" s="726"/>
      <c r="EN3" s="726"/>
      <c r="EO3" s="726"/>
      <c r="EP3" s="726"/>
      <c r="EQ3" s="726"/>
      <c r="ER3" s="726"/>
      <c r="ES3" s="726"/>
      <c r="ET3" s="726"/>
      <c r="EU3" s="726"/>
      <c r="EV3" s="726"/>
      <c r="EW3" s="726"/>
      <c r="EX3" s="764"/>
    </row>
    <row r="4" spans="1:161" ht="15" customHeight="1">
      <c r="A4" s="726"/>
      <c r="B4" s="726"/>
      <c r="C4" s="726"/>
      <c r="D4" s="726"/>
      <c r="E4" s="726"/>
      <c r="F4" s="920"/>
      <c r="G4" s="920"/>
      <c r="H4" s="920"/>
      <c r="I4" s="920"/>
      <c r="J4" s="920"/>
      <c r="K4" s="920"/>
      <c r="L4" s="920"/>
      <c r="M4" s="920"/>
      <c r="N4" s="920"/>
      <c r="O4" s="920"/>
      <c r="P4" s="920"/>
      <c r="Q4" s="726"/>
      <c r="R4" s="726"/>
      <c r="S4" s="726"/>
      <c r="T4" s="920"/>
      <c r="U4" s="726"/>
      <c r="V4" s="726"/>
      <c r="W4" s="726"/>
      <c r="X4" s="726"/>
      <c r="Y4" s="726"/>
      <c r="Z4" s="726"/>
      <c r="AA4" s="726"/>
      <c r="AB4" s="726"/>
      <c r="AC4" s="726"/>
      <c r="AD4" s="726"/>
      <c r="AE4" s="726"/>
      <c r="AF4" s="726"/>
      <c r="AG4" s="726"/>
      <c r="AH4" s="726"/>
      <c r="AI4" s="726"/>
      <c r="AJ4" s="726"/>
      <c r="AK4" s="726"/>
      <c r="AL4" s="726"/>
      <c r="AM4" s="726"/>
      <c r="AN4" s="726"/>
      <c r="AO4" s="726"/>
      <c r="AP4" s="726"/>
      <c r="AQ4" s="726"/>
      <c r="AR4" s="726"/>
      <c r="AS4" s="726"/>
      <c r="AT4" s="726"/>
      <c r="AU4" s="726"/>
      <c r="AV4" s="726"/>
      <c r="AW4" s="726"/>
      <c r="AX4" s="726"/>
      <c r="AY4" s="726"/>
      <c r="AZ4" s="726"/>
      <c r="BA4" s="726"/>
      <c r="BB4" s="726"/>
      <c r="BC4" s="726"/>
      <c r="BD4" s="726"/>
      <c r="BE4" s="726"/>
      <c r="BF4" s="726"/>
      <c r="BG4" s="726"/>
      <c r="BH4" s="726"/>
      <c r="BI4" s="726"/>
      <c r="BJ4" s="726"/>
      <c r="BK4" s="726"/>
      <c r="BL4" s="726"/>
      <c r="BM4" s="726"/>
      <c r="BN4" s="726"/>
      <c r="BO4" s="726"/>
      <c r="BP4" s="726"/>
      <c r="BQ4" s="726"/>
      <c r="BR4" s="726"/>
      <c r="BS4" s="726"/>
      <c r="BT4" s="726"/>
      <c r="BU4" s="726"/>
      <c r="BV4" s="726"/>
      <c r="BW4" s="726"/>
      <c r="BX4" s="726"/>
      <c r="BY4" s="726"/>
      <c r="BZ4" s="726"/>
      <c r="CA4" s="726"/>
      <c r="CB4" s="726"/>
      <c r="CC4" s="726"/>
      <c r="CD4" s="726"/>
      <c r="CE4" s="726"/>
      <c r="CF4" s="726"/>
      <c r="CG4" s="726"/>
      <c r="CH4" s="726"/>
      <c r="CI4" s="726"/>
      <c r="CJ4" s="726"/>
      <c r="CK4" s="726"/>
      <c r="CL4" s="726"/>
      <c r="CM4" s="726"/>
      <c r="CN4" s="726"/>
      <c r="CO4" s="726"/>
      <c r="CP4" s="726"/>
      <c r="CQ4" s="726"/>
      <c r="CR4" s="726"/>
      <c r="CS4" s="726"/>
      <c r="CT4" s="726"/>
      <c r="CU4" s="726"/>
      <c r="CV4" s="726"/>
      <c r="CW4" s="726"/>
      <c r="CX4" s="726"/>
      <c r="CY4" s="726"/>
      <c r="CZ4" s="726"/>
      <c r="DA4" s="726"/>
      <c r="DB4" s="726"/>
      <c r="DC4" s="726"/>
      <c r="DD4" s="726"/>
      <c r="DE4" s="726"/>
      <c r="DF4" s="726"/>
      <c r="DG4" s="726"/>
      <c r="DH4" s="726"/>
      <c r="DI4" s="726"/>
      <c r="DJ4" s="726"/>
      <c r="DK4" s="726"/>
      <c r="DL4" s="726"/>
      <c r="DM4" s="726"/>
      <c r="DN4" s="726"/>
      <c r="DO4" s="726"/>
      <c r="DP4" s="726"/>
      <c r="DQ4" s="726"/>
      <c r="DR4" s="726"/>
      <c r="DS4" s="726"/>
      <c r="DT4" s="726"/>
      <c r="DU4" s="726"/>
      <c r="DV4" s="726"/>
      <c r="DW4" s="726"/>
      <c r="DX4" s="726"/>
      <c r="DY4" s="726"/>
      <c r="DZ4" s="726"/>
      <c r="EA4" s="726"/>
      <c r="EB4" s="726"/>
      <c r="EC4" s="726"/>
      <c r="ED4" s="726"/>
      <c r="EE4" s="726"/>
      <c r="EF4" s="726"/>
      <c r="EG4" s="726"/>
      <c r="EH4" s="726"/>
      <c r="EI4" s="726"/>
      <c r="EJ4" s="726"/>
      <c r="EK4" s="726"/>
      <c r="EL4" s="726"/>
      <c r="EM4" s="726"/>
      <c r="EN4" s="726"/>
      <c r="EO4" s="726"/>
      <c r="EP4" s="726"/>
      <c r="EQ4" s="726"/>
      <c r="ER4" s="726"/>
      <c r="ES4" s="726"/>
      <c r="ET4" s="726"/>
      <c r="EU4" s="726"/>
      <c r="EV4" s="726"/>
      <c r="EW4" s="726"/>
      <c r="EX4" s="764"/>
    </row>
    <row r="5" spans="1:161">
      <c r="A5" s="726"/>
      <c r="B5" s="726"/>
      <c r="C5" s="726"/>
      <c r="D5" s="726"/>
      <c r="E5" s="726"/>
      <c r="F5" s="726"/>
      <c r="G5" s="726"/>
      <c r="H5" s="726"/>
      <c r="I5" s="726"/>
      <c r="J5" s="726"/>
      <c r="K5" s="726"/>
      <c r="L5" s="726"/>
      <c r="M5" s="726"/>
      <c r="N5" s="726"/>
      <c r="O5" s="726"/>
      <c r="P5" s="726"/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6"/>
      <c r="AC5" s="726"/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6"/>
      <c r="AP5" s="726"/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6"/>
      <c r="BC5" s="726"/>
      <c r="BD5" s="726"/>
      <c r="BE5" s="726"/>
      <c r="BF5" s="726"/>
      <c r="BG5" s="726"/>
      <c r="BH5" s="726"/>
      <c r="BI5" s="726"/>
      <c r="BJ5" s="726"/>
      <c r="BK5" s="726"/>
      <c r="BL5" s="726"/>
      <c r="BM5" s="726"/>
      <c r="BN5" s="726"/>
      <c r="BO5" s="726"/>
      <c r="BP5" s="726"/>
      <c r="BQ5" s="726"/>
      <c r="BR5" s="726"/>
      <c r="BS5" s="726"/>
      <c r="BT5" s="726"/>
      <c r="BU5" s="726"/>
      <c r="BV5" s="726"/>
      <c r="BW5" s="726"/>
      <c r="BX5" s="726"/>
      <c r="BY5" s="726"/>
      <c r="BZ5" s="726"/>
      <c r="CA5" s="726"/>
      <c r="CB5" s="726"/>
      <c r="CC5" s="726"/>
      <c r="CD5" s="726"/>
      <c r="CE5" s="726"/>
      <c r="CF5" s="726"/>
      <c r="CG5" s="726"/>
      <c r="CH5" s="726"/>
      <c r="CI5" s="726"/>
      <c r="CJ5" s="726"/>
      <c r="CK5" s="726"/>
      <c r="CL5" s="726"/>
      <c r="CM5" s="726"/>
      <c r="CN5" s="726"/>
      <c r="CO5" s="726"/>
      <c r="CP5" s="726"/>
      <c r="CQ5" s="726"/>
      <c r="CR5" s="726"/>
      <c r="CS5" s="726"/>
      <c r="CT5" s="726"/>
      <c r="CU5" s="726"/>
      <c r="CV5" s="726"/>
      <c r="CW5" s="726"/>
      <c r="CX5" s="726"/>
      <c r="CY5" s="726"/>
      <c r="CZ5" s="726"/>
      <c r="DA5" s="726"/>
      <c r="DB5" s="726"/>
      <c r="DC5" s="726"/>
      <c r="DD5" s="726"/>
      <c r="DE5" s="726"/>
      <c r="DF5" s="726"/>
      <c r="DG5" s="726"/>
      <c r="DH5" s="726"/>
      <c r="DI5" s="726"/>
      <c r="DJ5" s="726"/>
      <c r="DK5" s="726"/>
      <c r="DL5" s="726"/>
      <c r="DM5" s="726"/>
      <c r="DN5" s="726"/>
      <c r="DO5" s="726"/>
      <c r="DP5" s="726"/>
      <c r="DQ5" s="726"/>
      <c r="DR5" s="726"/>
      <c r="DS5" s="726"/>
      <c r="DT5" s="726"/>
      <c r="DU5" s="726"/>
      <c r="DV5" s="726"/>
      <c r="DW5" s="726"/>
      <c r="DX5" s="726"/>
      <c r="DY5" s="726"/>
      <c r="DZ5" s="726"/>
      <c r="EA5" s="726"/>
      <c r="EB5" s="726"/>
      <c r="EC5" s="726"/>
      <c r="ED5" s="726"/>
      <c r="EE5" s="726"/>
      <c r="EF5" s="726"/>
      <c r="EG5" s="726"/>
      <c r="EH5" s="726"/>
      <c r="EI5" s="726"/>
      <c r="EJ5" s="726"/>
      <c r="EK5" s="726"/>
      <c r="EL5" s="726"/>
      <c r="EM5" s="726"/>
      <c r="EN5" s="726"/>
      <c r="EO5" s="726"/>
      <c r="EP5" s="726"/>
      <c r="EQ5" s="726"/>
      <c r="ER5" s="726"/>
      <c r="ES5" s="726"/>
      <c r="ET5" s="726"/>
      <c r="EU5" s="726"/>
      <c r="EV5" s="726"/>
      <c r="EW5" s="726"/>
      <c r="EX5" s="764"/>
    </row>
    <row r="6" spans="1:161" ht="15.75" thickBot="1">
      <c r="A6" s="107"/>
      <c r="B6" s="107"/>
      <c r="C6" s="107"/>
      <c r="D6" s="327"/>
      <c r="E6" s="327"/>
      <c r="F6" s="327"/>
      <c r="G6" s="327"/>
      <c r="H6" s="327"/>
      <c r="I6" s="327"/>
      <c r="J6" s="327"/>
      <c r="K6" s="32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  <c r="EA6" s="107"/>
      <c r="EB6" s="107"/>
      <c r="EC6" s="107"/>
      <c r="ED6" s="107"/>
      <c r="EE6" s="107"/>
      <c r="EF6" s="107"/>
      <c r="EG6" s="107"/>
      <c r="EH6" s="107"/>
      <c r="EI6" s="107"/>
      <c r="EJ6" s="107"/>
      <c r="EK6" s="107"/>
      <c r="EL6" s="107"/>
      <c r="EM6" s="107"/>
      <c r="EN6" s="107"/>
      <c r="EO6" s="107"/>
      <c r="EP6" s="107"/>
      <c r="EQ6" s="107"/>
      <c r="ER6" s="107"/>
      <c r="ES6" s="107"/>
      <c r="ET6" s="107"/>
      <c r="EU6" s="107"/>
      <c r="EV6" s="107"/>
      <c r="EW6" s="107"/>
      <c r="EX6" s="767"/>
    </row>
    <row r="7" spans="1:161" ht="15.75" customHeight="1" thickBot="1">
      <c r="A7" s="3754" t="s">
        <v>260</v>
      </c>
      <c r="B7" s="3739" t="s">
        <v>259</v>
      </c>
      <c r="C7" s="3740"/>
      <c r="D7" s="3550">
        <v>2011</v>
      </c>
      <c r="E7" s="3551"/>
      <c r="F7" s="3551"/>
      <c r="G7" s="3552"/>
      <c r="H7" s="3547">
        <v>2012</v>
      </c>
      <c r="I7" s="3548"/>
      <c r="J7" s="3548"/>
      <c r="K7" s="3549"/>
      <c r="L7" s="3752">
        <v>2013</v>
      </c>
      <c r="M7" s="3517"/>
      <c r="N7" s="3517"/>
      <c r="O7" s="3518"/>
      <c r="P7" s="3516">
        <v>2014</v>
      </c>
      <c r="Q7" s="3517"/>
      <c r="R7" s="3517"/>
      <c r="S7" s="3518"/>
      <c r="T7" s="3516">
        <v>2015</v>
      </c>
      <c r="U7" s="3517"/>
      <c r="V7" s="3517"/>
      <c r="W7" s="3518"/>
      <c r="X7" s="3516">
        <v>2016</v>
      </c>
      <c r="Y7" s="3517"/>
      <c r="Z7" s="3517"/>
      <c r="AA7" s="3518"/>
      <c r="AB7" s="3516">
        <v>2017</v>
      </c>
      <c r="AC7" s="3517"/>
      <c r="AD7" s="3517"/>
      <c r="AE7" s="3518"/>
      <c r="AF7" s="107"/>
      <c r="AG7" s="3754" t="s">
        <v>174</v>
      </c>
      <c r="AH7" s="3739" t="s">
        <v>259</v>
      </c>
      <c r="AI7" s="3740"/>
      <c r="AJ7" s="3550">
        <v>2011</v>
      </c>
      <c r="AK7" s="3551"/>
      <c r="AL7" s="3551"/>
      <c r="AM7" s="3552"/>
      <c r="AN7" s="3547">
        <v>2012</v>
      </c>
      <c r="AO7" s="3548"/>
      <c r="AP7" s="3548"/>
      <c r="AQ7" s="3549"/>
      <c r="AR7" s="3752">
        <v>2013</v>
      </c>
      <c r="AS7" s="3517"/>
      <c r="AT7" s="3517"/>
      <c r="AU7" s="3518"/>
      <c r="AV7" s="3516">
        <v>2014</v>
      </c>
      <c r="AW7" s="3517"/>
      <c r="AX7" s="3517"/>
      <c r="AY7" s="3518"/>
      <c r="AZ7" s="3516">
        <v>2015</v>
      </c>
      <c r="BA7" s="3517"/>
      <c r="BB7" s="3517"/>
      <c r="BC7" s="3518"/>
      <c r="BD7" s="3516">
        <v>2016</v>
      </c>
      <c r="BE7" s="3517"/>
      <c r="BF7" s="3517"/>
      <c r="BG7" s="3518"/>
      <c r="BH7" s="3516">
        <v>2017</v>
      </c>
      <c r="BI7" s="3517"/>
      <c r="BJ7" s="3517"/>
      <c r="BK7" s="3518"/>
      <c r="BL7" s="107"/>
      <c r="BM7" s="3754" t="s">
        <v>175</v>
      </c>
      <c r="BN7" s="3739" t="s">
        <v>259</v>
      </c>
      <c r="BO7" s="3740"/>
      <c r="BP7" s="3550">
        <v>2011</v>
      </c>
      <c r="BQ7" s="3551"/>
      <c r="BR7" s="3551"/>
      <c r="BS7" s="3552"/>
      <c r="BT7" s="3547">
        <v>2012</v>
      </c>
      <c r="BU7" s="3548"/>
      <c r="BV7" s="3548"/>
      <c r="BW7" s="3549"/>
      <c r="BX7" s="3752">
        <v>2013</v>
      </c>
      <c r="BY7" s="3517"/>
      <c r="BZ7" s="3517"/>
      <c r="CA7" s="3518"/>
      <c r="CB7" s="3516">
        <v>2014</v>
      </c>
      <c r="CC7" s="3517"/>
      <c r="CD7" s="3517"/>
      <c r="CE7" s="3518"/>
      <c r="CF7" s="3516">
        <v>2015</v>
      </c>
      <c r="CG7" s="3517"/>
      <c r="CH7" s="3517"/>
      <c r="CI7" s="3518"/>
      <c r="CJ7" s="3516">
        <v>2016</v>
      </c>
      <c r="CK7" s="3517"/>
      <c r="CL7" s="3517"/>
      <c r="CM7" s="3518"/>
      <c r="CN7" s="3516">
        <v>2017</v>
      </c>
      <c r="CO7" s="3517"/>
      <c r="CP7" s="3517"/>
      <c r="CQ7" s="3518"/>
      <c r="CR7" s="107"/>
      <c r="CS7" s="107"/>
      <c r="CT7" s="3754" t="s">
        <v>246</v>
      </c>
      <c r="CU7" s="3739" t="s">
        <v>259</v>
      </c>
      <c r="CV7" s="3740"/>
      <c r="CW7" s="3550">
        <v>2011</v>
      </c>
      <c r="CX7" s="3551"/>
      <c r="CY7" s="3551"/>
      <c r="CZ7" s="3552"/>
      <c r="DA7" s="3547">
        <v>2012</v>
      </c>
      <c r="DB7" s="3548"/>
      <c r="DC7" s="3548"/>
      <c r="DD7" s="3549"/>
      <c r="DE7" s="3752">
        <v>2013</v>
      </c>
      <c r="DF7" s="3517"/>
      <c r="DG7" s="3517"/>
      <c r="DH7" s="3518"/>
      <c r="DI7" s="3516">
        <v>2014</v>
      </c>
      <c r="DJ7" s="3517"/>
      <c r="DK7" s="3517"/>
      <c r="DL7" s="3518"/>
      <c r="DM7" s="3516">
        <v>2015</v>
      </c>
      <c r="DN7" s="3517"/>
      <c r="DO7" s="3517"/>
      <c r="DP7" s="3518"/>
      <c r="DQ7" s="3516">
        <v>2016</v>
      </c>
      <c r="DR7" s="3517"/>
      <c r="DS7" s="3517"/>
      <c r="DT7" s="3518"/>
      <c r="DU7" s="3516">
        <v>2017</v>
      </c>
      <c r="DV7" s="3517"/>
      <c r="DW7" s="3517"/>
      <c r="DX7" s="3518"/>
      <c r="DY7" s="107"/>
      <c r="DZ7" s="107"/>
      <c r="EA7" s="3754" t="s">
        <v>247</v>
      </c>
      <c r="EB7" s="3739" t="s">
        <v>259</v>
      </c>
      <c r="EC7" s="3740"/>
      <c r="ED7" s="3550">
        <v>2011</v>
      </c>
      <c r="EE7" s="3551"/>
      <c r="EF7" s="3551"/>
      <c r="EG7" s="3552"/>
      <c r="EH7" s="3547">
        <v>2012</v>
      </c>
      <c r="EI7" s="3548"/>
      <c r="EJ7" s="3548"/>
      <c r="EK7" s="3549"/>
      <c r="EL7" s="3752">
        <v>2013</v>
      </c>
      <c r="EM7" s="3517"/>
      <c r="EN7" s="3517"/>
      <c r="EO7" s="3518"/>
      <c r="EP7" s="3516">
        <v>2014</v>
      </c>
      <c r="EQ7" s="3517"/>
      <c r="ER7" s="3517"/>
      <c r="ES7" s="3518"/>
      <c r="ET7" s="3516">
        <v>2015</v>
      </c>
      <c r="EU7" s="3517"/>
      <c r="EV7" s="3517"/>
      <c r="EW7" s="3518"/>
      <c r="EX7" s="3516">
        <v>2016</v>
      </c>
      <c r="EY7" s="3517"/>
      <c r="EZ7" s="3517"/>
      <c r="FA7" s="3518"/>
      <c r="FB7" s="3516">
        <v>2017</v>
      </c>
      <c r="FC7" s="3517"/>
      <c r="FD7" s="3517"/>
      <c r="FE7" s="3518"/>
    </row>
    <row r="8" spans="1:161" ht="15.75" thickBot="1">
      <c r="A8" s="3755"/>
      <c r="B8" s="3741"/>
      <c r="C8" s="3742"/>
      <c r="D8" s="720" t="s">
        <v>2</v>
      </c>
      <c r="E8" s="721" t="s">
        <v>3</v>
      </c>
      <c r="F8" s="725" t="s">
        <v>4</v>
      </c>
      <c r="G8" s="722" t="s">
        <v>5</v>
      </c>
      <c r="H8" s="723" t="s">
        <v>2</v>
      </c>
      <c r="I8" s="721" t="s">
        <v>3</v>
      </c>
      <c r="J8" s="725" t="s">
        <v>4</v>
      </c>
      <c r="K8" s="724" t="s">
        <v>5</v>
      </c>
      <c r="L8" s="723" t="s">
        <v>2</v>
      </c>
      <c r="M8" s="721" t="s">
        <v>3</v>
      </c>
      <c r="N8" s="725" t="s">
        <v>4</v>
      </c>
      <c r="O8" s="724" t="s">
        <v>5</v>
      </c>
      <c r="P8" s="723" t="s">
        <v>2</v>
      </c>
      <c r="Q8" s="721" t="s">
        <v>3</v>
      </c>
      <c r="R8" s="725" t="s">
        <v>4</v>
      </c>
      <c r="S8" s="724" t="s">
        <v>5</v>
      </c>
      <c r="T8" s="2996" t="s">
        <v>2</v>
      </c>
      <c r="U8" s="2997" t="s">
        <v>3</v>
      </c>
      <c r="V8" s="2998" t="s">
        <v>4</v>
      </c>
      <c r="W8" s="724" t="s">
        <v>5</v>
      </c>
      <c r="X8" s="3288" t="s">
        <v>2</v>
      </c>
      <c r="Y8" s="3289" t="s">
        <v>3</v>
      </c>
      <c r="Z8" s="3290" t="s">
        <v>4</v>
      </c>
      <c r="AA8" s="724" t="s">
        <v>5</v>
      </c>
      <c r="AB8" s="3483" t="s">
        <v>2</v>
      </c>
      <c r="AC8" s="3484" t="s">
        <v>3</v>
      </c>
      <c r="AD8" s="3485" t="s">
        <v>4</v>
      </c>
      <c r="AE8" s="724" t="s">
        <v>5</v>
      </c>
      <c r="AF8" s="107"/>
      <c r="AG8" s="3755"/>
      <c r="AH8" s="3741"/>
      <c r="AI8" s="3742"/>
      <c r="AJ8" s="720" t="s">
        <v>2</v>
      </c>
      <c r="AK8" s="778" t="s">
        <v>3</v>
      </c>
      <c r="AL8" s="779" t="s">
        <v>4</v>
      </c>
      <c r="AM8" s="780" t="s">
        <v>5</v>
      </c>
      <c r="AN8" s="777" t="s">
        <v>2</v>
      </c>
      <c r="AO8" s="778" t="s">
        <v>3</v>
      </c>
      <c r="AP8" s="779" t="s">
        <v>4</v>
      </c>
      <c r="AQ8" s="724" t="s">
        <v>5</v>
      </c>
      <c r="AR8" s="777" t="s">
        <v>2</v>
      </c>
      <c r="AS8" s="778" t="s">
        <v>3</v>
      </c>
      <c r="AT8" s="779" t="s">
        <v>4</v>
      </c>
      <c r="AU8" s="724" t="s">
        <v>5</v>
      </c>
      <c r="AV8" s="777" t="s">
        <v>2</v>
      </c>
      <c r="AW8" s="778" t="s">
        <v>3</v>
      </c>
      <c r="AX8" s="779" t="s">
        <v>4</v>
      </c>
      <c r="AY8" s="724" t="s">
        <v>5</v>
      </c>
      <c r="AZ8" s="2877" t="s">
        <v>2</v>
      </c>
      <c r="BA8" s="2878" t="s">
        <v>3</v>
      </c>
      <c r="BB8" s="2879" t="s">
        <v>4</v>
      </c>
      <c r="BC8" s="724" t="s">
        <v>5</v>
      </c>
      <c r="BD8" s="3288" t="s">
        <v>2</v>
      </c>
      <c r="BE8" s="3289" t="s">
        <v>3</v>
      </c>
      <c r="BF8" s="3290" t="s">
        <v>4</v>
      </c>
      <c r="BG8" s="724" t="s">
        <v>5</v>
      </c>
      <c r="BH8" s="3483" t="s">
        <v>2</v>
      </c>
      <c r="BI8" s="3484" t="s">
        <v>3</v>
      </c>
      <c r="BJ8" s="3485" t="s">
        <v>4</v>
      </c>
      <c r="BK8" s="724" t="s">
        <v>5</v>
      </c>
      <c r="BL8" s="107"/>
      <c r="BM8" s="3755"/>
      <c r="BN8" s="3741"/>
      <c r="BO8" s="3742"/>
      <c r="BP8" s="720" t="s">
        <v>2</v>
      </c>
      <c r="BQ8" s="778" t="s">
        <v>3</v>
      </c>
      <c r="BR8" s="779" t="s">
        <v>4</v>
      </c>
      <c r="BS8" s="780" t="s">
        <v>5</v>
      </c>
      <c r="BT8" s="777" t="s">
        <v>2</v>
      </c>
      <c r="BU8" s="778" t="s">
        <v>3</v>
      </c>
      <c r="BV8" s="779" t="s">
        <v>4</v>
      </c>
      <c r="BW8" s="724" t="s">
        <v>5</v>
      </c>
      <c r="BX8" s="777" t="s">
        <v>2</v>
      </c>
      <c r="BY8" s="778" t="s">
        <v>3</v>
      </c>
      <c r="BZ8" s="779" t="s">
        <v>4</v>
      </c>
      <c r="CA8" s="724" t="s">
        <v>5</v>
      </c>
      <c r="CB8" s="777" t="s">
        <v>2</v>
      </c>
      <c r="CC8" s="778" t="s">
        <v>3</v>
      </c>
      <c r="CD8" s="779" t="s">
        <v>4</v>
      </c>
      <c r="CE8" s="724" t="s">
        <v>5</v>
      </c>
      <c r="CF8" s="2996" t="s">
        <v>2</v>
      </c>
      <c r="CG8" s="2997" t="s">
        <v>3</v>
      </c>
      <c r="CH8" s="2998" t="s">
        <v>4</v>
      </c>
      <c r="CI8" s="724" t="s">
        <v>5</v>
      </c>
      <c r="CJ8" s="3288" t="s">
        <v>2</v>
      </c>
      <c r="CK8" s="3289" t="s">
        <v>3</v>
      </c>
      <c r="CL8" s="3290" t="s">
        <v>4</v>
      </c>
      <c r="CM8" s="724" t="s">
        <v>5</v>
      </c>
      <c r="CN8" s="3483" t="s">
        <v>2</v>
      </c>
      <c r="CO8" s="3484" t="s">
        <v>3</v>
      </c>
      <c r="CP8" s="3485" t="s">
        <v>4</v>
      </c>
      <c r="CQ8" s="724" t="s">
        <v>5</v>
      </c>
      <c r="CR8" s="107"/>
      <c r="CS8" s="107"/>
      <c r="CT8" s="3755"/>
      <c r="CU8" s="3741"/>
      <c r="CV8" s="3742"/>
      <c r="CW8" s="720" t="s">
        <v>2</v>
      </c>
      <c r="CX8" s="778" t="s">
        <v>3</v>
      </c>
      <c r="CY8" s="779" t="s">
        <v>4</v>
      </c>
      <c r="CZ8" s="780" t="s">
        <v>5</v>
      </c>
      <c r="DA8" s="777" t="s">
        <v>2</v>
      </c>
      <c r="DB8" s="778" t="s">
        <v>3</v>
      </c>
      <c r="DC8" s="779" t="s">
        <v>4</v>
      </c>
      <c r="DD8" s="724" t="s">
        <v>5</v>
      </c>
      <c r="DE8" s="777" t="s">
        <v>2</v>
      </c>
      <c r="DF8" s="778" t="s">
        <v>3</v>
      </c>
      <c r="DG8" s="779" t="s">
        <v>4</v>
      </c>
      <c r="DH8" s="724" t="s">
        <v>5</v>
      </c>
      <c r="DI8" s="777" t="s">
        <v>2</v>
      </c>
      <c r="DJ8" s="778" t="s">
        <v>3</v>
      </c>
      <c r="DK8" s="779" t="s">
        <v>4</v>
      </c>
      <c r="DL8" s="724" t="s">
        <v>5</v>
      </c>
      <c r="DM8" s="2877" t="s">
        <v>2</v>
      </c>
      <c r="DN8" s="2878" t="s">
        <v>3</v>
      </c>
      <c r="DO8" s="2879" t="s">
        <v>4</v>
      </c>
      <c r="DP8" s="724" t="s">
        <v>5</v>
      </c>
      <c r="DQ8" s="3288" t="s">
        <v>2</v>
      </c>
      <c r="DR8" s="3289" t="s">
        <v>3</v>
      </c>
      <c r="DS8" s="3290" t="s">
        <v>4</v>
      </c>
      <c r="DT8" s="724" t="s">
        <v>5</v>
      </c>
      <c r="DU8" s="3483" t="s">
        <v>2</v>
      </c>
      <c r="DV8" s="3484" t="s">
        <v>3</v>
      </c>
      <c r="DW8" s="3485" t="s">
        <v>4</v>
      </c>
      <c r="DX8" s="724" t="s">
        <v>5</v>
      </c>
      <c r="DY8" s="107"/>
      <c r="DZ8" s="107"/>
      <c r="EA8" s="3755"/>
      <c r="EB8" s="3741"/>
      <c r="EC8" s="3742"/>
      <c r="ED8" s="720" t="s">
        <v>2</v>
      </c>
      <c r="EE8" s="778" t="s">
        <v>3</v>
      </c>
      <c r="EF8" s="779" t="s">
        <v>4</v>
      </c>
      <c r="EG8" s="780" t="s">
        <v>5</v>
      </c>
      <c r="EH8" s="777" t="s">
        <v>2</v>
      </c>
      <c r="EI8" s="778" t="s">
        <v>3</v>
      </c>
      <c r="EJ8" s="779" t="s">
        <v>4</v>
      </c>
      <c r="EK8" s="724" t="s">
        <v>5</v>
      </c>
      <c r="EL8" s="777" t="s">
        <v>2</v>
      </c>
      <c r="EM8" s="778" t="s">
        <v>3</v>
      </c>
      <c r="EN8" s="779" t="s">
        <v>4</v>
      </c>
      <c r="EO8" s="724" t="s">
        <v>5</v>
      </c>
      <c r="EP8" s="777" t="s">
        <v>2</v>
      </c>
      <c r="EQ8" s="778" t="s">
        <v>3</v>
      </c>
      <c r="ER8" s="779" t="s">
        <v>4</v>
      </c>
      <c r="ES8" s="724" t="s">
        <v>5</v>
      </c>
      <c r="ET8" s="2877" t="s">
        <v>2</v>
      </c>
      <c r="EU8" s="2878" t="s">
        <v>3</v>
      </c>
      <c r="EV8" s="2879" t="s">
        <v>4</v>
      </c>
      <c r="EW8" s="724" t="s">
        <v>5</v>
      </c>
      <c r="EX8" s="3291" t="s">
        <v>2</v>
      </c>
      <c r="EY8" s="3292" t="s">
        <v>3</v>
      </c>
      <c r="EZ8" s="3293" t="s">
        <v>4</v>
      </c>
      <c r="FA8" s="724" t="s">
        <v>5</v>
      </c>
      <c r="FB8" s="3492" t="s">
        <v>2</v>
      </c>
      <c r="FC8" s="3493" t="s">
        <v>3</v>
      </c>
      <c r="FD8" s="3494" t="s">
        <v>4</v>
      </c>
      <c r="FE8" s="724" t="s">
        <v>5</v>
      </c>
    </row>
    <row r="9" spans="1:161" ht="15.75" thickBot="1">
      <c r="A9" s="107"/>
      <c r="B9" s="113"/>
      <c r="C9" s="120"/>
      <c r="D9" s="115"/>
      <c r="E9" s="115"/>
      <c r="F9" s="115"/>
      <c r="G9" s="115"/>
      <c r="H9" s="115"/>
      <c r="I9" s="115"/>
      <c r="J9" s="115"/>
      <c r="K9" s="115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13"/>
      <c r="AI9" s="120"/>
      <c r="AJ9" s="115"/>
      <c r="AK9" s="115"/>
      <c r="AL9" s="115"/>
      <c r="AM9" s="115"/>
      <c r="AN9" s="115"/>
      <c r="AO9" s="115"/>
      <c r="AP9" s="115"/>
      <c r="AQ9" s="115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20"/>
      <c r="BF9" s="120"/>
      <c r="BG9" s="120"/>
      <c r="BH9" s="120"/>
      <c r="BI9" s="120"/>
      <c r="BJ9" s="120"/>
      <c r="BK9" s="193"/>
      <c r="BL9" s="120"/>
      <c r="BM9" s="120"/>
      <c r="BN9" s="113"/>
      <c r="BO9" s="120"/>
      <c r="BP9" s="115"/>
      <c r="BQ9" s="115"/>
      <c r="BR9" s="115"/>
      <c r="BS9" s="115"/>
      <c r="BT9" s="115"/>
      <c r="BU9" s="115"/>
      <c r="BV9" s="115"/>
      <c r="BW9" s="115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20"/>
      <c r="CS9" s="120"/>
      <c r="CT9" s="120"/>
      <c r="CU9" s="113"/>
      <c r="CV9" s="120"/>
      <c r="CW9" s="115"/>
      <c r="CX9" s="115"/>
      <c r="CY9" s="115"/>
      <c r="CZ9" s="115"/>
      <c r="DA9" s="115"/>
      <c r="DB9" s="115"/>
      <c r="DC9" s="115"/>
      <c r="DD9" s="115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20"/>
      <c r="DZ9" s="120"/>
      <c r="EA9" s="120"/>
      <c r="EB9" s="113"/>
      <c r="EC9" s="120"/>
      <c r="ED9" s="115"/>
      <c r="EE9" s="115"/>
      <c r="EF9" s="115"/>
      <c r="EG9" s="115"/>
      <c r="EH9" s="115"/>
      <c r="EI9" s="115"/>
      <c r="EJ9" s="115"/>
      <c r="EK9" s="115"/>
      <c r="EL9" s="107"/>
      <c r="EM9" s="107"/>
      <c r="EN9" s="107"/>
      <c r="EO9" s="107"/>
      <c r="EP9" s="107"/>
      <c r="EQ9" s="107"/>
      <c r="ER9" s="107"/>
      <c r="ES9" s="107"/>
      <c r="ET9" s="107"/>
      <c r="EU9" s="107"/>
      <c r="EV9" s="107"/>
      <c r="EW9" s="107"/>
      <c r="EX9" s="767"/>
    </row>
    <row r="10" spans="1:161" ht="15.75" thickBot="1">
      <c r="A10" s="597">
        <v>1</v>
      </c>
      <c r="B10" s="3732"/>
      <c r="C10" s="3732"/>
      <c r="D10" s="438"/>
      <c r="E10" s="438"/>
      <c r="F10" s="438"/>
      <c r="G10" s="438"/>
      <c r="H10" s="438"/>
      <c r="I10" s="438"/>
      <c r="J10" s="438"/>
      <c r="K10" s="438"/>
      <c r="L10" s="438"/>
      <c r="M10" s="438"/>
      <c r="N10" s="1659"/>
      <c r="O10" s="438"/>
      <c r="P10" s="438"/>
      <c r="Q10" s="438"/>
      <c r="R10" s="438"/>
      <c r="S10" s="439"/>
      <c r="T10" s="438"/>
      <c r="U10" s="438"/>
      <c r="V10" s="438"/>
      <c r="W10" s="439"/>
      <c r="X10" s="3724"/>
      <c r="Y10" s="3725"/>
      <c r="Z10" s="3725"/>
      <c r="AA10" s="3726"/>
      <c r="AB10" s="3724"/>
      <c r="AC10" s="3725"/>
      <c r="AD10" s="3725"/>
      <c r="AE10" s="3726"/>
      <c r="AF10" s="107"/>
      <c r="AG10" s="597">
        <v>1</v>
      </c>
      <c r="AH10" s="3732"/>
      <c r="AI10" s="3732"/>
      <c r="AJ10" s="438"/>
      <c r="AK10" s="438"/>
      <c r="AL10" s="438"/>
      <c r="AM10" s="438"/>
      <c r="AN10" s="438"/>
      <c r="AO10" s="438"/>
      <c r="AP10" s="438"/>
      <c r="AQ10" s="438"/>
      <c r="AR10" s="438"/>
      <c r="AS10" s="438"/>
      <c r="AT10" s="438"/>
      <c r="AU10" s="438"/>
      <c r="AV10" s="438"/>
      <c r="AW10" s="438"/>
      <c r="AX10" s="438"/>
      <c r="AY10" s="439"/>
      <c r="AZ10" s="3724"/>
      <c r="BA10" s="3725"/>
      <c r="BB10" s="3725"/>
      <c r="BC10" s="3726"/>
      <c r="BD10" s="3724"/>
      <c r="BE10" s="3725"/>
      <c r="BF10" s="3725"/>
      <c r="BG10" s="3726"/>
      <c r="BH10" s="3724"/>
      <c r="BI10" s="3725"/>
      <c r="BJ10" s="3725"/>
      <c r="BK10" s="3726"/>
      <c r="BL10" s="107"/>
      <c r="BM10" s="597">
        <v>1</v>
      </c>
      <c r="BN10" s="3732"/>
      <c r="BO10" s="3732"/>
      <c r="BP10" s="438"/>
      <c r="BQ10" s="438"/>
      <c r="BR10" s="438"/>
      <c r="BS10" s="438"/>
      <c r="BT10" s="438"/>
      <c r="BU10" s="438"/>
      <c r="BV10" s="438"/>
      <c r="BW10" s="438"/>
      <c r="BX10" s="438"/>
      <c r="BY10" s="438"/>
      <c r="BZ10" s="438"/>
      <c r="CA10" s="438"/>
      <c r="CB10" s="438"/>
      <c r="CC10" s="438"/>
      <c r="CD10" s="438"/>
      <c r="CE10" s="439"/>
      <c r="CF10" s="438"/>
      <c r="CG10" s="438"/>
      <c r="CH10" s="438"/>
      <c r="CI10" s="439"/>
      <c r="CJ10" s="438"/>
      <c r="CK10" s="438"/>
      <c r="CL10" s="438"/>
      <c r="CM10" s="439"/>
      <c r="CN10" s="438"/>
      <c r="CO10" s="438"/>
      <c r="CP10" s="438"/>
      <c r="CQ10" s="439"/>
      <c r="CR10" s="107"/>
      <c r="CS10" s="107"/>
      <c r="CT10" s="597">
        <v>1</v>
      </c>
      <c r="CU10" s="3732"/>
      <c r="CV10" s="3732"/>
      <c r="CW10" s="438"/>
      <c r="CX10" s="438"/>
      <c r="CY10" s="438"/>
      <c r="CZ10" s="438"/>
      <c r="DA10" s="438"/>
      <c r="DB10" s="438"/>
      <c r="DC10" s="438"/>
      <c r="DD10" s="438"/>
      <c r="DE10" s="438"/>
      <c r="DF10" s="438"/>
      <c r="DG10" s="438"/>
      <c r="DH10" s="438"/>
      <c r="DI10" s="438"/>
      <c r="DJ10" s="438"/>
      <c r="DK10" s="438"/>
      <c r="DL10" s="438"/>
      <c r="DM10" s="3724"/>
      <c r="DN10" s="3725"/>
      <c r="DO10" s="3725"/>
      <c r="DP10" s="3726"/>
      <c r="DQ10" s="3724"/>
      <c r="DR10" s="3725"/>
      <c r="DS10" s="3725"/>
      <c r="DT10" s="3726"/>
      <c r="DU10" s="3724"/>
      <c r="DV10" s="3725"/>
      <c r="DW10" s="3725"/>
      <c r="DX10" s="3726"/>
      <c r="DY10" s="107"/>
      <c r="DZ10" s="107"/>
      <c r="EA10" s="597">
        <v>1</v>
      </c>
      <c r="EB10" s="3732"/>
      <c r="EC10" s="3732"/>
      <c r="ED10" s="438"/>
      <c r="EE10" s="438"/>
      <c r="EF10" s="438"/>
      <c r="EG10" s="438"/>
      <c r="EH10" s="438"/>
      <c r="EI10" s="438"/>
      <c r="EJ10" s="438"/>
      <c r="EK10" s="438"/>
      <c r="EL10" s="438"/>
      <c r="EM10" s="438"/>
      <c r="EN10" s="438"/>
      <c r="EO10" s="438"/>
      <c r="EP10" s="438"/>
      <c r="EQ10" s="438"/>
      <c r="ER10" s="438"/>
      <c r="ES10" s="438"/>
      <c r="ET10" s="3297"/>
      <c r="EU10" s="1659"/>
      <c r="EV10" s="1659"/>
      <c r="EW10" s="3298"/>
      <c r="EX10" s="1659"/>
      <c r="EY10" s="1659"/>
      <c r="EZ10" s="1659"/>
      <c r="FA10" s="3298"/>
      <c r="FB10" s="1659"/>
      <c r="FC10" s="1659"/>
      <c r="FD10" s="1659"/>
      <c r="FE10" s="3298"/>
    </row>
    <row r="11" spans="1:161" ht="15.75">
      <c r="A11" s="332"/>
      <c r="B11" s="3735" t="s">
        <v>173</v>
      </c>
      <c r="C11" s="3736"/>
      <c r="D11" s="251">
        <v>5.23</v>
      </c>
      <c r="E11" s="566" t="s">
        <v>82</v>
      </c>
      <c r="F11" s="566">
        <v>6.65</v>
      </c>
      <c r="G11" s="578">
        <v>6.69</v>
      </c>
      <c r="H11" s="437">
        <v>12.35</v>
      </c>
      <c r="I11" s="254">
        <v>8.7200000000000006</v>
      </c>
      <c r="J11" s="557" t="s">
        <v>82</v>
      </c>
      <c r="K11" s="559">
        <v>9.52</v>
      </c>
      <c r="L11" s="941">
        <v>7.85</v>
      </c>
      <c r="M11" s="389">
        <v>8.57</v>
      </c>
      <c r="N11" s="1665">
        <v>8.57</v>
      </c>
      <c r="O11" s="1653"/>
      <c r="P11" s="380">
        <v>7.52</v>
      </c>
      <c r="Q11" s="387">
        <v>8.89</v>
      </c>
      <c r="R11" s="387" t="s">
        <v>109</v>
      </c>
      <c r="S11" s="388"/>
      <c r="T11" s="380"/>
      <c r="U11" s="387">
        <v>8.83</v>
      </c>
      <c r="V11" s="387">
        <v>15.82</v>
      </c>
      <c r="W11" s="388"/>
      <c r="X11" s="388">
        <v>7.1660000000000004</v>
      </c>
      <c r="Y11" s="388">
        <v>11.03</v>
      </c>
      <c r="Z11" s="388">
        <v>10.09</v>
      </c>
      <c r="AA11" s="388">
        <v>7.54</v>
      </c>
      <c r="AB11" s="388">
        <v>12.33</v>
      </c>
      <c r="AC11" s="388"/>
      <c r="AD11" s="388"/>
      <c r="AE11" s="388"/>
      <c r="AF11" s="107"/>
      <c r="AG11" s="332"/>
      <c r="AH11" s="3735" t="s">
        <v>173</v>
      </c>
      <c r="AI11" s="3736"/>
      <c r="AJ11" s="254" t="s">
        <v>82</v>
      </c>
      <c r="AK11" s="557" t="s">
        <v>82</v>
      </c>
      <c r="AL11" s="557" t="s">
        <v>82</v>
      </c>
      <c r="AM11" s="558">
        <v>9.89</v>
      </c>
      <c r="AN11" s="548">
        <v>10.57</v>
      </c>
      <c r="AO11" s="549">
        <v>9.18</v>
      </c>
      <c r="AP11" s="557" t="s">
        <v>82</v>
      </c>
      <c r="AQ11" s="559">
        <v>9.25</v>
      </c>
      <c r="AR11" s="941">
        <v>9.1199999999999992</v>
      </c>
      <c r="AS11" s="387">
        <v>9.0399999999999991</v>
      </c>
      <c r="AT11" s="1652">
        <v>8.43</v>
      </c>
      <c r="AU11" s="389"/>
      <c r="AV11" s="380">
        <v>9.68</v>
      </c>
      <c r="AW11" s="387">
        <v>9.9</v>
      </c>
      <c r="AX11" s="387">
        <v>8.36</v>
      </c>
      <c r="AY11" s="389"/>
      <c r="AZ11" s="387">
        <v>9.34</v>
      </c>
      <c r="BA11" s="387">
        <v>8.6999999999999993</v>
      </c>
      <c r="BB11" s="387">
        <v>10.029999999999999</v>
      </c>
      <c r="BC11" s="387"/>
      <c r="BD11" s="387">
        <v>9.8699999999999992</v>
      </c>
      <c r="BE11" s="387">
        <v>8.27</v>
      </c>
      <c r="BF11" s="387">
        <v>7.29</v>
      </c>
      <c r="BG11" s="387">
        <v>7.52</v>
      </c>
      <c r="BH11" s="387">
        <v>5.7</v>
      </c>
      <c r="BI11" s="387"/>
      <c r="BJ11" s="387"/>
      <c r="BK11" s="387"/>
      <c r="BL11" s="107"/>
      <c r="BM11" s="332"/>
      <c r="BN11" s="3735" t="s">
        <v>173</v>
      </c>
      <c r="BO11" s="3736"/>
      <c r="BP11" s="254" t="s">
        <v>82</v>
      </c>
      <c r="BQ11" s="557" t="s">
        <v>82</v>
      </c>
      <c r="BR11" s="557" t="s">
        <v>82</v>
      </c>
      <c r="BS11" s="558" t="s">
        <v>82</v>
      </c>
      <c r="BT11" s="548">
        <v>0.53700000000000003</v>
      </c>
      <c r="BU11" s="549">
        <v>0.81200000000000006</v>
      </c>
      <c r="BV11" s="557"/>
      <c r="BW11" s="909"/>
      <c r="BX11" s="380"/>
      <c r="BY11" s="387">
        <v>1.008</v>
      </c>
      <c r="BZ11" s="387"/>
      <c r="CA11" s="389"/>
      <c r="CB11" s="380">
        <v>0.22</v>
      </c>
      <c r="CC11" s="387"/>
      <c r="CD11" s="387"/>
      <c r="CE11" s="388"/>
      <c r="CF11" s="380"/>
      <c r="CG11" s="387">
        <v>0.40200000000000002</v>
      </c>
      <c r="CH11" s="387"/>
      <c r="CI11" s="388"/>
      <c r="CJ11" s="380"/>
      <c r="CK11" s="387"/>
      <c r="CL11" s="387"/>
      <c r="CM11" s="388"/>
      <c r="CN11" s="380" t="s">
        <v>449</v>
      </c>
      <c r="CO11" s="387"/>
      <c r="CP11" s="387"/>
      <c r="CQ11" s="388"/>
      <c r="CR11" s="107"/>
      <c r="CS11" s="107"/>
      <c r="CT11" s="332"/>
      <c r="CU11" s="3735" t="s">
        <v>173</v>
      </c>
      <c r="CV11" s="3736"/>
      <c r="CW11" s="254"/>
      <c r="CX11" s="557"/>
      <c r="CY11" s="557"/>
      <c r="CZ11" s="558">
        <v>2.5</v>
      </c>
      <c r="DA11" s="548">
        <v>2.34</v>
      </c>
      <c r="DB11" s="549">
        <v>2.36</v>
      </c>
      <c r="DC11" s="557" t="s">
        <v>82</v>
      </c>
      <c r="DD11" s="559"/>
      <c r="DE11" s="941">
        <v>2.59</v>
      </c>
      <c r="DF11" s="387">
        <v>2.6</v>
      </c>
      <c r="DG11" s="1651">
        <v>2</v>
      </c>
      <c r="DH11" s="389"/>
      <c r="DI11" s="380">
        <v>2.5</v>
      </c>
      <c r="DJ11" s="387">
        <v>2.5499999999999998</v>
      </c>
      <c r="DK11" s="387">
        <v>1.87</v>
      </c>
      <c r="DL11" s="389"/>
      <c r="DM11" s="380">
        <v>2.27</v>
      </c>
      <c r="DN11" s="387">
        <v>2.5099999999999998</v>
      </c>
      <c r="DO11" s="387">
        <v>1.78</v>
      </c>
      <c r="DP11" s="388"/>
      <c r="DQ11" s="380">
        <v>2.54</v>
      </c>
      <c r="DR11" s="387">
        <v>2.5099999999999998</v>
      </c>
      <c r="DS11" s="387">
        <v>1.54</v>
      </c>
      <c r="DT11" s="388">
        <v>2.44</v>
      </c>
      <c r="DU11" s="380">
        <v>2.38</v>
      </c>
      <c r="DV11" s="387"/>
      <c r="DW11" s="387"/>
      <c r="DX11" s="388"/>
      <c r="DY11" s="107"/>
      <c r="DZ11" s="107"/>
      <c r="EA11" s="332"/>
      <c r="EB11" s="3735" t="s">
        <v>173</v>
      </c>
      <c r="EC11" s="3736"/>
      <c r="ED11" s="254"/>
      <c r="EE11" s="557"/>
      <c r="EF11" s="557"/>
      <c r="EG11" s="558">
        <v>39</v>
      </c>
      <c r="EH11" s="548">
        <v>36.799999999999997</v>
      </c>
      <c r="EI11" s="549">
        <v>37</v>
      </c>
      <c r="EJ11" s="557" t="s">
        <v>82</v>
      </c>
      <c r="EK11" s="559"/>
      <c r="EL11" s="941">
        <v>40.200000000000003</v>
      </c>
      <c r="EM11" s="387">
        <v>40.6</v>
      </c>
      <c r="EN11" s="1651">
        <v>31.6</v>
      </c>
      <c r="EO11" s="389"/>
      <c r="EP11" s="380">
        <v>39</v>
      </c>
      <c r="EQ11" s="387">
        <v>39.700000000000003</v>
      </c>
      <c r="ER11" s="387">
        <v>30.1</v>
      </c>
      <c r="ES11" s="389"/>
      <c r="ET11" s="318">
        <v>35.6</v>
      </c>
      <c r="EU11" s="304">
        <v>39.4</v>
      </c>
      <c r="EV11" s="304">
        <v>28.7</v>
      </c>
      <c r="EW11" s="319"/>
      <c r="EX11" s="370">
        <v>39.6</v>
      </c>
      <c r="EY11" s="304">
        <v>39.1</v>
      </c>
      <c r="EZ11" s="304">
        <v>25.3</v>
      </c>
      <c r="FA11" s="319">
        <v>38.1</v>
      </c>
      <c r="FB11" s="319">
        <v>37.299999999999997</v>
      </c>
      <c r="FC11" s="319"/>
      <c r="FD11" s="319"/>
      <c r="FE11" s="319"/>
    </row>
    <row r="12" spans="1:161" ht="15.75">
      <c r="A12" s="390"/>
      <c r="B12" s="3737" t="s">
        <v>172</v>
      </c>
      <c r="C12" s="3738"/>
      <c r="D12" s="41">
        <v>5.44</v>
      </c>
      <c r="E12" s="560" t="s">
        <v>82</v>
      </c>
      <c r="F12" s="560">
        <v>4.66</v>
      </c>
      <c r="G12" s="574">
        <v>6.59</v>
      </c>
      <c r="H12" s="435">
        <v>5.34</v>
      </c>
      <c r="I12" s="41">
        <v>5.68</v>
      </c>
      <c r="J12" s="560" t="s">
        <v>82</v>
      </c>
      <c r="K12" s="562">
        <v>2.0699999999999998</v>
      </c>
      <c r="L12" s="942">
        <v>6.3</v>
      </c>
      <c r="M12" s="381">
        <v>7.23</v>
      </c>
      <c r="N12" s="1666">
        <v>6.89</v>
      </c>
      <c r="O12" s="1654"/>
      <c r="P12" s="318">
        <v>6.66</v>
      </c>
      <c r="Q12" s="304">
        <v>7.13</v>
      </c>
      <c r="R12" s="387" t="s">
        <v>109</v>
      </c>
      <c r="S12" s="319"/>
      <c r="T12" s="318"/>
      <c r="U12" s="304">
        <v>6.1</v>
      </c>
      <c r="V12" s="387">
        <v>5.73</v>
      </c>
      <c r="W12" s="319"/>
      <c r="X12" s="319">
        <v>2.85</v>
      </c>
      <c r="Y12" s="319">
        <v>9.27</v>
      </c>
      <c r="Z12" s="319">
        <v>7.13</v>
      </c>
      <c r="AA12" s="319">
        <v>6.78</v>
      </c>
      <c r="AB12" s="319">
        <v>5.47</v>
      </c>
      <c r="AC12" s="319"/>
      <c r="AD12" s="319"/>
      <c r="AE12" s="319"/>
      <c r="AF12" s="107"/>
      <c r="AG12" s="390"/>
      <c r="AH12" s="3737" t="s">
        <v>172</v>
      </c>
      <c r="AI12" s="3738"/>
      <c r="AJ12" s="41" t="s">
        <v>82</v>
      </c>
      <c r="AK12" s="560" t="s">
        <v>82</v>
      </c>
      <c r="AL12" s="560" t="s">
        <v>82</v>
      </c>
      <c r="AM12" s="561">
        <v>9.7899999999999991</v>
      </c>
      <c r="AN12" s="550">
        <v>10.130000000000001</v>
      </c>
      <c r="AO12" s="551">
        <v>8.9700000000000006</v>
      </c>
      <c r="AP12" s="560" t="s">
        <v>82</v>
      </c>
      <c r="AQ12" s="562">
        <v>8.56</v>
      </c>
      <c r="AR12" s="942">
        <v>8.94</v>
      </c>
      <c r="AS12" s="304">
        <v>8.75</v>
      </c>
      <c r="AT12" s="1652">
        <v>8.83</v>
      </c>
      <c r="AU12" s="381"/>
      <c r="AV12" s="318">
        <v>9.65</v>
      </c>
      <c r="AW12" s="304">
        <v>9.4700000000000006</v>
      </c>
      <c r="AX12" s="304">
        <v>8.69</v>
      </c>
      <c r="AY12" s="381"/>
      <c r="AZ12" s="304">
        <v>8.92</v>
      </c>
      <c r="BA12" s="304">
        <v>8.74</v>
      </c>
      <c r="BB12" s="304">
        <v>9.49</v>
      </c>
      <c r="BC12" s="304"/>
      <c r="BD12" s="304">
        <v>8.2200000000000006</v>
      </c>
      <c r="BE12" s="304">
        <v>8.3000000000000007</v>
      </c>
      <c r="BF12" s="304">
        <v>7.28</v>
      </c>
      <c r="BG12" s="304">
        <v>7.55</v>
      </c>
      <c r="BH12" s="304">
        <v>5.64</v>
      </c>
      <c r="BI12" s="304"/>
      <c r="BJ12" s="304"/>
      <c r="BK12" s="304"/>
      <c r="BL12" s="107"/>
      <c r="BM12" s="390"/>
      <c r="BN12" s="3737" t="s">
        <v>172</v>
      </c>
      <c r="BO12" s="3738"/>
      <c r="BP12" s="41" t="s">
        <v>82</v>
      </c>
      <c r="BQ12" s="560" t="s">
        <v>82</v>
      </c>
      <c r="BR12" s="560" t="s">
        <v>82</v>
      </c>
      <c r="BS12" s="561" t="s">
        <v>82</v>
      </c>
      <c r="BT12" s="550">
        <v>0.24099999999999999</v>
      </c>
      <c r="BU12" s="551">
        <v>0.64500000000000002</v>
      </c>
      <c r="BV12" s="560"/>
      <c r="BW12" s="910"/>
      <c r="BX12" s="318"/>
      <c r="BY12" s="304">
        <v>1.05</v>
      </c>
      <c r="BZ12" s="304"/>
      <c r="CA12" s="381"/>
      <c r="CB12" s="318">
        <v>0.18</v>
      </c>
      <c r="CC12" s="304"/>
      <c r="CD12" s="304"/>
      <c r="CE12" s="319"/>
      <c r="CF12" s="318"/>
      <c r="CG12" s="304">
        <v>0.40600000000000003</v>
      </c>
      <c r="CH12" s="304"/>
      <c r="CI12" s="319"/>
      <c r="CJ12" s="318"/>
      <c r="CK12" s="304"/>
      <c r="CL12" s="304"/>
      <c r="CM12" s="319"/>
      <c r="CN12" s="318">
        <v>1.7999999999999999E-2</v>
      </c>
      <c r="CO12" s="304"/>
      <c r="CP12" s="304"/>
      <c r="CQ12" s="319"/>
      <c r="CR12" s="107"/>
      <c r="CS12" s="107"/>
      <c r="CT12" s="390"/>
      <c r="CU12" s="3737" t="s">
        <v>172</v>
      </c>
      <c r="CV12" s="3738"/>
      <c r="CW12" s="41"/>
      <c r="CX12" s="560"/>
      <c r="CY12" s="560"/>
      <c r="CZ12" s="561">
        <v>2.4900000000000002</v>
      </c>
      <c r="DA12" s="550">
        <v>2.4900000000000002</v>
      </c>
      <c r="DB12" s="551">
        <v>2.41</v>
      </c>
      <c r="DC12" s="557" t="s">
        <v>82</v>
      </c>
      <c r="DD12" s="562"/>
      <c r="DE12" s="942">
        <v>2.59</v>
      </c>
      <c r="DF12" s="304">
        <v>2.66</v>
      </c>
      <c r="DG12" s="1651">
        <v>2.33</v>
      </c>
      <c r="DH12" s="381"/>
      <c r="DI12" s="318">
        <v>2.5099999999999998</v>
      </c>
      <c r="DJ12" s="304">
        <v>2.59</v>
      </c>
      <c r="DK12" s="304">
        <v>2.2200000000000002</v>
      </c>
      <c r="DL12" s="381"/>
      <c r="DM12" s="318">
        <v>2.4500000000000002</v>
      </c>
      <c r="DN12" s="304">
        <v>2.58</v>
      </c>
      <c r="DO12" s="304">
        <v>2.23</v>
      </c>
      <c r="DP12" s="319"/>
      <c r="DQ12" s="318">
        <v>2.57</v>
      </c>
      <c r="DR12" s="304">
        <v>2.46</v>
      </c>
      <c r="DS12" s="304">
        <v>1.8</v>
      </c>
      <c r="DT12" s="319">
        <v>2.4700000000000002</v>
      </c>
      <c r="DU12" s="318">
        <v>2.5</v>
      </c>
      <c r="DV12" s="304"/>
      <c r="DW12" s="304"/>
      <c r="DX12" s="319"/>
      <c r="DY12" s="107"/>
      <c r="DZ12" s="107"/>
      <c r="EA12" s="390"/>
      <c r="EB12" s="3737" t="s">
        <v>172</v>
      </c>
      <c r="EC12" s="3738"/>
      <c r="ED12" s="41"/>
      <c r="EE12" s="560"/>
      <c r="EF12" s="560"/>
      <c r="EG12" s="561">
        <v>39</v>
      </c>
      <c r="EH12" s="550">
        <v>39</v>
      </c>
      <c r="EI12" s="551">
        <v>37.799999999999997</v>
      </c>
      <c r="EJ12" s="557" t="s">
        <v>82</v>
      </c>
      <c r="EK12" s="562"/>
      <c r="EL12" s="942">
        <v>40.200000000000003</v>
      </c>
      <c r="EM12" s="304">
        <v>41.3</v>
      </c>
      <c r="EN12" s="1651">
        <v>36.6</v>
      </c>
      <c r="EO12" s="381"/>
      <c r="EP12" s="318">
        <v>39.200000000000003</v>
      </c>
      <c r="EQ12" s="304">
        <v>40.4</v>
      </c>
      <c r="ER12" s="304">
        <v>35</v>
      </c>
      <c r="ES12" s="381"/>
      <c r="ET12" s="318">
        <v>38.4</v>
      </c>
      <c r="EU12" s="304">
        <v>40.1</v>
      </c>
      <c r="EV12" s="304">
        <v>35.1</v>
      </c>
      <c r="EW12" s="319"/>
      <c r="EX12" s="370">
        <v>40</v>
      </c>
      <c r="EY12" s="304">
        <v>37.799999999999997</v>
      </c>
      <c r="EZ12" s="304">
        <v>28.9</v>
      </c>
      <c r="FA12" s="319">
        <v>38.5</v>
      </c>
      <c r="FB12" s="319">
        <v>39</v>
      </c>
      <c r="FC12" s="319"/>
      <c r="FD12" s="319"/>
      <c r="FE12" s="319"/>
    </row>
    <row r="13" spans="1:161" ht="16.5" thickBot="1">
      <c r="A13" s="307"/>
      <c r="B13" s="3730" t="s">
        <v>171</v>
      </c>
      <c r="C13" s="3731"/>
      <c r="D13" s="62">
        <v>4.45</v>
      </c>
      <c r="E13" s="563" t="s">
        <v>82</v>
      </c>
      <c r="F13" s="563">
        <v>3.16</v>
      </c>
      <c r="G13" s="575">
        <v>2.34</v>
      </c>
      <c r="H13" s="436">
        <v>1.29</v>
      </c>
      <c r="I13" s="62">
        <v>3.05</v>
      </c>
      <c r="J13" s="563" t="s">
        <v>82</v>
      </c>
      <c r="K13" s="565">
        <v>1.89</v>
      </c>
      <c r="L13" s="943">
        <v>2.9</v>
      </c>
      <c r="M13" s="382">
        <v>4.49</v>
      </c>
      <c r="N13" s="1667">
        <v>3.63</v>
      </c>
      <c r="O13" s="1655"/>
      <c r="P13" s="320">
        <v>3.03</v>
      </c>
      <c r="Q13" s="321">
        <v>2.4</v>
      </c>
      <c r="R13" s="387" t="s">
        <v>109</v>
      </c>
      <c r="S13" s="322"/>
      <c r="T13" s="320"/>
      <c r="U13" s="321">
        <v>6.18</v>
      </c>
      <c r="V13" s="387">
        <v>3.36</v>
      </c>
      <c r="W13" s="322"/>
      <c r="X13" s="322">
        <v>3.65</v>
      </c>
      <c r="Y13" s="322">
        <v>4.01</v>
      </c>
      <c r="Z13" s="322">
        <v>3.66</v>
      </c>
      <c r="AA13" s="322">
        <v>3.55</v>
      </c>
      <c r="AB13" s="322">
        <v>5.33</v>
      </c>
      <c r="AC13" s="322"/>
      <c r="AD13" s="322"/>
      <c r="AE13" s="322"/>
      <c r="AF13" s="107"/>
      <c r="AG13" s="307"/>
      <c r="AH13" s="3730" t="s">
        <v>171</v>
      </c>
      <c r="AI13" s="3731"/>
      <c r="AJ13" s="62" t="s">
        <v>82</v>
      </c>
      <c r="AK13" s="563" t="s">
        <v>82</v>
      </c>
      <c r="AL13" s="563" t="s">
        <v>82</v>
      </c>
      <c r="AM13" s="564">
        <v>9.59</v>
      </c>
      <c r="AN13" s="552">
        <v>9.9600000000000009</v>
      </c>
      <c r="AO13" s="553">
        <v>8.74</v>
      </c>
      <c r="AP13" s="563" t="s">
        <v>82</v>
      </c>
      <c r="AQ13" s="565">
        <v>8.7100000000000009</v>
      </c>
      <c r="AR13" s="943">
        <v>8.76</v>
      </c>
      <c r="AS13" s="321">
        <v>8.7799999999999994</v>
      </c>
      <c r="AT13" s="1652">
        <v>8.69</v>
      </c>
      <c r="AU13" s="382"/>
      <c r="AV13" s="320">
        <v>9.1999999999999993</v>
      </c>
      <c r="AW13" s="321">
        <v>9.26</v>
      </c>
      <c r="AX13" s="321">
        <v>8.76</v>
      </c>
      <c r="AY13" s="382"/>
      <c r="AZ13" s="304">
        <v>9</v>
      </c>
      <c r="BA13" s="304">
        <v>8.52</v>
      </c>
      <c r="BB13" s="304">
        <v>9.32</v>
      </c>
      <c r="BC13" s="304"/>
      <c r="BD13" s="304">
        <v>8.01</v>
      </c>
      <c r="BE13" s="304">
        <v>8.08</v>
      </c>
      <c r="BF13" s="304">
        <v>7.25</v>
      </c>
      <c r="BG13" s="304">
        <v>7.37</v>
      </c>
      <c r="BH13" s="304">
        <v>5.55</v>
      </c>
      <c r="BI13" s="304"/>
      <c r="BJ13" s="304"/>
      <c r="BK13" s="304"/>
      <c r="BL13" s="107"/>
      <c r="BM13" s="307"/>
      <c r="BN13" s="3730" t="s">
        <v>171</v>
      </c>
      <c r="BO13" s="3731"/>
      <c r="BP13" s="62" t="s">
        <v>82</v>
      </c>
      <c r="BQ13" s="563" t="s">
        <v>82</v>
      </c>
      <c r="BR13" s="563" t="s">
        <v>82</v>
      </c>
      <c r="BS13" s="564" t="s">
        <v>82</v>
      </c>
      <c r="BT13" s="552">
        <v>0.44800000000000001</v>
      </c>
      <c r="BU13" s="553">
        <v>0.74</v>
      </c>
      <c r="BV13" s="563"/>
      <c r="BW13" s="911"/>
      <c r="BX13" s="320"/>
      <c r="BY13" s="321">
        <v>1.087</v>
      </c>
      <c r="BZ13" s="321"/>
      <c r="CA13" s="382"/>
      <c r="CB13" s="320">
        <v>0.31</v>
      </c>
      <c r="CC13" s="321"/>
      <c r="CD13" s="321"/>
      <c r="CE13" s="322"/>
      <c r="CF13" s="320"/>
      <c r="CG13" s="321">
        <v>0.41399999999999998</v>
      </c>
      <c r="CH13" s="321"/>
      <c r="CI13" s="322"/>
      <c r="CJ13" s="320"/>
      <c r="CK13" s="321"/>
      <c r="CL13" s="321"/>
      <c r="CM13" s="322"/>
      <c r="CN13" s="380" t="s">
        <v>449</v>
      </c>
      <c r="CO13" s="321"/>
      <c r="CP13" s="321"/>
      <c r="CQ13" s="322"/>
      <c r="CR13" s="107"/>
      <c r="CS13" s="107"/>
      <c r="CT13" s="307"/>
      <c r="CU13" s="3730" t="s">
        <v>171</v>
      </c>
      <c r="CV13" s="3731"/>
      <c r="CW13" s="62"/>
      <c r="CX13" s="563"/>
      <c r="CY13" s="563"/>
      <c r="CZ13" s="564">
        <v>2.58</v>
      </c>
      <c r="DA13" s="552">
        <v>3.59</v>
      </c>
      <c r="DB13" s="553">
        <v>2.46</v>
      </c>
      <c r="DC13" s="557" t="s">
        <v>82</v>
      </c>
      <c r="DD13" s="565"/>
      <c r="DE13" s="943">
        <v>2.63</v>
      </c>
      <c r="DF13" s="321">
        <v>2.66</v>
      </c>
      <c r="DG13" s="1651">
        <v>2.4500000000000002</v>
      </c>
      <c r="DH13" s="382"/>
      <c r="DI13" s="320">
        <v>2.58</v>
      </c>
      <c r="DJ13" s="321">
        <v>2.6</v>
      </c>
      <c r="DK13" s="321">
        <v>2.2599999999999998</v>
      </c>
      <c r="DL13" s="382"/>
      <c r="DM13" s="320">
        <v>2.36</v>
      </c>
      <c r="DN13" s="321">
        <v>2.57</v>
      </c>
      <c r="DO13" s="321">
        <v>2.35</v>
      </c>
      <c r="DP13" s="322"/>
      <c r="DQ13" s="320">
        <v>2.56</v>
      </c>
      <c r="DR13" s="321">
        <v>2.57</v>
      </c>
      <c r="DS13" s="321">
        <v>2.15</v>
      </c>
      <c r="DT13" s="322">
        <v>2.57</v>
      </c>
      <c r="DU13" s="320">
        <v>2.5099999999999998</v>
      </c>
      <c r="DV13" s="321"/>
      <c r="DW13" s="321"/>
      <c r="DX13" s="322"/>
      <c r="DY13" s="107"/>
      <c r="DZ13" s="107"/>
      <c r="EA13" s="307"/>
      <c r="EB13" s="3730" t="s">
        <v>171</v>
      </c>
      <c r="EC13" s="3731"/>
      <c r="ED13" s="62"/>
      <c r="EE13" s="563"/>
      <c r="EF13" s="563"/>
      <c r="EG13" s="564">
        <v>40.1</v>
      </c>
      <c r="EH13" s="552">
        <v>40.4</v>
      </c>
      <c r="EI13" s="553">
        <v>38.5</v>
      </c>
      <c r="EJ13" s="557" t="s">
        <v>82</v>
      </c>
      <c r="EK13" s="565"/>
      <c r="EL13" s="943">
        <v>40.700000000000003</v>
      </c>
      <c r="EM13" s="321">
        <v>41.3</v>
      </c>
      <c r="EN13" s="1676">
        <v>38.4</v>
      </c>
      <c r="EO13" s="382"/>
      <c r="EP13" s="320">
        <v>40.200000000000003</v>
      </c>
      <c r="EQ13" s="321">
        <v>40.4</v>
      </c>
      <c r="ER13" s="321">
        <v>35.700000000000003</v>
      </c>
      <c r="ES13" s="382"/>
      <c r="ET13" s="320">
        <v>38.4</v>
      </c>
      <c r="EU13" s="321">
        <v>40</v>
      </c>
      <c r="EV13" s="321">
        <v>37</v>
      </c>
      <c r="EW13" s="322"/>
      <c r="EX13" s="371">
        <v>40.1</v>
      </c>
      <c r="EY13" s="321">
        <v>40</v>
      </c>
      <c r="EZ13" s="321">
        <v>33.799999999999997</v>
      </c>
      <c r="FA13" s="322">
        <v>40</v>
      </c>
      <c r="FB13" s="322">
        <v>39.1</v>
      </c>
      <c r="FC13" s="322"/>
      <c r="FD13" s="322"/>
      <c r="FE13" s="322"/>
    </row>
    <row r="14" spans="1:161" ht="15.75" thickBot="1">
      <c r="A14" s="107"/>
      <c r="B14" s="196"/>
      <c r="C14" s="107"/>
      <c r="D14" s="108"/>
      <c r="E14" s="122"/>
      <c r="F14" s="122"/>
      <c r="G14" s="122"/>
      <c r="H14" s="108"/>
      <c r="I14" s="108"/>
      <c r="J14" s="122"/>
      <c r="K14" s="218"/>
      <c r="L14" s="107"/>
      <c r="M14" s="107"/>
      <c r="N14" s="121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20"/>
      <c r="AG14" s="120"/>
      <c r="AH14" s="196"/>
      <c r="AI14" s="107"/>
      <c r="AJ14" s="108"/>
      <c r="AK14" s="122"/>
      <c r="AL14" s="122"/>
      <c r="AM14" s="122"/>
      <c r="AN14" s="554"/>
      <c r="AO14" s="554"/>
      <c r="AP14" s="122"/>
      <c r="AQ14" s="218"/>
      <c r="AR14" s="107"/>
      <c r="AS14" s="107"/>
      <c r="AT14" s="580"/>
      <c r="AU14" s="107"/>
      <c r="AV14" s="107"/>
      <c r="AW14" s="107"/>
      <c r="AX14" s="107"/>
      <c r="AY14" s="107"/>
      <c r="AZ14" s="107"/>
      <c r="BA14" s="107"/>
      <c r="BB14" s="107"/>
      <c r="BC14" s="107"/>
      <c r="BD14" s="107"/>
      <c r="BE14" s="107"/>
      <c r="BF14" s="107"/>
      <c r="BG14" s="107"/>
      <c r="BH14" s="107"/>
      <c r="BI14" s="107"/>
      <c r="BJ14" s="107"/>
      <c r="BK14" s="107"/>
      <c r="BL14" s="120"/>
      <c r="BM14" s="120"/>
      <c r="BN14" s="196"/>
      <c r="BO14" s="107"/>
      <c r="BP14" s="108"/>
      <c r="BQ14" s="122"/>
      <c r="BR14" s="122"/>
      <c r="BS14" s="122"/>
      <c r="BT14" s="554"/>
      <c r="BU14" s="554"/>
      <c r="BV14" s="122"/>
      <c r="BW14" s="567"/>
      <c r="BX14" s="107"/>
      <c r="BY14" s="107"/>
      <c r="BZ14" s="107"/>
      <c r="CA14" s="107"/>
      <c r="CB14" s="107"/>
      <c r="CC14" s="107"/>
      <c r="CD14" s="107"/>
      <c r="CE14" s="107"/>
      <c r="CF14" s="107"/>
      <c r="CG14" s="107"/>
      <c r="CH14" s="107"/>
      <c r="CI14" s="107"/>
      <c r="CJ14" s="107"/>
      <c r="CK14" s="107"/>
      <c r="CL14" s="107"/>
      <c r="CM14" s="107"/>
      <c r="CN14" s="107"/>
      <c r="CO14" s="107"/>
      <c r="CP14" s="107"/>
      <c r="CQ14" s="107"/>
      <c r="CR14" s="107"/>
      <c r="CS14" s="120"/>
      <c r="CT14" s="120"/>
      <c r="CU14" s="196"/>
      <c r="CV14" s="107"/>
      <c r="CW14" s="108"/>
      <c r="CX14" s="122"/>
      <c r="CY14" s="122"/>
      <c r="CZ14" s="122"/>
      <c r="DA14" s="554"/>
      <c r="DB14" s="554"/>
      <c r="DC14" s="122"/>
      <c r="DD14" s="218"/>
      <c r="DE14" s="107"/>
      <c r="DF14" s="107"/>
      <c r="DG14" s="1021"/>
      <c r="DH14" s="107"/>
      <c r="DI14" s="107"/>
      <c r="DJ14" s="107"/>
      <c r="DK14" s="107"/>
      <c r="DL14" s="107"/>
      <c r="DM14" s="107"/>
      <c r="DN14" s="107"/>
      <c r="DO14" s="107"/>
      <c r="DP14" s="107"/>
      <c r="DQ14" s="107"/>
      <c r="DR14" s="107"/>
      <c r="DS14" s="107"/>
      <c r="DT14" s="107"/>
      <c r="DU14" s="107"/>
      <c r="DV14" s="107"/>
      <c r="DW14" s="107"/>
      <c r="DX14" s="107"/>
      <c r="DY14" s="107"/>
      <c r="DZ14" s="120"/>
      <c r="EA14" s="120"/>
      <c r="EB14" s="196"/>
      <c r="EC14" s="107"/>
      <c r="ED14" s="108"/>
      <c r="EE14" s="122"/>
      <c r="EF14" s="122"/>
      <c r="EG14" s="122"/>
      <c r="EH14" s="554"/>
      <c r="EI14" s="554"/>
      <c r="EJ14" s="122"/>
      <c r="EK14" s="218"/>
      <c r="EL14" s="107"/>
      <c r="EM14" s="107"/>
      <c r="EN14" s="1021"/>
      <c r="EO14" s="107"/>
      <c r="EP14" s="107"/>
      <c r="EQ14" s="107"/>
      <c r="ER14" s="107"/>
      <c r="ES14" s="107"/>
      <c r="ET14" s="107"/>
      <c r="EU14" s="107"/>
      <c r="EV14" s="107"/>
      <c r="EW14" s="107"/>
      <c r="EX14" s="107"/>
      <c r="EY14" s="107"/>
      <c r="EZ14" s="107"/>
      <c r="FA14" s="107"/>
    </row>
    <row r="15" spans="1:161" ht="16.5" thickTop="1" thickBot="1">
      <c r="A15" s="597">
        <v>2</v>
      </c>
      <c r="B15" s="3732"/>
      <c r="C15" s="3732"/>
      <c r="D15" s="441"/>
      <c r="E15" s="441"/>
      <c r="F15" s="441"/>
      <c r="G15" s="441"/>
      <c r="H15" s="440"/>
      <c r="I15" s="440"/>
      <c r="J15" s="441"/>
      <c r="K15" s="556"/>
      <c r="L15" s="438"/>
      <c r="M15" s="438"/>
      <c r="N15" s="1670"/>
      <c r="O15" s="438"/>
      <c r="P15" s="438"/>
      <c r="Q15" s="438"/>
      <c r="R15" s="438"/>
      <c r="S15" s="439"/>
      <c r="T15" s="438"/>
      <c r="U15" s="438"/>
      <c r="V15" s="438"/>
      <c r="W15" s="439"/>
      <c r="X15" s="3724"/>
      <c r="Y15" s="3725"/>
      <c r="Z15" s="3725"/>
      <c r="AA15" s="3726"/>
      <c r="AB15" s="3724"/>
      <c r="AC15" s="3725"/>
      <c r="AD15" s="3725"/>
      <c r="AE15" s="3726"/>
      <c r="AF15" s="107"/>
      <c r="AG15" s="597">
        <v>2</v>
      </c>
      <c r="AH15" s="3732"/>
      <c r="AI15" s="3732"/>
      <c r="AJ15" s="441"/>
      <c r="AK15" s="441"/>
      <c r="AL15" s="441"/>
      <c r="AM15" s="441"/>
      <c r="AN15" s="555"/>
      <c r="AO15" s="555"/>
      <c r="AP15" s="441"/>
      <c r="AQ15" s="556"/>
      <c r="AR15" s="438"/>
      <c r="AS15" s="438"/>
      <c r="AT15" s="556"/>
      <c r="AU15" s="438"/>
      <c r="AV15" s="438"/>
      <c r="AW15" s="438"/>
      <c r="AX15" s="438"/>
      <c r="AY15" s="439"/>
      <c r="AZ15" s="3727"/>
      <c r="BA15" s="3728"/>
      <c r="BB15" s="3728"/>
      <c r="BC15" s="3729"/>
      <c r="BD15" s="3743"/>
      <c r="BE15" s="3744"/>
      <c r="BF15" s="3744"/>
      <c r="BG15" s="3745"/>
      <c r="BH15" s="3743"/>
      <c r="BI15" s="3744"/>
      <c r="BJ15" s="3744"/>
      <c r="BK15" s="3745"/>
      <c r="BL15" s="107"/>
      <c r="BM15" s="597">
        <v>2</v>
      </c>
      <c r="BN15" s="3732"/>
      <c r="BO15" s="3732"/>
      <c r="BP15" s="441"/>
      <c r="BQ15" s="441"/>
      <c r="BR15" s="441"/>
      <c r="BS15" s="441"/>
      <c r="BT15" s="555"/>
      <c r="BU15" s="555"/>
      <c r="BV15" s="441"/>
      <c r="BW15" s="576"/>
      <c r="BX15" s="438"/>
      <c r="BY15" s="438"/>
      <c r="BZ15" s="438"/>
      <c r="CA15" s="438"/>
      <c r="CB15" s="438"/>
      <c r="CC15" s="438"/>
      <c r="CD15" s="438"/>
      <c r="CE15" s="439"/>
      <c r="CF15" s="438"/>
      <c r="CG15" s="438"/>
      <c r="CH15" s="438"/>
      <c r="CI15" s="439"/>
      <c r="CJ15" s="438"/>
      <c r="CK15" s="438"/>
      <c r="CL15" s="438"/>
      <c r="CM15" s="439"/>
      <c r="CN15" s="438"/>
      <c r="CO15" s="438"/>
      <c r="CP15" s="438"/>
      <c r="CQ15" s="439"/>
      <c r="CR15" s="107"/>
      <c r="CS15" s="107"/>
      <c r="CT15" s="597">
        <v>2</v>
      </c>
      <c r="CU15" s="3732"/>
      <c r="CV15" s="3732"/>
      <c r="CW15" s="441"/>
      <c r="CX15" s="441"/>
      <c r="CY15" s="441"/>
      <c r="CZ15" s="441"/>
      <c r="DA15" s="555"/>
      <c r="DB15" s="555"/>
      <c r="DC15" s="441"/>
      <c r="DD15" s="556"/>
      <c r="DE15" s="438"/>
      <c r="DF15" s="438"/>
      <c r="DG15" s="1675"/>
      <c r="DH15" s="438"/>
      <c r="DI15" s="3724"/>
      <c r="DJ15" s="3725"/>
      <c r="DK15" s="3725"/>
      <c r="DL15" s="3725"/>
      <c r="DM15" s="3727"/>
      <c r="DN15" s="3728"/>
      <c r="DO15" s="3728"/>
      <c r="DP15" s="3729"/>
      <c r="DQ15" s="3727"/>
      <c r="DR15" s="3728"/>
      <c r="DS15" s="3728"/>
      <c r="DT15" s="3729"/>
      <c r="DU15" s="3727"/>
      <c r="DV15" s="3728"/>
      <c r="DW15" s="3728"/>
      <c r="DX15" s="3729"/>
      <c r="DY15" s="107"/>
      <c r="DZ15" s="107"/>
      <c r="EA15" s="597">
        <v>2</v>
      </c>
      <c r="EB15" s="3732"/>
      <c r="EC15" s="3732"/>
      <c r="ED15" s="441"/>
      <c r="EE15" s="441"/>
      <c r="EF15" s="441"/>
      <c r="EG15" s="441"/>
      <c r="EH15" s="555"/>
      <c r="EI15" s="555"/>
      <c r="EJ15" s="441"/>
      <c r="EK15" s="556"/>
      <c r="EL15" s="438"/>
      <c r="EM15" s="438"/>
      <c r="EN15" s="1675"/>
      <c r="EO15" s="438"/>
      <c r="EP15" s="438"/>
      <c r="EQ15" s="438"/>
      <c r="ER15" s="438"/>
      <c r="ES15" s="438"/>
      <c r="ET15" s="3297"/>
      <c r="EU15" s="1659"/>
      <c r="EV15" s="1659"/>
      <c r="EW15" s="3298"/>
      <c r="EX15" s="1659"/>
      <c r="EY15" s="1659"/>
      <c r="EZ15" s="1659"/>
      <c r="FA15" s="3298"/>
      <c r="FB15" s="1659"/>
      <c r="FC15" s="1659"/>
      <c r="FD15" s="1659"/>
      <c r="FE15" s="3298"/>
    </row>
    <row r="16" spans="1:161" ht="15.75">
      <c r="A16" s="332"/>
      <c r="B16" s="3735" t="s">
        <v>173</v>
      </c>
      <c r="C16" s="3736"/>
      <c r="D16" s="251">
        <v>6.28</v>
      </c>
      <c r="E16" s="566" t="s">
        <v>82</v>
      </c>
      <c r="F16" s="566" t="s">
        <v>82</v>
      </c>
      <c r="G16" s="578">
        <v>6.63</v>
      </c>
      <c r="H16" s="437">
        <v>6.95</v>
      </c>
      <c r="I16" s="254">
        <v>8.25</v>
      </c>
      <c r="J16" s="254">
        <v>8.0299999999999994</v>
      </c>
      <c r="K16" s="559">
        <v>7.36</v>
      </c>
      <c r="L16" s="941">
        <v>7.16</v>
      </c>
      <c r="M16" s="389">
        <v>8.52</v>
      </c>
      <c r="N16" s="1669">
        <v>8.7899999999999991</v>
      </c>
      <c r="O16" s="1656"/>
      <c r="P16" s="380">
        <v>7.06</v>
      </c>
      <c r="Q16" s="387">
        <v>7.78</v>
      </c>
      <c r="R16" s="387" t="s">
        <v>109</v>
      </c>
      <c r="S16" s="388"/>
      <c r="T16" s="380"/>
      <c r="U16" s="387">
        <v>6.84</v>
      </c>
      <c r="V16" s="387">
        <v>10.88</v>
      </c>
      <c r="W16" s="388"/>
      <c r="X16" s="388">
        <v>8.25</v>
      </c>
      <c r="Y16" s="388">
        <v>7.92</v>
      </c>
      <c r="Z16" s="388">
        <v>15.63</v>
      </c>
      <c r="AA16" s="388">
        <v>7.68</v>
      </c>
      <c r="AB16" s="388">
        <v>9.9700000000000006</v>
      </c>
      <c r="AC16" s="388"/>
      <c r="AD16" s="388"/>
      <c r="AE16" s="388"/>
      <c r="AF16" s="107"/>
      <c r="AG16" s="332"/>
      <c r="AH16" s="3735" t="s">
        <v>173</v>
      </c>
      <c r="AI16" s="3736"/>
      <c r="AJ16" s="254" t="s">
        <v>82</v>
      </c>
      <c r="AK16" s="557" t="s">
        <v>82</v>
      </c>
      <c r="AL16" s="557" t="s">
        <v>82</v>
      </c>
      <c r="AM16" s="558">
        <v>9.91</v>
      </c>
      <c r="AN16" s="548">
        <v>10.220000000000001</v>
      </c>
      <c r="AO16" s="549">
        <v>9.1199999999999992</v>
      </c>
      <c r="AP16" s="549">
        <v>9.83</v>
      </c>
      <c r="AQ16" s="559">
        <v>9</v>
      </c>
      <c r="AR16" s="941">
        <v>9.01</v>
      </c>
      <c r="AS16" s="387">
        <v>8.9499999999999993</v>
      </c>
      <c r="AT16" s="1652">
        <v>8.82</v>
      </c>
      <c r="AU16" s="388"/>
      <c r="AV16" s="380">
        <v>9.6300000000000008</v>
      </c>
      <c r="AW16" s="387">
        <v>9.3800000000000008</v>
      </c>
      <c r="AX16" s="387">
        <v>9.4</v>
      </c>
      <c r="AY16" s="389"/>
      <c r="AZ16" s="304">
        <v>9.33</v>
      </c>
      <c r="BA16" s="304">
        <v>8.91</v>
      </c>
      <c r="BB16" s="304">
        <v>9.5399999999999991</v>
      </c>
      <c r="BC16" s="304"/>
      <c r="BD16" s="304">
        <v>9.58</v>
      </c>
      <c r="BE16" s="304">
        <v>8.15</v>
      </c>
      <c r="BF16" s="304">
        <v>7.26</v>
      </c>
      <c r="BG16" s="304">
        <v>7.43</v>
      </c>
      <c r="BH16" s="304">
        <v>5.59</v>
      </c>
      <c r="BI16" s="304"/>
      <c r="BJ16" s="304"/>
      <c r="BK16" s="304"/>
      <c r="BL16" s="107"/>
      <c r="BM16" s="332"/>
      <c r="BN16" s="3735" t="s">
        <v>173</v>
      </c>
      <c r="BO16" s="3736"/>
      <c r="BP16" s="254" t="s">
        <v>82</v>
      </c>
      <c r="BQ16" s="557" t="s">
        <v>82</v>
      </c>
      <c r="BR16" s="557" t="s">
        <v>82</v>
      </c>
      <c r="BS16" s="558" t="s">
        <v>82</v>
      </c>
      <c r="BT16" s="548">
        <v>0.3</v>
      </c>
      <c r="BU16" s="549">
        <v>0.64800000000000002</v>
      </c>
      <c r="BV16" s="549">
        <v>1.002</v>
      </c>
      <c r="BW16" s="909"/>
      <c r="BX16" s="380"/>
      <c r="BY16" s="387">
        <v>0.91900000000000004</v>
      </c>
      <c r="BZ16" s="387"/>
      <c r="CA16" s="388"/>
      <c r="CB16" s="380">
        <v>0.17</v>
      </c>
      <c r="CC16" s="387"/>
      <c r="CD16" s="387"/>
      <c r="CE16" s="388"/>
      <c r="CF16" s="380"/>
      <c r="CG16" s="387">
        <v>0.33100000000000002</v>
      </c>
      <c r="CH16" s="387"/>
      <c r="CI16" s="388"/>
      <c r="CJ16" s="380"/>
      <c r="CK16" s="387"/>
      <c r="CL16" s="387"/>
      <c r="CM16" s="388"/>
      <c r="CN16" s="380" t="s">
        <v>449</v>
      </c>
      <c r="CO16" s="387"/>
      <c r="CP16" s="387"/>
      <c r="CQ16" s="388"/>
      <c r="CR16" s="107"/>
      <c r="CS16" s="107"/>
      <c r="CT16" s="332"/>
      <c r="CU16" s="3735" t="s">
        <v>173</v>
      </c>
      <c r="CV16" s="3736"/>
      <c r="CW16" s="254"/>
      <c r="CX16" s="557"/>
      <c r="CY16" s="557"/>
      <c r="CZ16" s="558">
        <v>2.36</v>
      </c>
      <c r="DA16" s="548">
        <v>2.52</v>
      </c>
      <c r="DB16" s="549">
        <v>2.48</v>
      </c>
      <c r="DC16" s="549">
        <v>0.84</v>
      </c>
      <c r="DD16" s="559"/>
      <c r="DE16" s="941">
        <v>2.59</v>
      </c>
      <c r="DF16" s="387">
        <v>2.62</v>
      </c>
      <c r="DG16" s="1651">
        <v>1.76</v>
      </c>
      <c r="DH16" s="388"/>
      <c r="DI16" s="380">
        <v>2.4900000000000002</v>
      </c>
      <c r="DJ16" s="387">
        <v>2.6</v>
      </c>
      <c r="DK16" s="387">
        <v>1.65</v>
      </c>
      <c r="DL16" s="389"/>
      <c r="DM16" s="318">
        <v>2.4</v>
      </c>
      <c r="DN16" s="304">
        <v>2.58</v>
      </c>
      <c r="DO16" s="304">
        <v>1.71</v>
      </c>
      <c r="DP16" s="319"/>
      <c r="DQ16" s="318">
        <v>2.54</v>
      </c>
      <c r="DR16" s="304">
        <v>2.4900000000000002</v>
      </c>
      <c r="DS16" s="304">
        <v>1.4</v>
      </c>
      <c r="DT16" s="319">
        <v>2.41</v>
      </c>
      <c r="DU16" s="318">
        <v>2.4300000000000002</v>
      </c>
      <c r="DV16" s="304"/>
      <c r="DW16" s="304"/>
      <c r="DX16" s="319"/>
      <c r="DY16" s="107"/>
      <c r="DZ16" s="107"/>
      <c r="EA16" s="332"/>
      <c r="EB16" s="3735" t="s">
        <v>173</v>
      </c>
      <c r="EC16" s="3736"/>
      <c r="ED16" s="254"/>
      <c r="EE16" s="557"/>
      <c r="EF16" s="557"/>
      <c r="EG16" s="558">
        <v>36.9</v>
      </c>
      <c r="EH16" s="548">
        <v>39.4</v>
      </c>
      <c r="EI16" s="549">
        <v>38.6</v>
      </c>
      <c r="EJ16" s="549">
        <v>14.6</v>
      </c>
      <c r="EK16" s="559"/>
      <c r="EL16" s="941">
        <v>40.200000000000003</v>
      </c>
      <c r="EM16" s="387">
        <v>40.6</v>
      </c>
      <c r="EN16" s="1651">
        <v>32.200000000000003</v>
      </c>
      <c r="EO16" s="388"/>
      <c r="EP16" s="380">
        <v>39</v>
      </c>
      <c r="EQ16" s="387">
        <v>40.5</v>
      </c>
      <c r="ER16" s="387">
        <v>26.8</v>
      </c>
      <c r="ES16" s="389"/>
      <c r="ET16" s="318">
        <v>37.6</v>
      </c>
      <c r="EU16" s="304">
        <v>40.200000000000003</v>
      </c>
      <c r="EV16" s="304">
        <v>27.7</v>
      </c>
      <c r="EW16" s="319"/>
      <c r="EX16" s="370">
        <v>39.5</v>
      </c>
      <c r="EY16" s="304">
        <v>38.799999999999997</v>
      </c>
      <c r="EZ16" s="304">
        <v>22.8</v>
      </c>
      <c r="FA16" s="319">
        <v>37.799999999999997</v>
      </c>
      <c r="FB16" s="319">
        <v>38</v>
      </c>
      <c r="FC16" s="319"/>
      <c r="FD16" s="319"/>
      <c r="FE16" s="319"/>
    </row>
    <row r="17" spans="1:161" ht="15.75">
      <c r="A17" s="390"/>
      <c r="B17" s="3737" t="s">
        <v>172</v>
      </c>
      <c r="C17" s="3738"/>
      <c r="D17" s="41">
        <v>5.85</v>
      </c>
      <c r="E17" s="560" t="s">
        <v>82</v>
      </c>
      <c r="F17" s="560" t="s">
        <v>82</v>
      </c>
      <c r="G17" s="574">
        <v>5.2</v>
      </c>
      <c r="H17" s="435">
        <v>5.71</v>
      </c>
      <c r="I17" s="41">
        <v>6.07</v>
      </c>
      <c r="J17" s="41">
        <v>3.41</v>
      </c>
      <c r="K17" s="562">
        <v>4.5199999999999996</v>
      </c>
      <c r="L17" s="942">
        <v>6.68</v>
      </c>
      <c r="M17" s="381">
        <v>5.88</v>
      </c>
      <c r="N17" s="1666">
        <v>7.46</v>
      </c>
      <c r="O17" s="1657"/>
      <c r="P17" s="318">
        <v>6.46</v>
      </c>
      <c r="Q17" s="304">
        <v>3.1</v>
      </c>
      <c r="R17" s="387" t="s">
        <v>109</v>
      </c>
      <c r="S17" s="319"/>
      <c r="T17" s="318"/>
      <c r="U17" s="304">
        <v>6.01</v>
      </c>
      <c r="V17" s="387">
        <v>4.9800000000000004</v>
      </c>
      <c r="W17" s="319"/>
      <c r="X17" s="319">
        <v>7.66</v>
      </c>
      <c r="Y17" s="319">
        <v>5.86</v>
      </c>
      <c r="Z17" s="319">
        <v>5.51</v>
      </c>
      <c r="AA17" s="319">
        <v>6.16</v>
      </c>
      <c r="AB17" s="319">
        <v>6.52</v>
      </c>
      <c r="AC17" s="319"/>
      <c r="AD17" s="319"/>
      <c r="AE17" s="319"/>
      <c r="AF17" s="107"/>
      <c r="AG17" s="390"/>
      <c r="AH17" s="3737" t="s">
        <v>172</v>
      </c>
      <c r="AI17" s="3738"/>
      <c r="AJ17" s="41" t="s">
        <v>82</v>
      </c>
      <c r="AK17" s="560" t="s">
        <v>82</v>
      </c>
      <c r="AL17" s="560" t="s">
        <v>82</v>
      </c>
      <c r="AM17" s="561">
        <v>9.77</v>
      </c>
      <c r="AN17" s="550">
        <v>10.1</v>
      </c>
      <c r="AO17" s="551">
        <v>9.1199999999999992</v>
      </c>
      <c r="AP17" s="551">
        <v>8.76</v>
      </c>
      <c r="AQ17" s="562">
        <v>8.7100000000000009</v>
      </c>
      <c r="AR17" s="942">
        <v>9.01</v>
      </c>
      <c r="AS17" s="304">
        <v>8.65</v>
      </c>
      <c r="AT17" s="1652">
        <v>8.9600000000000009</v>
      </c>
      <c r="AU17" s="319"/>
      <c r="AV17" s="318">
        <v>9.4600000000000009</v>
      </c>
      <c r="AW17" s="304">
        <v>9.0299999999999994</v>
      </c>
      <c r="AX17" s="304">
        <v>8.66</v>
      </c>
      <c r="AY17" s="381"/>
      <c r="AZ17" s="304">
        <v>9.11</v>
      </c>
      <c r="BA17" s="304">
        <v>8.82</v>
      </c>
      <c r="BB17" s="304">
        <v>9.3699999999999992</v>
      </c>
      <c r="BC17" s="304"/>
      <c r="BD17" s="304">
        <v>9.58</v>
      </c>
      <c r="BE17" s="304">
        <v>8.1300000000000008</v>
      </c>
      <c r="BF17" s="304">
        <v>7.23</v>
      </c>
      <c r="BG17" s="304">
        <v>7.46</v>
      </c>
      <c r="BH17" s="304">
        <v>5.95</v>
      </c>
      <c r="BI17" s="304"/>
      <c r="BJ17" s="304"/>
      <c r="BK17" s="304"/>
      <c r="BL17" s="107"/>
      <c r="BM17" s="390"/>
      <c r="BN17" s="3737" t="s">
        <v>172</v>
      </c>
      <c r="BO17" s="3738"/>
      <c r="BP17" s="41" t="s">
        <v>82</v>
      </c>
      <c r="BQ17" s="560" t="s">
        <v>82</v>
      </c>
      <c r="BR17" s="560" t="s">
        <v>82</v>
      </c>
      <c r="BS17" s="561" t="s">
        <v>82</v>
      </c>
      <c r="BT17" s="550">
        <v>0.23200000000000001</v>
      </c>
      <c r="BU17" s="551">
        <v>0.68799999999999994</v>
      </c>
      <c r="BV17" s="551">
        <v>0.94299999999999995</v>
      </c>
      <c r="BW17" s="910"/>
      <c r="BX17" s="318"/>
      <c r="BY17" s="304">
        <v>1.0549999999999999</v>
      </c>
      <c r="BZ17" s="304"/>
      <c r="CA17" s="319"/>
      <c r="CB17" s="318">
        <v>0.13</v>
      </c>
      <c r="CC17" s="304"/>
      <c r="CD17" s="304"/>
      <c r="CE17" s="319"/>
      <c r="CF17" s="318"/>
      <c r="CG17" s="304">
        <v>0.32600000000000001</v>
      </c>
      <c r="CH17" s="304"/>
      <c r="CI17" s="319"/>
      <c r="CJ17" s="318"/>
      <c r="CK17" s="304"/>
      <c r="CL17" s="304"/>
      <c r="CM17" s="319"/>
      <c r="CN17" s="380" t="s">
        <v>449</v>
      </c>
      <c r="CO17" s="304"/>
      <c r="CP17" s="304"/>
      <c r="CQ17" s="319"/>
      <c r="CR17" s="107"/>
      <c r="CS17" s="107"/>
      <c r="CT17" s="390"/>
      <c r="CU17" s="3737" t="s">
        <v>172</v>
      </c>
      <c r="CV17" s="3738"/>
      <c r="CW17" s="41"/>
      <c r="CX17" s="560"/>
      <c r="CY17" s="560"/>
      <c r="CZ17" s="561">
        <v>2.35</v>
      </c>
      <c r="DA17" s="550">
        <v>2.5299999999999998</v>
      </c>
      <c r="DB17" s="551">
        <v>2.44</v>
      </c>
      <c r="DC17" s="551">
        <v>2.2200000000000002</v>
      </c>
      <c r="DD17" s="562"/>
      <c r="DE17" s="942">
        <v>2.59</v>
      </c>
      <c r="DF17" s="304">
        <v>2.66</v>
      </c>
      <c r="DG17" s="1651">
        <v>2.38</v>
      </c>
      <c r="DH17" s="319"/>
      <c r="DI17" s="318">
        <v>2.5299999999999998</v>
      </c>
      <c r="DJ17" s="304">
        <v>2.59</v>
      </c>
      <c r="DK17" s="304">
        <v>2.35</v>
      </c>
      <c r="DL17" s="381"/>
      <c r="DM17" s="318">
        <v>2.46</v>
      </c>
      <c r="DN17" s="304">
        <v>2.58</v>
      </c>
      <c r="DO17" s="304">
        <v>2.27</v>
      </c>
      <c r="DP17" s="319"/>
      <c r="DQ17" s="318">
        <v>2.54</v>
      </c>
      <c r="DR17" s="304">
        <v>2.5</v>
      </c>
      <c r="DS17" s="304">
        <v>1.93</v>
      </c>
      <c r="DT17" s="319">
        <v>2.5</v>
      </c>
      <c r="DU17" s="318">
        <v>2.4700000000000002</v>
      </c>
      <c r="DV17" s="304"/>
      <c r="DW17" s="304"/>
      <c r="DX17" s="319"/>
      <c r="DY17" s="107"/>
      <c r="DZ17" s="107"/>
      <c r="EA17" s="390"/>
      <c r="EB17" s="3737" t="s">
        <v>172</v>
      </c>
      <c r="EC17" s="3738"/>
      <c r="ED17" s="41"/>
      <c r="EE17" s="560"/>
      <c r="EF17" s="560"/>
      <c r="EG17" s="561">
        <v>37.1</v>
      </c>
      <c r="EH17" s="550">
        <v>39.4</v>
      </c>
      <c r="EI17" s="551">
        <v>38.299999999999997</v>
      </c>
      <c r="EJ17" s="551">
        <v>35</v>
      </c>
      <c r="EK17" s="562"/>
      <c r="EL17" s="942">
        <v>40.200000000000003</v>
      </c>
      <c r="EM17" s="304">
        <v>41.3</v>
      </c>
      <c r="EN17" s="1651">
        <v>37.200000000000003</v>
      </c>
      <c r="EO17" s="319"/>
      <c r="EP17" s="318">
        <v>39.4</v>
      </c>
      <c r="EQ17" s="304">
        <v>40.299999999999997</v>
      </c>
      <c r="ER17" s="304">
        <v>36.799999999999997</v>
      </c>
      <c r="ES17" s="381"/>
      <c r="ET17" s="318">
        <v>38.4</v>
      </c>
      <c r="EU17" s="304">
        <v>40.200000000000003</v>
      </c>
      <c r="EV17" s="304">
        <v>35.799999999999997</v>
      </c>
      <c r="EW17" s="319"/>
      <c r="EX17" s="370">
        <v>39.5</v>
      </c>
      <c r="EY17" s="304">
        <v>38.9</v>
      </c>
      <c r="EZ17" s="304">
        <v>30.9</v>
      </c>
      <c r="FA17" s="319">
        <v>39</v>
      </c>
      <c r="FB17" s="319">
        <v>38.5</v>
      </c>
      <c r="FC17" s="319"/>
      <c r="FD17" s="319"/>
      <c r="FE17" s="319"/>
    </row>
    <row r="18" spans="1:161" ht="16.5" thickBot="1">
      <c r="A18" s="307"/>
      <c r="B18" s="3730" t="s">
        <v>171</v>
      </c>
      <c r="C18" s="3731"/>
      <c r="D18" s="62">
        <v>4.6399999999999997</v>
      </c>
      <c r="E18" s="563" t="s">
        <v>82</v>
      </c>
      <c r="F18" s="563" t="s">
        <v>82</v>
      </c>
      <c r="G18" s="575">
        <v>1.66</v>
      </c>
      <c r="H18" s="436">
        <v>1.28</v>
      </c>
      <c r="I18" s="62">
        <v>5.0199999999999996</v>
      </c>
      <c r="J18" s="563">
        <v>1.63</v>
      </c>
      <c r="K18" s="565">
        <v>2.09</v>
      </c>
      <c r="L18" s="943">
        <v>5.95</v>
      </c>
      <c r="M18" s="382">
        <v>4.9400000000000004</v>
      </c>
      <c r="N18" s="1668">
        <v>4.7300000000000004</v>
      </c>
      <c r="O18" s="1658"/>
      <c r="P18" s="320">
        <v>5.01</v>
      </c>
      <c r="Q18" s="321">
        <v>3.06</v>
      </c>
      <c r="R18" s="387" t="s">
        <v>109</v>
      </c>
      <c r="S18" s="322"/>
      <c r="T18" s="320"/>
      <c r="U18" s="321">
        <v>5.85</v>
      </c>
      <c r="V18" s="387">
        <v>1.56</v>
      </c>
      <c r="W18" s="322"/>
      <c r="X18" s="322">
        <v>3.55</v>
      </c>
      <c r="Y18" s="322">
        <v>4.0999999999999996</v>
      </c>
      <c r="Z18" s="322">
        <v>1.97</v>
      </c>
      <c r="AA18" s="322">
        <v>3.63</v>
      </c>
      <c r="AB18" s="322">
        <v>6.37</v>
      </c>
      <c r="AC18" s="322"/>
      <c r="AD18" s="322"/>
      <c r="AE18" s="322"/>
      <c r="AF18" s="107"/>
      <c r="AG18" s="307"/>
      <c r="AH18" s="3730" t="s">
        <v>171</v>
      </c>
      <c r="AI18" s="3731"/>
      <c r="AJ18" s="62" t="s">
        <v>82</v>
      </c>
      <c r="AK18" s="563" t="s">
        <v>82</v>
      </c>
      <c r="AL18" s="563" t="s">
        <v>82</v>
      </c>
      <c r="AM18" s="564">
        <v>9.5399999999999991</v>
      </c>
      <c r="AN18" s="552">
        <v>9.8699999999999992</v>
      </c>
      <c r="AO18" s="553">
        <v>9.1</v>
      </c>
      <c r="AP18" s="572">
        <v>8.86</v>
      </c>
      <c r="AQ18" s="565">
        <v>8.7899999999999991</v>
      </c>
      <c r="AR18" s="943">
        <v>9.02</v>
      </c>
      <c r="AS18" s="321">
        <v>8.69</v>
      </c>
      <c r="AT18" s="1652">
        <v>8.76</v>
      </c>
      <c r="AU18" s="322"/>
      <c r="AV18" s="320">
        <v>9.4499999999999993</v>
      </c>
      <c r="AW18" s="321">
        <v>9.0399999999999991</v>
      </c>
      <c r="AX18" s="321">
        <v>8.77</v>
      </c>
      <c r="AY18" s="382"/>
      <c r="AZ18" s="304">
        <v>9.1</v>
      </c>
      <c r="BA18" s="304">
        <v>8.6199999999999992</v>
      </c>
      <c r="BB18" s="304">
        <v>9.08</v>
      </c>
      <c r="BC18" s="304"/>
      <c r="BD18" s="304">
        <v>9.26</v>
      </c>
      <c r="BE18" s="304">
        <v>8.0500000000000007</v>
      </c>
      <c r="BF18" s="304">
        <v>7.18</v>
      </c>
      <c r="BG18" s="304">
        <v>7.31</v>
      </c>
      <c r="BH18" s="304">
        <v>5.89</v>
      </c>
      <c r="BI18" s="304"/>
      <c r="BJ18" s="304"/>
      <c r="BK18" s="304"/>
      <c r="BL18" s="107"/>
      <c r="BM18" s="307"/>
      <c r="BN18" s="3730" t="s">
        <v>171</v>
      </c>
      <c r="BO18" s="3731"/>
      <c r="BP18" s="62" t="s">
        <v>82</v>
      </c>
      <c r="BQ18" s="563" t="s">
        <v>82</v>
      </c>
      <c r="BR18" s="563" t="s">
        <v>82</v>
      </c>
      <c r="BS18" s="564" t="s">
        <v>82</v>
      </c>
      <c r="BT18" s="552">
        <v>0.34399999999999997</v>
      </c>
      <c r="BU18" s="553">
        <v>0.73</v>
      </c>
      <c r="BV18" s="572">
        <v>1.0609999999999999</v>
      </c>
      <c r="BW18" s="911"/>
      <c r="BX18" s="320"/>
      <c r="BY18" s="321">
        <v>1.089</v>
      </c>
      <c r="BZ18" s="321"/>
      <c r="CA18" s="322"/>
      <c r="CB18" s="320">
        <v>0.41</v>
      </c>
      <c r="CC18" s="321"/>
      <c r="CD18" s="321"/>
      <c r="CE18" s="322"/>
      <c r="CF18" s="320"/>
      <c r="CG18" s="321">
        <v>0.371</v>
      </c>
      <c r="CH18" s="321"/>
      <c r="CI18" s="322"/>
      <c r="CJ18" s="320"/>
      <c r="CK18" s="321"/>
      <c r="CL18" s="321"/>
      <c r="CM18" s="322"/>
      <c r="CN18" s="380" t="s">
        <v>449</v>
      </c>
      <c r="CO18" s="321"/>
      <c r="CP18" s="321"/>
      <c r="CQ18" s="322"/>
      <c r="CR18" s="107"/>
      <c r="CS18" s="107"/>
      <c r="CT18" s="307"/>
      <c r="CU18" s="3730" t="s">
        <v>171</v>
      </c>
      <c r="CV18" s="3731"/>
      <c r="CW18" s="62"/>
      <c r="CX18" s="563"/>
      <c r="CY18" s="563"/>
      <c r="CZ18" s="564">
        <v>2.58</v>
      </c>
      <c r="DA18" s="552">
        <v>2.62</v>
      </c>
      <c r="DB18" s="553">
        <v>2.4900000000000002</v>
      </c>
      <c r="DC18" s="572">
        <v>2.41</v>
      </c>
      <c r="DD18" s="565"/>
      <c r="DE18" s="943">
        <v>2.62</v>
      </c>
      <c r="DF18" s="321">
        <v>2.65</v>
      </c>
      <c r="DG18" s="1676">
        <v>2.4700000000000002</v>
      </c>
      <c r="DH18" s="322"/>
      <c r="DI18" s="320">
        <v>2.59</v>
      </c>
      <c r="DJ18" s="321">
        <v>2.61</v>
      </c>
      <c r="DK18" s="321">
        <v>2.39</v>
      </c>
      <c r="DL18" s="382"/>
      <c r="DM18" s="320">
        <v>2.46</v>
      </c>
      <c r="DN18" s="321">
        <v>2.57</v>
      </c>
      <c r="DO18" s="321">
        <v>2.4500000000000002</v>
      </c>
      <c r="DP18" s="322"/>
      <c r="DQ18" s="320">
        <v>2.58</v>
      </c>
      <c r="DR18" s="321">
        <v>2.57</v>
      </c>
      <c r="DS18" s="321">
        <v>2.4900000000000002</v>
      </c>
      <c r="DT18" s="322">
        <v>2.5499999999999998</v>
      </c>
      <c r="DU18" s="320">
        <v>2.48</v>
      </c>
      <c r="DV18" s="321"/>
      <c r="DW18" s="321"/>
      <c r="DX18" s="322"/>
      <c r="DY18" s="107"/>
      <c r="DZ18" s="107"/>
      <c r="EA18" s="307"/>
      <c r="EB18" s="3730" t="s">
        <v>171</v>
      </c>
      <c r="EC18" s="3731"/>
      <c r="ED18" s="62"/>
      <c r="EE18" s="563"/>
      <c r="EF18" s="563"/>
      <c r="EG18" s="564">
        <v>40.299999999999997</v>
      </c>
      <c r="EH18" s="552">
        <v>40.700000000000003</v>
      </c>
      <c r="EI18" s="553">
        <v>38.799999999999997</v>
      </c>
      <c r="EJ18" s="572">
        <v>37.799999999999997</v>
      </c>
      <c r="EK18" s="565"/>
      <c r="EL18" s="943">
        <v>40.6</v>
      </c>
      <c r="EM18" s="321">
        <v>41.2</v>
      </c>
      <c r="EN18" s="1676">
        <v>38.6</v>
      </c>
      <c r="EO18" s="322"/>
      <c r="EP18" s="320">
        <v>40.1</v>
      </c>
      <c r="EQ18" s="321">
        <v>40.6</v>
      </c>
      <c r="ER18" s="321">
        <v>37.4</v>
      </c>
      <c r="ES18" s="382"/>
      <c r="ET18" s="320">
        <v>38.5</v>
      </c>
      <c r="EU18" s="321">
        <v>40</v>
      </c>
      <c r="EV18" s="321">
        <v>38.299999999999997</v>
      </c>
      <c r="EW18" s="322"/>
      <c r="EX18" s="371">
        <v>40.1</v>
      </c>
      <c r="EY18" s="321">
        <v>40.1</v>
      </c>
      <c r="EZ18" s="321">
        <v>38.799999999999997</v>
      </c>
      <c r="FA18" s="322">
        <v>39.97</v>
      </c>
      <c r="FB18" s="322">
        <v>38.9</v>
      </c>
      <c r="FC18" s="322"/>
      <c r="FD18" s="322"/>
      <c r="FE18" s="322"/>
    </row>
    <row r="19" spans="1:161" ht="15.75" thickBot="1">
      <c r="A19" s="107"/>
      <c r="B19" s="196"/>
      <c r="C19" s="107"/>
      <c r="D19" s="108"/>
      <c r="E19" s="122"/>
      <c r="F19" s="122"/>
      <c r="G19" s="122"/>
      <c r="H19" s="108"/>
      <c r="I19" s="108"/>
      <c r="J19" s="122"/>
      <c r="K19" s="218"/>
      <c r="L19" s="107"/>
      <c r="M19" s="107"/>
      <c r="N19" s="1664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20"/>
      <c r="AG19" s="120"/>
      <c r="AH19" s="196"/>
      <c r="AI19" s="107"/>
      <c r="AJ19" s="108"/>
      <c r="AK19" s="122"/>
      <c r="AL19" s="122"/>
      <c r="AM19" s="122"/>
      <c r="AN19" s="554"/>
      <c r="AO19" s="554"/>
      <c r="AP19" s="218"/>
      <c r="AQ19" s="218"/>
      <c r="AR19" s="107"/>
      <c r="AS19" s="107"/>
      <c r="AT19" s="580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107"/>
      <c r="BI19" s="107"/>
      <c r="BJ19" s="107"/>
      <c r="BK19" s="107"/>
      <c r="BL19" s="120"/>
      <c r="BM19" s="120"/>
      <c r="BN19" s="196"/>
      <c r="BO19" s="107"/>
      <c r="BP19" s="108"/>
      <c r="BQ19" s="122"/>
      <c r="BR19" s="122"/>
      <c r="BS19" s="122"/>
      <c r="BT19" s="554"/>
      <c r="BU19" s="554"/>
      <c r="BV19" s="218"/>
      <c r="BW19" s="567"/>
      <c r="BX19" s="107"/>
      <c r="BY19" s="107"/>
      <c r="BZ19" s="107"/>
      <c r="CA19" s="107"/>
      <c r="CB19" s="107"/>
      <c r="CC19" s="107"/>
      <c r="CD19" s="107"/>
      <c r="CE19" s="107"/>
      <c r="CF19" s="107"/>
      <c r="CG19" s="107"/>
      <c r="CH19" s="107"/>
      <c r="CI19" s="107"/>
      <c r="CJ19" s="107"/>
      <c r="CK19" s="107"/>
      <c r="CL19" s="107"/>
      <c r="CM19" s="107"/>
      <c r="CN19" s="107"/>
      <c r="CO19" s="107"/>
      <c r="CP19" s="107"/>
      <c r="CQ19" s="107"/>
      <c r="CR19" s="107"/>
      <c r="CS19" s="120"/>
      <c r="CT19" s="120"/>
      <c r="CU19" s="196"/>
      <c r="CV19" s="107"/>
      <c r="CW19" s="108"/>
      <c r="CX19" s="122"/>
      <c r="CY19" s="122"/>
      <c r="CZ19" s="122"/>
      <c r="DA19" s="554"/>
      <c r="DB19" s="554"/>
      <c r="DC19" s="218"/>
      <c r="DD19" s="218"/>
      <c r="DE19" s="107"/>
      <c r="DF19" s="107"/>
      <c r="DG19" s="1021"/>
      <c r="DH19" s="107"/>
      <c r="DI19" s="107"/>
      <c r="DJ19" s="107"/>
      <c r="DK19" s="107"/>
      <c r="DL19" s="107"/>
      <c r="DM19" s="107"/>
      <c r="DN19" s="107"/>
      <c r="DO19" s="107"/>
      <c r="DP19" s="107"/>
      <c r="DQ19" s="107"/>
      <c r="DR19" s="107"/>
      <c r="DS19" s="107"/>
      <c r="DT19" s="107"/>
      <c r="DU19" s="107"/>
      <c r="DV19" s="107"/>
      <c r="DW19" s="107"/>
      <c r="DX19" s="107"/>
      <c r="DY19" s="107"/>
      <c r="DZ19" s="120"/>
      <c r="EA19" s="120"/>
      <c r="EB19" s="196"/>
      <c r="EC19" s="107"/>
      <c r="ED19" s="108"/>
      <c r="EE19" s="122"/>
      <c r="EF19" s="122"/>
      <c r="EG19" s="122"/>
      <c r="EH19" s="554"/>
      <c r="EI19" s="554"/>
      <c r="EJ19" s="218"/>
      <c r="EK19" s="218"/>
      <c r="EL19" s="107"/>
      <c r="EM19" s="107"/>
      <c r="EN19" s="1021"/>
      <c r="EO19" s="107"/>
      <c r="EP19" s="107"/>
      <c r="EQ19" s="107"/>
      <c r="ER19" s="107"/>
      <c r="ES19" s="107"/>
      <c r="ET19" s="107"/>
      <c r="EU19" s="107"/>
      <c r="EV19" s="107"/>
      <c r="EW19" s="107"/>
      <c r="EX19" s="107"/>
      <c r="EY19" s="107"/>
      <c r="EZ19" s="107"/>
      <c r="FA19" s="107"/>
    </row>
    <row r="20" spans="1:161" ht="15.75" thickBot="1">
      <c r="A20" s="597">
        <v>3</v>
      </c>
      <c r="B20" s="3732"/>
      <c r="C20" s="3732"/>
      <c r="D20" s="441"/>
      <c r="E20" s="441"/>
      <c r="F20" s="441"/>
      <c r="G20" s="441"/>
      <c r="H20" s="440"/>
      <c r="I20" s="440"/>
      <c r="J20" s="441"/>
      <c r="K20" s="556"/>
      <c r="L20" s="438"/>
      <c r="M20" s="438"/>
      <c r="N20" s="1662"/>
      <c r="O20" s="438"/>
      <c r="P20" s="438"/>
      <c r="Q20" s="438"/>
      <c r="R20" s="438"/>
      <c r="S20" s="439"/>
      <c r="T20" s="438"/>
      <c r="U20" s="438"/>
      <c r="V20" s="438"/>
      <c r="W20" s="439"/>
      <c r="X20" s="3724"/>
      <c r="Y20" s="3725"/>
      <c r="Z20" s="3725"/>
      <c r="AA20" s="3726"/>
      <c r="AB20" s="3724"/>
      <c r="AC20" s="3725"/>
      <c r="AD20" s="3725"/>
      <c r="AE20" s="3726"/>
      <c r="AF20" s="107"/>
      <c r="AG20" s="597">
        <v>3</v>
      </c>
      <c r="AH20" s="3732"/>
      <c r="AI20" s="3732"/>
      <c r="AJ20" s="441"/>
      <c r="AK20" s="441"/>
      <c r="AL20" s="441"/>
      <c r="AM20" s="441"/>
      <c r="AN20" s="555"/>
      <c r="AO20" s="555"/>
      <c r="AP20" s="441"/>
      <c r="AQ20" s="556"/>
      <c r="AR20" s="438"/>
      <c r="AS20" s="438"/>
      <c r="AT20" s="556"/>
      <c r="AU20" s="438"/>
      <c r="AV20" s="438"/>
      <c r="AW20" s="438"/>
      <c r="AX20" s="438"/>
      <c r="AY20" s="439"/>
      <c r="AZ20" s="3727"/>
      <c r="BA20" s="3728"/>
      <c r="BB20" s="3728"/>
      <c r="BC20" s="3729"/>
      <c r="BD20" s="3743"/>
      <c r="BE20" s="3744"/>
      <c r="BF20" s="3744"/>
      <c r="BG20" s="3745"/>
      <c r="BH20" s="3743"/>
      <c r="BI20" s="3744"/>
      <c r="BJ20" s="3744"/>
      <c r="BK20" s="3745"/>
      <c r="BL20" s="107"/>
      <c r="BM20" s="597">
        <v>3</v>
      </c>
      <c r="BN20" s="3732"/>
      <c r="BO20" s="3732"/>
      <c r="BP20" s="441"/>
      <c r="BQ20" s="441"/>
      <c r="BR20" s="441"/>
      <c r="BS20" s="441"/>
      <c r="BT20" s="555"/>
      <c r="BU20" s="555"/>
      <c r="BV20" s="441"/>
      <c r="BW20" s="576"/>
      <c r="BX20" s="438"/>
      <c r="BY20" s="438"/>
      <c r="BZ20" s="438"/>
      <c r="CA20" s="438"/>
      <c r="CB20" s="438"/>
      <c r="CC20" s="438"/>
      <c r="CD20" s="438"/>
      <c r="CE20" s="439"/>
      <c r="CF20" s="438"/>
      <c r="CG20" s="438"/>
      <c r="CH20" s="438"/>
      <c r="CI20" s="439"/>
      <c r="CJ20" s="438"/>
      <c r="CK20" s="438"/>
      <c r="CL20" s="438"/>
      <c r="CM20" s="439"/>
      <c r="CN20" s="438"/>
      <c r="CO20" s="438"/>
      <c r="CP20" s="438"/>
      <c r="CQ20" s="439"/>
      <c r="CR20" s="107"/>
      <c r="CS20" s="107"/>
      <c r="CT20" s="597">
        <v>3</v>
      </c>
      <c r="CU20" s="3732"/>
      <c r="CV20" s="3732"/>
      <c r="CW20" s="441"/>
      <c r="CX20" s="441"/>
      <c r="CY20" s="441"/>
      <c r="CZ20" s="441"/>
      <c r="DA20" s="555"/>
      <c r="DB20" s="555"/>
      <c r="DC20" s="441"/>
      <c r="DD20" s="556"/>
      <c r="DE20" s="438"/>
      <c r="DF20" s="438"/>
      <c r="DG20" s="1675"/>
      <c r="DH20" s="438"/>
      <c r="DI20" s="438"/>
      <c r="DJ20" s="438"/>
      <c r="DK20" s="438"/>
      <c r="DL20" s="439"/>
      <c r="DM20" s="3724"/>
      <c r="DN20" s="3725"/>
      <c r="DO20" s="3725"/>
      <c r="DP20" s="3726"/>
      <c r="DQ20" s="3724"/>
      <c r="DR20" s="3725"/>
      <c r="DS20" s="3725"/>
      <c r="DT20" s="3726"/>
      <c r="DU20" s="3724"/>
      <c r="DV20" s="3725"/>
      <c r="DW20" s="3725"/>
      <c r="DX20" s="3726"/>
      <c r="DY20" s="107"/>
      <c r="DZ20" s="107"/>
      <c r="EA20" s="597">
        <v>3</v>
      </c>
      <c r="EB20" s="3732"/>
      <c r="EC20" s="3732"/>
      <c r="ED20" s="441"/>
      <c r="EE20" s="441"/>
      <c r="EF20" s="441"/>
      <c r="EG20" s="441"/>
      <c r="EH20" s="555"/>
      <c r="EI20" s="555"/>
      <c r="EJ20" s="441"/>
      <c r="EK20" s="556"/>
      <c r="EL20" s="438"/>
      <c r="EM20" s="438"/>
      <c r="EN20" s="1675"/>
      <c r="EO20" s="438"/>
      <c r="EP20" s="438"/>
      <c r="EQ20" s="438"/>
      <c r="ER20" s="438"/>
      <c r="ES20" s="438"/>
      <c r="ET20" s="3297"/>
      <c r="EU20" s="1659"/>
      <c r="EV20" s="1659"/>
      <c r="EW20" s="3298"/>
      <c r="EX20" s="1659"/>
      <c r="EY20" s="1659"/>
      <c r="EZ20" s="1659"/>
      <c r="FA20" s="3298"/>
      <c r="FB20" s="1659"/>
      <c r="FC20" s="1659"/>
      <c r="FD20" s="1659"/>
      <c r="FE20" s="3298"/>
    </row>
    <row r="21" spans="1:161" ht="15.75">
      <c r="A21" s="333"/>
      <c r="B21" s="3733" t="s">
        <v>173</v>
      </c>
      <c r="C21" s="3734"/>
      <c r="D21" s="254">
        <v>4.74</v>
      </c>
      <c r="E21" s="557" t="s">
        <v>82</v>
      </c>
      <c r="F21" s="557">
        <v>7.33</v>
      </c>
      <c r="G21" s="558">
        <v>7.66</v>
      </c>
      <c r="H21" s="437">
        <v>7.5</v>
      </c>
      <c r="I21" s="254">
        <v>7.99</v>
      </c>
      <c r="J21" s="254">
        <v>9.3000000000000007</v>
      </c>
      <c r="K21" s="559">
        <v>7.88</v>
      </c>
      <c r="L21" s="941">
        <v>7.37</v>
      </c>
      <c r="M21" s="389">
        <v>8.7100000000000009</v>
      </c>
      <c r="N21" s="1660">
        <v>10.77</v>
      </c>
      <c r="O21" s="1656"/>
      <c r="P21" s="380">
        <v>6.98</v>
      </c>
      <c r="Q21" s="387">
        <v>7.72</v>
      </c>
      <c r="R21" s="387" t="s">
        <v>109</v>
      </c>
      <c r="S21" s="388"/>
      <c r="T21" s="380"/>
      <c r="U21" s="387">
        <v>6.86</v>
      </c>
      <c r="V21" s="387">
        <v>8.98</v>
      </c>
      <c r="W21" s="388"/>
      <c r="X21" s="388">
        <v>9.98</v>
      </c>
      <c r="Y21" s="388">
        <v>8.3699999999999992</v>
      </c>
      <c r="Z21" s="388">
        <v>9.99</v>
      </c>
      <c r="AA21" s="388">
        <v>7.55</v>
      </c>
      <c r="AB21" s="388">
        <v>7.32</v>
      </c>
      <c r="AC21" s="388"/>
      <c r="AD21" s="388"/>
      <c r="AE21" s="388"/>
      <c r="AF21" s="107"/>
      <c r="AG21" s="332"/>
      <c r="AH21" s="3735" t="s">
        <v>173</v>
      </c>
      <c r="AI21" s="3736"/>
      <c r="AJ21" s="254" t="s">
        <v>82</v>
      </c>
      <c r="AK21" s="557" t="s">
        <v>82</v>
      </c>
      <c r="AL21" s="557" t="s">
        <v>82</v>
      </c>
      <c r="AM21" s="558">
        <v>10.09</v>
      </c>
      <c r="AN21" s="548">
        <v>10.23</v>
      </c>
      <c r="AO21" s="549">
        <v>9.1</v>
      </c>
      <c r="AP21" s="549">
        <v>9.77</v>
      </c>
      <c r="AQ21" s="559">
        <v>8.93</v>
      </c>
      <c r="AR21" s="941">
        <v>8.9499999999999993</v>
      </c>
      <c r="AS21" s="387">
        <v>9.01</v>
      </c>
      <c r="AT21" s="1652">
        <v>8.7200000000000006</v>
      </c>
      <c r="AU21" s="388"/>
      <c r="AV21" s="380">
        <v>9.61</v>
      </c>
      <c r="AW21" s="387">
        <v>9.1300000000000008</v>
      </c>
      <c r="AX21" s="387">
        <v>9.24</v>
      </c>
      <c r="AY21" s="389"/>
      <c r="AZ21" s="304">
        <v>9.1199999999999992</v>
      </c>
      <c r="BA21" s="304">
        <v>9.02</v>
      </c>
      <c r="BB21" s="304">
        <v>9.49</v>
      </c>
      <c r="BC21" s="304"/>
      <c r="BD21" s="304">
        <v>9.5500000000000007</v>
      </c>
      <c r="BE21" s="304">
        <v>8.2200000000000006</v>
      </c>
      <c r="BF21" s="304">
        <v>7.07</v>
      </c>
      <c r="BG21" s="304">
        <v>7.34</v>
      </c>
      <c r="BH21" s="304">
        <v>5.68</v>
      </c>
      <c r="BI21" s="304"/>
      <c r="BJ21" s="304"/>
      <c r="BK21" s="304"/>
      <c r="BL21" s="107"/>
      <c r="BM21" s="333"/>
      <c r="BN21" s="3733" t="s">
        <v>173</v>
      </c>
      <c r="BO21" s="3734"/>
      <c r="BP21" s="254" t="s">
        <v>82</v>
      </c>
      <c r="BQ21" s="557" t="s">
        <v>82</v>
      </c>
      <c r="BR21" s="557" t="s">
        <v>82</v>
      </c>
      <c r="BS21" s="558" t="s">
        <v>82</v>
      </c>
      <c r="BT21" s="548">
        <v>0.38900000000000001</v>
      </c>
      <c r="BU21" s="549">
        <v>0.995</v>
      </c>
      <c r="BV21" s="549">
        <v>0.82399999999999995</v>
      </c>
      <c r="BW21" s="909"/>
      <c r="BX21" s="380"/>
      <c r="BY21" s="387">
        <v>0.97</v>
      </c>
      <c r="BZ21" s="387"/>
      <c r="CA21" s="388"/>
      <c r="CB21" s="380">
        <v>0.17</v>
      </c>
      <c r="CC21" s="387"/>
      <c r="CD21" s="387"/>
      <c r="CE21" s="388"/>
      <c r="CF21" s="380"/>
      <c r="CG21" s="387">
        <v>0.20399999999999999</v>
      </c>
      <c r="CH21" s="387"/>
      <c r="CI21" s="388"/>
      <c r="CJ21" s="380"/>
      <c r="CK21" s="387"/>
      <c r="CL21" s="387"/>
      <c r="CM21" s="388"/>
      <c r="CN21" s="380" t="s">
        <v>449</v>
      </c>
      <c r="CO21" s="387"/>
      <c r="CP21" s="387"/>
      <c r="CQ21" s="388"/>
      <c r="CR21" s="107"/>
      <c r="CS21" s="107"/>
      <c r="CT21" s="333"/>
      <c r="CU21" s="3733" t="s">
        <v>173</v>
      </c>
      <c r="CV21" s="3734"/>
      <c r="CW21" s="254"/>
      <c r="CX21" s="557"/>
      <c r="CY21" s="557"/>
      <c r="CZ21" s="558">
        <v>2.15</v>
      </c>
      <c r="DA21" s="548">
        <v>2.4300000000000002</v>
      </c>
      <c r="DB21" s="549">
        <v>2.4700000000000002</v>
      </c>
      <c r="DC21" s="549">
        <v>0.4</v>
      </c>
      <c r="DD21" s="559"/>
      <c r="DE21" s="941">
        <v>2.57</v>
      </c>
      <c r="DF21" s="387">
        <v>2.61</v>
      </c>
      <c r="DG21" s="1651">
        <v>0.71</v>
      </c>
      <c r="DH21" s="388"/>
      <c r="DI21" s="380">
        <v>2.52</v>
      </c>
      <c r="DJ21" s="387">
        <v>2.58</v>
      </c>
      <c r="DK21" s="387">
        <v>1.85</v>
      </c>
      <c r="DL21" s="389"/>
      <c r="DM21" s="387">
        <v>2.4700000000000002</v>
      </c>
      <c r="DN21" s="387">
        <v>2.58</v>
      </c>
      <c r="DO21" s="387">
        <v>1.95</v>
      </c>
      <c r="DP21" s="387"/>
      <c r="DQ21" s="387">
        <v>2.52</v>
      </c>
      <c r="DR21" s="387">
        <v>2.46</v>
      </c>
      <c r="DS21" s="387">
        <v>1.44</v>
      </c>
      <c r="DT21" s="387">
        <v>2.34</v>
      </c>
      <c r="DU21" s="387">
        <v>2.4700000000000002</v>
      </c>
      <c r="DV21" s="387"/>
      <c r="DW21" s="387"/>
      <c r="DX21" s="387"/>
      <c r="DY21" s="107"/>
      <c r="DZ21" s="107"/>
      <c r="EA21" s="333"/>
      <c r="EB21" s="3733" t="s">
        <v>173</v>
      </c>
      <c r="EC21" s="3734"/>
      <c r="ED21" s="254"/>
      <c r="EE21" s="557"/>
      <c r="EF21" s="557"/>
      <c r="EG21" s="558">
        <v>34</v>
      </c>
      <c r="EH21" s="548">
        <v>38.1</v>
      </c>
      <c r="EI21" s="549">
        <v>38.700000000000003</v>
      </c>
      <c r="EJ21" s="549">
        <v>7.66</v>
      </c>
      <c r="EK21" s="559"/>
      <c r="EL21" s="941">
        <v>40</v>
      </c>
      <c r="EM21" s="387">
        <v>40.6</v>
      </c>
      <c r="EN21" s="1651">
        <v>10.6</v>
      </c>
      <c r="EO21" s="388"/>
      <c r="EP21" s="380">
        <v>39.6</v>
      </c>
      <c r="EQ21" s="387">
        <v>40.1</v>
      </c>
      <c r="ER21" s="387">
        <v>29.7</v>
      </c>
      <c r="ES21" s="389"/>
      <c r="ET21" s="318">
        <v>38.5</v>
      </c>
      <c r="EU21" s="304">
        <v>40.200000000000003</v>
      </c>
      <c r="EV21" s="304">
        <v>29.9</v>
      </c>
      <c r="EW21" s="319"/>
      <c r="EX21" s="370">
        <v>39.1</v>
      </c>
      <c r="EY21" s="304">
        <v>38.4</v>
      </c>
      <c r="EZ21" s="304">
        <v>23.3</v>
      </c>
      <c r="FA21" s="319">
        <v>36.700000000000003</v>
      </c>
      <c r="FB21" s="319">
        <v>38.6</v>
      </c>
      <c r="FC21" s="319"/>
      <c r="FD21" s="319"/>
      <c r="FE21" s="319"/>
    </row>
    <row r="22" spans="1:161" ht="15.75">
      <c r="A22" s="390"/>
      <c r="B22" s="3737" t="s">
        <v>172</v>
      </c>
      <c r="C22" s="3738"/>
      <c r="D22" s="41">
        <v>5.37</v>
      </c>
      <c r="E22" s="560" t="s">
        <v>82</v>
      </c>
      <c r="F22" s="560">
        <v>5.2</v>
      </c>
      <c r="G22" s="561">
        <v>5.12</v>
      </c>
      <c r="H22" s="435">
        <v>4.96</v>
      </c>
      <c r="I22" s="41">
        <v>5.75</v>
      </c>
      <c r="J22" s="41">
        <v>3.29</v>
      </c>
      <c r="K22" s="562">
        <v>4.3600000000000003</v>
      </c>
      <c r="L22" s="942">
        <v>6.46</v>
      </c>
      <c r="M22" s="381">
        <v>7.49</v>
      </c>
      <c r="N22" s="1660">
        <v>6.85</v>
      </c>
      <c r="O22" s="1657"/>
      <c r="P22" s="318">
        <v>6.38</v>
      </c>
      <c r="Q22" s="304">
        <v>7.4</v>
      </c>
      <c r="R22" s="387" t="s">
        <v>109</v>
      </c>
      <c r="S22" s="319"/>
      <c r="T22" s="318"/>
      <c r="U22" s="304">
        <v>6.39</v>
      </c>
      <c r="V22" s="387">
        <v>5.07</v>
      </c>
      <c r="W22" s="319"/>
      <c r="X22" s="319">
        <v>8.74</v>
      </c>
      <c r="Y22" s="319">
        <v>4.59</v>
      </c>
      <c r="Z22" s="319">
        <v>5.54</v>
      </c>
      <c r="AA22" s="319">
        <v>6.91</v>
      </c>
      <c r="AB22" s="319">
        <v>6.62</v>
      </c>
      <c r="AC22" s="319"/>
      <c r="AD22" s="319"/>
      <c r="AE22" s="319"/>
      <c r="AF22" s="107"/>
      <c r="AG22" s="390"/>
      <c r="AH22" s="3737" t="s">
        <v>172</v>
      </c>
      <c r="AI22" s="3738"/>
      <c r="AJ22" s="41" t="s">
        <v>82</v>
      </c>
      <c r="AK22" s="560" t="s">
        <v>82</v>
      </c>
      <c r="AL22" s="560" t="s">
        <v>82</v>
      </c>
      <c r="AM22" s="561">
        <v>9.7899999999999991</v>
      </c>
      <c r="AN22" s="550">
        <v>10.15</v>
      </c>
      <c r="AO22" s="551">
        <v>9.1199999999999992</v>
      </c>
      <c r="AP22" s="551">
        <v>8.75</v>
      </c>
      <c r="AQ22" s="562">
        <v>8.81</v>
      </c>
      <c r="AR22" s="942">
        <v>8.99</v>
      </c>
      <c r="AS22" s="304">
        <v>8.92</v>
      </c>
      <c r="AT22" s="1652">
        <v>8.89</v>
      </c>
      <c r="AU22" s="319"/>
      <c r="AV22" s="318">
        <v>9.48</v>
      </c>
      <c r="AW22" s="304">
        <v>9.18</v>
      </c>
      <c r="AX22" s="304">
        <v>9.1999999999999993</v>
      </c>
      <c r="AY22" s="381"/>
      <c r="AZ22" s="304">
        <v>9.01</v>
      </c>
      <c r="BA22" s="304">
        <v>8.92</v>
      </c>
      <c r="BB22" s="304">
        <v>9.41</v>
      </c>
      <c r="BC22" s="304"/>
      <c r="BD22" s="304">
        <v>9.58</v>
      </c>
      <c r="BE22" s="304">
        <v>8.06</v>
      </c>
      <c r="BF22" s="304">
        <v>7.14</v>
      </c>
      <c r="BG22" s="304">
        <v>7.39</v>
      </c>
      <c r="BH22" s="304">
        <v>6.88</v>
      </c>
      <c r="BI22" s="304"/>
      <c r="BJ22" s="304"/>
      <c r="BK22" s="304"/>
      <c r="BL22" s="107"/>
      <c r="BM22" s="390"/>
      <c r="BN22" s="3737" t="s">
        <v>172</v>
      </c>
      <c r="BO22" s="3738"/>
      <c r="BP22" s="41" t="s">
        <v>82</v>
      </c>
      <c r="BQ22" s="560" t="s">
        <v>82</v>
      </c>
      <c r="BR22" s="560" t="s">
        <v>82</v>
      </c>
      <c r="BS22" s="561" t="s">
        <v>82</v>
      </c>
      <c r="BT22" s="550">
        <v>0.24</v>
      </c>
      <c r="BU22" s="551">
        <v>0.748</v>
      </c>
      <c r="BV22" s="551">
        <v>0.69</v>
      </c>
      <c r="BW22" s="910"/>
      <c r="BX22" s="318"/>
      <c r="BY22" s="304">
        <v>1.083</v>
      </c>
      <c r="BZ22" s="304"/>
      <c r="CA22" s="319"/>
      <c r="CB22" s="318">
        <v>0.11</v>
      </c>
      <c r="CC22" s="304"/>
      <c r="CD22" s="304"/>
      <c r="CE22" s="319"/>
      <c r="CF22" s="318"/>
      <c r="CG22" s="304">
        <v>0.21199999999999999</v>
      </c>
      <c r="CH22" s="304"/>
      <c r="CI22" s="319"/>
      <c r="CJ22" s="318"/>
      <c r="CK22" s="304"/>
      <c r="CL22" s="304"/>
      <c r="CM22" s="319"/>
      <c r="CN22" s="380" t="s">
        <v>449</v>
      </c>
      <c r="CO22" s="304"/>
      <c r="CP22" s="304"/>
      <c r="CQ22" s="319"/>
      <c r="CR22" s="107"/>
      <c r="CS22" s="107"/>
      <c r="CT22" s="390"/>
      <c r="CU22" s="3737" t="s">
        <v>172</v>
      </c>
      <c r="CV22" s="3738"/>
      <c r="CW22" s="41"/>
      <c r="CX22" s="560"/>
      <c r="CY22" s="560"/>
      <c r="CZ22" s="561">
        <v>2.52</v>
      </c>
      <c r="DA22" s="550">
        <v>2.54</v>
      </c>
      <c r="DB22" s="551">
        <v>2.48</v>
      </c>
      <c r="DC22" s="551">
        <v>2.35</v>
      </c>
      <c r="DD22" s="562"/>
      <c r="DE22" s="942">
        <v>2.58</v>
      </c>
      <c r="DF22" s="304">
        <v>2.59</v>
      </c>
      <c r="DG22" s="1651">
        <v>2.41</v>
      </c>
      <c r="DH22" s="319"/>
      <c r="DI22" s="318">
        <v>2.54</v>
      </c>
      <c r="DJ22" s="304">
        <v>2.59</v>
      </c>
      <c r="DK22" s="304">
        <v>1.92</v>
      </c>
      <c r="DL22" s="381"/>
      <c r="DM22" s="304">
        <v>2.4700000000000002</v>
      </c>
      <c r="DN22" s="304">
        <v>2.54</v>
      </c>
      <c r="DO22" s="304">
        <v>2.17</v>
      </c>
      <c r="DP22" s="304"/>
      <c r="DQ22" s="304">
        <v>2.52</v>
      </c>
      <c r="DR22" s="304">
        <v>2.5499999999999998</v>
      </c>
      <c r="DS22" s="304">
        <v>1.89</v>
      </c>
      <c r="DT22" s="304">
        <v>2.5</v>
      </c>
      <c r="DU22" s="304">
        <v>2.52</v>
      </c>
      <c r="DV22" s="304"/>
      <c r="DW22" s="304"/>
      <c r="DX22" s="304"/>
      <c r="DY22" s="107"/>
      <c r="DZ22" s="107"/>
      <c r="EA22" s="390"/>
      <c r="EB22" s="3737" t="s">
        <v>172</v>
      </c>
      <c r="EC22" s="3738"/>
      <c r="ED22" s="41"/>
      <c r="EE22" s="560"/>
      <c r="EF22" s="560"/>
      <c r="EG22" s="561">
        <v>39.200000000000003</v>
      </c>
      <c r="EH22" s="550">
        <v>39.5</v>
      </c>
      <c r="EI22" s="551">
        <v>38.799999999999997</v>
      </c>
      <c r="EJ22" s="551">
        <v>36.9</v>
      </c>
      <c r="EK22" s="562"/>
      <c r="EL22" s="942">
        <v>40.1</v>
      </c>
      <c r="EM22" s="304">
        <v>40.299999999999997</v>
      </c>
      <c r="EN22" s="1651">
        <v>37.700000000000003</v>
      </c>
      <c r="EO22" s="319"/>
      <c r="EP22" s="318">
        <v>39.6</v>
      </c>
      <c r="EQ22" s="304">
        <v>40.1</v>
      </c>
      <c r="ER22" s="304">
        <v>30.7</v>
      </c>
      <c r="ES22" s="381"/>
      <c r="ET22" s="318">
        <v>38.5</v>
      </c>
      <c r="EU22" s="304">
        <v>39.6</v>
      </c>
      <c r="EV22" s="304">
        <v>34.299999999999997</v>
      </c>
      <c r="EW22" s="319"/>
      <c r="EX22" s="370">
        <v>39.200000000000003</v>
      </c>
      <c r="EY22" s="304">
        <v>39.700000000000003</v>
      </c>
      <c r="EZ22" s="304">
        <v>30.3</v>
      </c>
      <c r="FA22" s="319">
        <v>39</v>
      </c>
      <c r="FB22" s="319">
        <v>39.200000000000003</v>
      </c>
      <c r="FC22" s="319"/>
      <c r="FD22" s="319"/>
      <c r="FE22" s="319"/>
    </row>
    <row r="23" spans="1:161" ht="16.5" thickBot="1">
      <c r="A23" s="307"/>
      <c r="B23" s="3730" t="s">
        <v>171</v>
      </c>
      <c r="C23" s="3731"/>
      <c r="D23" s="62">
        <v>5.33</v>
      </c>
      <c r="E23" s="563" t="s">
        <v>82</v>
      </c>
      <c r="F23" s="563">
        <v>4.38</v>
      </c>
      <c r="G23" s="564">
        <v>2.33</v>
      </c>
      <c r="H23" s="436">
        <v>1.4</v>
      </c>
      <c r="I23" s="62">
        <v>5.61</v>
      </c>
      <c r="J23" s="563">
        <v>1.68</v>
      </c>
      <c r="K23" s="565">
        <v>2.9</v>
      </c>
      <c r="L23" s="943">
        <v>6.33</v>
      </c>
      <c r="M23" s="382">
        <v>4.22</v>
      </c>
      <c r="N23" s="1663">
        <v>5.84</v>
      </c>
      <c r="O23" s="1658"/>
      <c r="P23" s="320">
        <v>5.9</v>
      </c>
      <c r="Q23" s="321">
        <v>7.36</v>
      </c>
      <c r="R23" s="387" t="s">
        <v>109</v>
      </c>
      <c r="S23" s="322"/>
      <c r="T23" s="320"/>
      <c r="U23" s="321">
        <v>3.06</v>
      </c>
      <c r="V23" s="387">
        <v>3.16</v>
      </c>
      <c r="W23" s="322"/>
      <c r="X23" s="322">
        <v>3.63</v>
      </c>
      <c r="Y23" s="322">
        <v>3.26</v>
      </c>
      <c r="Z23" s="322">
        <v>2.31</v>
      </c>
      <c r="AA23" s="322">
        <v>1.79</v>
      </c>
      <c r="AB23" s="322">
        <v>4.6100000000000003</v>
      </c>
      <c r="AC23" s="322"/>
      <c r="AD23" s="322"/>
      <c r="AE23" s="322"/>
      <c r="AF23" s="107"/>
      <c r="AG23" s="307"/>
      <c r="AH23" s="3730" t="s">
        <v>171</v>
      </c>
      <c r="AI23" s="3731"/>
      <c r="AJ23" s="62" t="s">
        <v>82</v>
      </c>
      <c r="AK23" s="563" t="s">
        <v>82</v>
      </c>
      <c r="AL23" s="563" t="s">
        <v>82</v>
      </c>
      <c r="AM23" s="564">
        <v>9.64</v>
      </c>
      <c r="AN23" s="552">
        <v>9.9700000000000006</v>
      </c>
      <c r="AO23" s="553">
        <v>9.0299999999999994</v>
      </c>
      <c r="AP23" s="572">
        <v>8.66</v>
      </c>
      <c r="AQ23" s="565">
        <v>8.66</v>
      </c>
      <c r="AR23" s="943">
        <v>8.91</v>
      </c>
      <c r="AS23" s="321">
        <v>8.77</v>
      </c>
      <c r="AT23" s="1671">
        <v>8.59</v>
      </c>
      <c r="AU23" s="322"/>
      <c r="AV23" s="320">
        <v>9.2799999999999994</v>
      </c>
      <c r="AW23" s="321">
        <v>9.1199999999999992</v>
      </c>
      <c r="AX23" s="321" t="s">
        <v>336</v>
      </c>
      <c r="AY23" s="382"/>
      <c r="AZ23" s="304">
        <v>8.94</v>
      </c>
      <c r="BA23" s="304">
        <v>8.48</v>
      </c>
      <c r="BB23" s="304">
        <v>9.15</v>
      </c>
      <c r="BC23" s="304"/>
      <c r="BD23" s="304">
        <v>9.17</v>
      </c>
      <c r="BE23" s="304">
        <v>8.01</v>
      </c>
      <c r="BF23" s="304">
        <v>7.1</v>
      </c>
      <c r="BG23" s="304">
        <v>7.14</v>
      </c>
      <c r="BH23" s="304">
        <v>6.77</v>
      </c>
      <c r="BI23" s="304"/>
      <c r="BJ23" s="304"/>
      <c r="BK23" s="304"/>
      <c r="BL23" s="107"/>
      <c r="BM23" s="307"/>
      <c r="BN23" s="3730" t="s">
        <v>171</v>
      </c>
      <c r="BO23" s="3731"/>
      <c r="BP23" s="62" t="s">
        <v>82</v>
      </c>
      <c r="BQ23" s="563" t="s">
        <v>82</v>
      </c>
      <c r="BR23" s="563" t="s">
        <v>82</v>
      </c>
      <c r="BS23" s="564" t="s">
        <v>82</v>
      </c>
      <c r="BT23" s="552">
        <v>0.315</v>
      </c>
      <c r="BU23" s="553">
        <v>0.64700000000000002</v>
      </c>
      <c r="BV23" s="572">
        <v>0.95799999999999996</v>
      </c>
      <c r="BW23" s="911"/>
      <c r="BX23" s="320"/>
      <c r="BY23" s="321">
        <v>1.105</v>
      </c>
      <c r="BZ23" s="321"/>
      <c r="CA23" s="322"/>
      <c r="CB23" s="320">
        <v>0.32</v>
      </c>
      <c r="CC23" s="321"/>
      <c r="CD23" s="321"/>
      <c r="CE23" s="322"/>
      <c r="CF23" s="320"/>
      <c r="CG23" s="321">
        <v>0.22800000000000001</v>
      </c>
      <c r="CH23" s="321"/>
      <c r="CI23" s="322"/>
      <c r="CJ23" s="320"/>
      <c r="CK23" s="321"/>
      <c r="CL23" s="321"/>
      <c r="CM23" s="322"/>
      <c r="CN23" s="320">
        <v>1.4999999999999999E-2</v>
      </c>
      <c r="CO23" s="321"/>
      <c r="CP23" s="321"/>
      <c r="CQ23" s="322"/>
      <c r="CR23" s="107"/>
      <c r="CS23" s="107"/>
      <c r="CT23" s="307"/>
      <c r="CU23" s="3730" t="s">
        <v>171</v>
      </c>
      <c r="CV23" s="3731"/>
      <c r="CW23" s="62"/>
      <c r="CX23" s="563"/>
      <c r="CY23" s="563"/>
      <c r="CZ23" s="564">
        <v>2.58</v>
      </c>
      <c r="DA23" s="552">
        <v>2.63</v>
      </c>
      <c r="DB23" s="553">
        <v>2.4900000000000002</v>
      </c>
      <c r="DC23" s="572">
        <v>2.39</v>
      </c>
      <c r="DD23" s="565"/>
      <c r="DE23" s="943">
        <v>2.58</v>
      </c>
      <c r="DF23" s="321">
        <v>2.66</v>
      </c>
      <c r="DG23" s="1676">
        <v>2.39</v>
      </c>
      <c r="DH23" s="322"/>
      <c r="DI23" s="320">
        <v>2.57</v>
      </c>
      <c r="DJ23" s="321">
        <v>2.6</v>
      </c>
      <c r="DK23" s="321" t="s">
        <v>336</v>
      </c>
      <c r="DL23" s="382"/>
      <c r="DM23" s="304">
        <v>2.4700000000000002</v>
      </c>
      <c r="DN23" s="304">
        <v>2.58</v>
      </c>
      <c r="DO23" s="304">
        <v>2.29</v>
      </c>
      <c r="DP23" s="304"/>
      <c r="DQ23" s="304">
        <v>2.58</v>
      </c>
      <c r="DR23" s="304">
        <v>2.52</v>
      </c>
      <c r="DS23" s="304">
        <v>2.4700000000000002</v>
      </c>
      <c r="DT23" s="304">
        <v>2.57</v>
      </c>
      <c r="DU23" s="304">
        <v>2.54</v>
      </c>
      <c r="DV23" s="304"/>
      <c r="DW23" s="304"/>
      <c r="DX23" s="304"/>
      <c r="DY23" s="107"/>
      <c r="DZ23" s="107"/>
      <c r="EA23" s="307"/>
      <c r="EB23" s="3730" t="s">
        <v>171</v>
      </c>
      <c r="EC23" s="3731"/>
      <c r="ED23" s="62"/>
      <c r="EE23" s="563"/>
      <c r="EF23" s="563"/>
      <c r="EG23" s="564">
        <v>40.200000000000003</v>
      </c>
      <c r="EH23" s="552">
        <v>40.4</v>
      </c>
      <c r="EI23" s="553">
        <v>38.9</v>
      </c>
      <c r="EJ23" s="572">
        <v>37.4</v>
      </c>
      <c r="EK23" s="565"/>
      <c r="EL23" s="943">
        <v>40</v>
      </c>
      <c r="EM23" s="321">
        <v>41.2</v>
      </c>
      <c r="EN23" s="1651">
        <v>37.9</v>
      </c>
      <c r="EO23" s="322"/>
      <c r="EP23" s="320">
        <v>40.1</v>
      </c>
      <c r="EQ23" s="321">
        <v>40.5</v>
      </c>
      <c r="ER23" s="321" t="s">
        <v>336</v>
      </c>
      <c r="ES23" s="382"/>
      <c r="ET23" s="320">
        <v>38.6</v>
      </c>
      <c r="EU23" s="321">
        <v>40.200000000000003</v>
      </c>
      <c r="EV23" s="321">
        <v>36</v>
      </c>
      <c r="EW23" s="322"/>
      <c r="EX23" s="371">
        <v>40.1</v>
      </c>
      <c r="EY23" s="321">
        <v>39.4</v>
      </c>
      <c r="EZ23" s="321">
        <v>38.6</v>
      </c>
      <c r="FA23" s="322">
        <v>40.1</v>
      </c>
      <c r="FB23" s="322">
        <v>39.6</v>
      </c>
      <c r="FC23" s="322"/>
      <c r="FD23" s="322"/>
      <c r="FE23" s="322"/>
    </row>
    <row r="24" spans="1:161" ht="15.75" thickBot="1">
      <c r="A24" s="107"/>
      <c r="B24" s="196"/>
      <c r="C24" s="107"/>
      <c r="D24" s="108"/>
      <c r="E24" s="122"/>
      <c r="F24" s="122"/>
      <c r="G24" s="122"/>
      <c r="H24" s="108"/>
      <c r="I24" s="108"/>
      <c r="J24" s="122"/>
      <c r="K24" s="218"/>
      <c r="L24" s="107"/>
      <c r="M24" s="107"/>
      <c r="N24" s="1661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20"/>
      <c r="AG24" s="120"/>
      <c r="AH24" s="196"/>
      <c r="AI24" s="107"/>
      <c r="AJ24" s="108"/>
      <c r="AK24" s="122"/>
      <c r="AL24" s="122"/>
      <c r="AM24" s="122"/>
      <c r="AN24" s="554"/>
      <c r="AO24" s="554"/>
      <c r="AP24" s="218"/>
      <c r="AQ24" s="218"/>
      <c r="AR24" s="107"/>
      <c r="AS24" s="107"/>
      <c r="AT24" s="580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107"/>
      <c r="BI24" s="107"/>
      <c r="BJ24" s="107"/>
      <c r="BK24" s="107"/>
      <c r="BL24" s="120"/>
      <c r="BM24" s="120"/>
      <c r="BN24" s="196"/>
      <c r="BO24" s="107"/>
      <c r="BP24" s="108"/>
      <c r="BQ24" s="122"/>
      <c r="BR24" s="122"/>
      <c r="BS24" s="122"/>
      <c r="BT24" s="554"/>
      <c r="BU24" s="554"/>
      <c r="BV24" s="218"/>
      <c r="BW24" s="56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  <c r="CH24" s="107"/>
      <c r="CI24" s="107"/>
      <c r="CJ24" s="107"/>
      <c r="CK24" s="107"/>
      <c r="CL24" s="107"/>
      <c r="CM24" s="107"/>
      <c r="CN24" s="107"/>
      <c r="CO24" s="107"/>
      <c r="CP24" s="107"/>
      <c r="CQ24" s="107"/>
      <c r="CR24" s="107"/>
      <c r="CS24" s="120"/>
      <c r="CT24" s="120"/>
      <c r="CU24" s="196"/>
      <c r="CV24" s="107"/>
      <c r="CW24" s="108"/>
      <c r="CX24" s="122"/>
      <c r="CY24" s="122"/>
      <c r="CZ24" s="122"/>
      <c r="DA24" s="554"/>
      <c r="DB24" s="554"/>
      <c r="DC24" s="218"/>
      <c r="DD24" s="218"/>
      <c r="DE24" s="107"/>
      <c r="DF24" s="107"/>
      <c r="DG24" s="1021"/>
      <c r="DH24" s="107"/>
      <c r="DI24" s="107"/>
      <c r="DJ24" s="107"/>
      <c r="DK24" s="107"/>
      <c r="DL24" s="107"/>
      <c r="DM24" s="107"/>
      <c r="DN24" s="107"/>
      <c r="DO24" s="107"/>
      <c r="DP24" s="107"/>
      <c r="DQ24" s="107"/>
      <c r="DR24" s="107"/>
      <c r="DS24" s="107"/>
      <c r="DT24" s="107"/>
      <c r="DU24" s="107"/>
      <c r="DV24" s="107"/>
      <c r="DW24" s="107"/>
      <c r="DX24" s="107"/>
      <c r="DY24" s="107"/>
      <c r="DZ24" s="120"/>
      <c r="EA24" s="120"/>
      <c r="EB24" s="196"/>
      <c r="EC24" s="107"/>
      <c r="ED24" s="108"/>
      <c r="EE24" s="122"/>
      <c r="EF24" s="122"/>
      <c r="EG24" s="122"/>
      <c r="EH24" s="554"/>
      <c r="EI24" s="554"/>
      <c r="EJ24" s="218"/>
      <c r="EK24" s="218"/>
      <c r="EL24" s="107"/>
      <c r="EM24" s="107"/>
      <c r="EN24" s="1021"/>
      <c r="EO24" s="107"/>
      <c r="EP24" s="107"/>
      <c r="EQ24" s="107"/>
      <c r="ER24" s="107"/>
      <c r="ES24" s="107"/>
      <c r="ET24" s="107"/>
      <c r="EU24" s="107"/>
      <c r="EV24" s="107"/>
      <c r="EW24" s="107"/>
      <c r="EX24" s="107"/>
      <c r="EY24" s="107"/>
      <c r="EZ24" s="107"/>
      <c r="FA24" s="107"/>
    </row>
    <row r="25" spans="1:161" ht="15.75" thickBot="1">
      <c r="A25" s="597">
        <v>4</v>
      </c>
      <c r="B25" s="3732"/>
      <c r="C25" s="3732"/>
      <c r="D25" s="441"/>
      <c r="E25" s="441"/>
      <c r="F25" s="441"/>
      <c r="G25" s="441"/>
      <c r="H25" s="440"/>
      <c r="I25" s="440"/>
      <c r="J25" s="441"/>
      <c r="K25" s="556"/>
      <c r="L25" s="438"/>
      <c r="M25" s="438"/>
      <c r="N25" s="1662"/>
      <c r="O25" s="438"/>
      <c r="P25" s="438"/>
      <c r="Q25" s="438"/>
      <c r="R25" s="438"/>
      <c r="S25" s="439"/>
      <c r="T25" s="438"/>
      <c r="U25" s="438"/>
      <c r="V25" s="438"/>
      <c r="W25" s="439"/>
      <c r="X25" s="3724"/>
      <c r="Y25" s="3725"/>
      <c r="Z25" s="3725"/>
      <c r="AA25" s="3726"/>
      <c r="AB25" s="3724"/>
      <c r="AC25" s="3725"/>
      <c r="AD25" s="3725"/>
      <c r="AE25" s="3726"/>
      <c r="AF25" s="107"/>
      <c r="AG25" s="597">
        <v>4</v>
      </c>
      <c r="AH25" s="3732"/>
      <c r="AI25" s="3732"/>
      <c r="AJ25" s="441"/>
      <c r="AK25" s="441"/>
      <c r="AL25" s="441"/>
      <c r="AM25" s="441"/>
      <c r="AN25" s="555"/>
      <c r="AO25" s="555"/>
      <c r="AP25" s="441"/>
      <c r="AQ25" s="556"/>
      <c r="AR25" s="438"/>
      <c r="AS25" s="438"/>
      <c r="AT25" s="556"/>
      <c r="AU25" s="438"/>
      <c r="AV25" s="438"/>
      <c r="AW25" s="438"/>
      <c r="AX25" s="438"/>
      <c r="AY25" s="439"/>
      <c r="AZ25" s="3724"/>
      <c r="BA25" s="3725"/>
      <c r="BB25" s="3725"/>
      <c r="BC25" s="3726"/>
      <c r="BD25" s="3724"/>
      <c r="BE25" s="3725"/>
      <c r="BF25" s="3725"/>
      <c r="BG25" s="3726"/>
      <c r="BH25" s="3724"/>
      <c r="BI25" s="3725"/>
      <c r="BJ25" s="3725"/>
      <c r="BK25" s="3726"/>
      <c r="BL25" s="107"/>
      <c r="BM25" s="597">
        <v>4</v>
      </c>
      <c r="BN25" s="3732"/>
      <c r="BO25" s="3732"/>
      <c r="BP25" s="441"/>
      <c r="BQ25" s="441"/>
      <c r="BR25" s="441"/>
      <c r="BS25" s="441"/>
      <c r="BT25" s="555"/>
      <c r="BU25" s="555"/>
      <c r="BV25" s="441"/>
      <c r="BW25" s="576"/>
      <c r="BX25" s="438"/>
      <c r="BY25" s="438"/>
      <c r="BZ25" s="438"/>
      <c r="CA25" s="438"/>
      <c r="CB25" s="438"/>
      <c r="CC25" s="438"/>
      <c r="CD25" s="438"/>
      <c r="CE25" s="439"/>
      <c r="CF25" s="438"/>
      <c r="CG25" s="438"/>
      <c r="CH25" s="438"/>
      <c r="CI25" s="439"/>
      <c r="CJ25" s="438"/>
      <c r="CK25" s="438"/>
      <c r="CL25" s="438"/>
      <c r="CM25" s="439"/>
      <c r="CN25" s="438"/>
      <c r="CO25" s="438"/>
      <c r="CP25" s="438"/>
      <c r="CQ25" s="439"/>
      <c r="CR25" s="107"/>
      <c r="CS25" s="107"/>
      <c r="CT25" s="597">
        <v>4</v>
      </c>
      <c r="CU25" s="3732"/>
      <c r="CV25" s="3732"/>
      <c r="CW25" s="441"/>
      <c r="CX25" s="441"/>
      <c r="CY25" s="441"/>
      <c r="CZ25" s="441"/>
      <c r="DA25" s="555"/>
      <c r="DB25" s="555"/>
      <c r="DC25" s="441"/>
      <c r="DD25" s="556"/>
      <c r="DE25" s="438"/>
      <c r="DF25" s="438"/>
      <c r="DG25" s="1675"/>
      <c r="DH25" s="438"/>
      <c r="DI25" s="438"/>
      <c r="DJ25" s="438"/>
      <c r="DK25" s="438"/>
      <c r="DL25" s="439"/>
      <c r="DM25" s="3724"/>
      <c r="DN25" s="3725"/>
      <c r="DO25" s="3725"/>
      <c r="DP25" s="3726"/>
      <c r="DQ25" s="3724"/>
      <c r="DR25" s="3725"/>
      <c r="DS25" s="3725"/>
      <c r="DT25" s="3726"/>
      <c r="DU25" s="3724"/>
      <c r="DV25" s="3725"/>
      <c r="DW25" s="3725"/>
      <c r="DX25" s="3726"/>
      <c r="DY25" s="107"/>
      <c r="DZ25" s="107"/>
      <c r="EA25" s="597">
        <v>4</v>
      </c>
      <c r="EB25" s="3732"/>
      <c r="EC25" s="3732"/>
      <c r="ED25" s="441"/>
      <c r="EE25" s="441"/>
      <c r="EF25" s="441"/>
      <c r="EG25" s="441"/>
      <c r="EH25" s="555"/>
      <c r="EI25" s="555"/>
      <c r="EJ25" s="441"/>
      <c r="EK25" s="556"/>
      <c r="EL25" s="438"/>
      <c r="EM25" s="438"/>
      <c r="EN25" s="1675"/>
      <c r="EO25" s="438"/>
      <c r="EP25" s="438"/>
      <c r="EQ25" s="438"/>
      <c r="ER25" s="438"/>
      <c r="ES25" s="438"/>
      <c r="ET25" s="3297"/>
      <c r="EU25" s="1659"/>
      <c r="EV25" s="1659"/>
      <c r="EW25" s="3298"/>
      <c r="EX25" s="1659"/>
      <c r="EY25" s="1659"/>
      <c r="EZ25" s="1659"/>
      <c r="FA25" s="3298"/>
      <c r="FB25" s="1659"/>
      <c r="FC25" s="1659"/>
      <c r="FD25" s="1659"/>
      <c r="FE25" s="3298"/>
    </row>
    <row r="26" spans="1:161" ht="15.75">
      <c r="A26" s="332"/>
      <c r="B26" s="3735" t="s">
        <v>173</v>
      </c>
      <c r="C26" s="3736"/>
      <c r="D26" s="251">
        <v>5.59</v>
      </c>
      <c r="E26" s="566" t="s">
        <v>82</v>
      </c>
      <c r="F26" s="566" t="s">
        <v>82</v>
      </c>
      <c r="G26" s="578" t="s">
        <v>82</v>
      </c>
      <c r="H26" s="437">
        <v>7.17</v>
      </c>
      <c r="I26" s="254">
        <v>7.65</v>
      </c>
      <c r="J26" s="254">
        <v>11.68</v>
      </c>
      <c r="K26" s="559">
        <v>7.6</v>
      </c>
      <c r="L26" s="941">
        <v>7.24</v>
      </c>
      <c r="M26" s="389">
        <v>8.6999999999999993</v>
      </c>
      <c r="N26" s="1660">
        <v>9.61</v>
      </c>
      <c r="O26" s="1656"/>
      <c r="P26" s="380">
        <v>6.92</v>
      </c>
      <c r="Q26" s="387">
        <v>7.67</v>
      </c>
      <c r="R26" s="387" t="s">
        <v>109</v>
      </c>
      <c r="S26" s="388"/>
      <c r="T26" s="380"/>
      <c r="U26" s="387">
        <v>6.54</v>
      </c>
      <c r="V26" s="387">
        <v>8.93</v>
      </c>
      <c r="W26" s="388"/>
      <c r="X26" s="388">
        <v>10.11</v>
      </c>
      <c r="Y26" s="388">
        <v>8.2899999999999991</v>
      </c>
      <c r="Z26" s="388">
        <v>9.98</v>
      </c>
      <c r="AA26" s="388">
        <v>7.6</v>
      </c>
      <c r="AB26" s="388">
        <v>7.23</v>
      </c>
      <c r="AC26" s="388"/>
      <c r="AD26" s="388"/>
      <c r="AE26" s="388"/>
      <c r="AF26" s="107"/>
      <c r="AG26" s="332"/>
      <c r="AH26" s="3735" t="s">
        <v>173</v>
      </c>
      <c r="AI26" s="3736"/>
      <c r="AJ26" s="254" t="s">
        <v>82</v>
      </c>
      <c r="AK26" s="557" t="s">
        <v>82</v>
      </c>
      <c r="AL26" s="557" t="s">
        <v>82</v>
      </c>
      <c r="AM26" s="558" t="s">
        <v>82</v>
      </c>
      <c r="AN26" s="548">
        <v>10.25</v>
      </c>
      <c r="AO26" s="549">
        <v>9.1300000000000008</v>
      </c>
      <c r="AP26" s="549">
        <v>9.7899999999999991</v>
      </c>
      <c r="AQ26" s="559">
        <v>8.8699999999999992</v>
      </c>
      <c r="AR26" s="941">
        <v>8.98</v>
      </c>
      <c r="AS26" s="387">
        <v>9.02</v>
      </c>
      <c r="AT26" s="1652">
        <v>8.9</v>
      </c>
      <c r="AU26" s="388"/>
      <c r="AV26" s="380">
        <v>9.4600000000000009</v>
      </c>
      <c r="AW26" s="387">
        <v>9.3000000000000007</v>
      </c>
      <c r="AX26" s="387">
        <v>9.6199999999999992</v>
      </c>
      <c r="AY26" s="389"/>
      <c r="AZ26" s="387">
        <v>9.09</v>
      </c>
      <c r="BA26" s="387">
        <v>9.07</v>
      </c>
      <c r="BB26" s="387">
        <v>9.5299999999999994</v>
      </c>
      <c r="BC26" s="387"/>
      <c r="BD26" s="387">
        <v>9.56</v>
      </c>
      <c r="BE26" s="387">
        <v>8.19</v>
      </c>
      <c r="BF26" s="387">
        <v>7.12</v>
      </c>
      <c r="BG26" s="387">
        <v>7.23</v>
      </c>
      <c r="BH26" s="387">
        <v>5.67</v>
      </c>
      <c r="BI26" s="387"/>
      <c r="BJ26" s="387"/>
      <c r="BK26" s="387"/>
      <c r="BL26" s="107"/>
      <c r="BM26" s="332"/>
      <c r="BN26" s="3735" t="s">
        <v>173</v>
      </c>
      <c r="BO26" s="3736"/>
      <c r="BP26" s="254" t="s">
        <v>82</v>
      </c>
      <c r="BQ26" s="557" t="s">
        <v>82</v>
      </c>
      <c r="BR26" s="557" t="s">
        <v>82</v>
      </c>
      <c r="BS26" s="558" t="s">
        <v>82</v>
      </c>
      <c r="BT26" s="548">
        <v>0.58199999999999996</v>
      </c>
      <c r="BU26" s="549">
        <v>0.81399999999999995</v>
      </c>
      <c r="BV26" s="549">
        <v>0.88400000000000001</v>
      </c>
      <c r="BW26" s="909"/>
      <c r="BX26" s="380"/>
      <c r="BY26" s="387">
        <v>1.0129999999999999</v>
      </c>
      <c r="BZ26" s="387"/>
      <c r="CA26" s="388"/>
      <c r="CB26" s="380">
        <v>0.13</v>
      </c>
      <c r="CC26" s="387"/>
      <c r="CD26" s="387"/>
      <c r="CE26" s="388"/>
      <c r="CF26" s="380"/>
      <c r="CG26" s="387">
        <v>0.26400000000000001</v>
      </c>
      <c r="CH26" s="387"/>
      <c r="CI26" s="388"/>
      <c r="CJ26" s="380"/>
      <c r="CK26" s="387"/>
      <c r="CL26" s="387"/>
      <c r="CM26" s="388"/>
      <c r="CN26" s="380" t="s">
        <v>449</v>
      </c>
      <c r="CO26" s="387"/>
      <c r="CP26" s="387"/>
      <c r="CQ26" s="388"/>
      <c r="CR26" s="107"/>
      <c r="CS26" s="107"/>
      <c r="CT26" s="332"/>
      <c r="CU26" s="3735" t="s">
        <v>173</v>
      </c>
      <c r="CV26" s="3736"/>
      <c r="CW26" s="254"/>
      <c r="CX26" s="557"/>
      <c r="CY26" s="557"/>
      <c r="CZ26" s="558"/>
      <c r="DA26" s="548">
        <v>2.48</v>
      </c>
      <c r="DB26" s="549">
        <v>2.4900000000000002</v>
      </c>
      <c r="DC26" s="549">
        <v>0.3</v>
      </c>
      <c r="DD26" s="559"/>
      <c r="DE26" s="941">
        <v>2.54</v>
      </c>
      <c r="DF26" s="387">
        <v>2.61</v>
      </c>
      <c r="DG26" s="1651">
        <v>1.27</v>
      </c>
      <c r="DH26" s="388"/>
      <c r="DI26" s="380">
        <v>2.54</v>
      </c>
      <c r="DJ26" s="387">
        <v>2.57</v>
      </c>
      <c r="DK26" s="387">
        <v>1.75</v>
      </c>
      <c r="DL26" s="389"/>
      <c r="DM26" s="3296">
        <v>2.4900000000000002</v>
      </c>
      <c r="DN26" s="3296">
        <v>2.59</v>
      </c>
      <c r="DO26" s="3296">
        <v>2.08</v>
      </c>
      <c r="DP26" s="3296"/>
      <c r="DQ26" s="3295">
        <v>2.4900000000000002</v>
      </c>
      <c r="DR26" s="3295">
        <v>2.4700000000000002</v>
      </c>
      <c r="DS26" s="3295">
        <v>1.41</v>
      </c>
      <c r="DT26" s="3295">
        <v>2.0299999999999998</v>
      </c>
      <c r="DU26" s="3295">
        <v>2.5099999999999998</v>
      </c>
      <c r="DV26" s="3295"/>
      <c r="DW26" s="3295"/>
      <c r="DX26" s="3295"/>
      <c r="DY26" s="107"/>
      <c r="DZ26" s="107"/>
      <c r="EA26" s="332"/>
      <c r="EB26" s="3735" t="s">
        <v>173</v>
      </c>
      <c r="EC26" s="3736"/>
      <c r="ED26" s="254"/>
      <c r="EE26" s="557"/>
      <c r="EF26" s="557"/>
      <c r="EG26" s="558"/>
      <c r="EH26" s="548">
        <v>39.200000000000003</v>
      </c>
      <c r="EI26" s="549">
        <v>38.799999999999997</v>
      </c>
      <c r="EJ26" s="549">
        <v>6.76</v>
      </c>
      <c r="EK26" s="559"/>
      <c r="EL26" s="941">
        <v>39.200000000000003</v>
      </c>
      <c r="EM26" s="387">
        <v>40.6</v>
      </c>
      <c r="EN26" s="1651">
        <v>21.1</v>
      </c>
      <c r="EO26" s="388"/>
      <c r="EP26" s="380">
        <v>39.5</v>
      </c>
      <c r="EQ26" s="387">
        <v>40.1</v>
      </c>
      <c r="ER26" s="387">
        <v>28.5</v>
      </c>
      <c r="ES26" s="389"/>
      <c r="ET26" s="318">
        <v>38.700000000000003</v>
      </c>
      <c r="EU26" s="304">
        <v>40.4</v>
      </c>
      <c r="EV26" s="304">
        <v>33.6</v>
      </c>
      <c r="EW26" s="319"/>
      <c r="EX26" s="370">
        <v>38.799999999999997</v>
      </c>
      <c r="EY26" s="304">
        <v>38.700000000000003</v>
      </c>
      <c r="EZ26" s="304">
        <v>23.2</v>
      </c>
      <c r="FA26" s="319">
        <v>32.5</v>
      </c>
      <c r="FB26" s="319">
        <v>39.1</v>
      </c>
      <c r="FC26" s="319"/>
      <c r="FD26" s="319"/>
      <c r="FE26" s="319"/>
    </row>
    <row r="27" spans="1:161" ht="15.75">
      <c r="A27" s="390"/>
      <c r="B27" s="3737" t="s">
        <v>172</v>
      </c>
      <c r="C27" s="3738"/>
      <c r="D27" s="41">
        <v>6.81</v>
      </c>
      <c r="E27" s="560" t="s">
        <v>82</v>
      </c>
      <c r="F27" s="560" t="s">
        <v>82</v>
      </c>
      <c r="G27" s="574" t="s">
        <v>82</v>
      </c>
      <c r="H27" s="435">
        <v>4.68</v>
      </c>
      <c r="I27" s="41">
        <v>5.0999999999999996</v>
      </c>
      <c r="J27" s="41">
        <v>4.43</v>
      </c>
      <c r="K27" s="562">
        <v>3.97</v>
      </c>
      <c r="L27" s="942">
        <v>6.17</v>
      </c>
      <c r="M27" s="381">
        <v>7.39</v>
      </c>
      <c r="N27" s="1660">
        <v>7.84</v>
      </c>
      <c r="O27" s="1657"/>
      <c r="P27" s="318">
        <v>6.32</v>
      </c>
      <c r="Q27" s="304">
        <v>4.21</v>
      </c>
      <c r="R27" s="387" t="s">
        <v>109</v>
      </c>
      <c r="S27" s="319"/>
      <c r="T27" s="318"/>
      <c r="U27" s="304">
        <v>6.43</v>
      </c>
      <c r="V27" s="387">
        <v>2.87</v>
      </c>
      <c r="W27" s="319"/>
      <c r="X27" s="319">
        <v>8.58</v>
      </c>
      <c r="Y27" s="319">
        <v>6.34</v>
      </c>
      <c r="Z27" s="319">
        <v>3.44</v>
      </c>
      <c r="AA27" s="319">
        <v>6.39</v>
      </c>
      <c r="AB27" s="319">
        <v>6.28</v>
      </c>
      <c r="AC27" s="319"/>
      <c r="AD27" s="319"/>
      <c r="AE27" s="319"/>
      <c r="AF27" s="107"/>
      <c r="AG27" s="390"/>
      <c r="AH27" s="3737" t="s">
        <v>172</v>
      </c>
      <c r="AI27" s="3738"/>
      <c r="AJ27" s="41" t="s">
        <v>82</v>
      </c>
      <c r="AK27" s="560" t="s">
        <v>82</v>
      </c>
      <c r="AL27" s="560" t="s">
        <v>82</v>
      </c>
      <c r="AM27" s="561" t="s">
        <v>82</v>
      </c>
      <c r="AN27" s="550">
        <v>9.91</v>
      </c>
      <c r="AO27" s="551">
        <v>8.94</v>
      </c>
      <c r="AP27" s="551">
        <v>8.91</v>
      </c>
      <c r="AQ27" s="562">
        <v>8.74</v>
      </c>
      <c r="AR27" s="942">
        <v>8.89</v>
      </c>
      <c r="AS27" s="304">
        <v>8.68</v>
      </c>
      <c r="AT27" s="1652">
        <v>8.9499999999999993</v>
      </c>
      <c r="AU27" s="319"/>
      <c r="AV27" s="318">
        <v>9.4600000000000009</v>
      </c>
      <c r="AW27" s="304">
        <v>8.82</v>
      </c>
      <c r="AX27" s="304">
        <v>8.7899999999999991</v>
      </c>
      <c r="AY27" s="381"/>
      <c r="AZ27" s="304">
        <v>9.0299999999999994</v>
      </c>
      <c r="BA27" s="304">
        <v>9.02</v>
      </c>
      <c r="BB27" s="304">
        <v>9.14</v>
      </c>
      <c r="BC27" s="304"/>
      <c r="BD27" s="304">
        <v>9.59</v>
      </c>
      <c r="BE27" s="304">
        <v>8.11</v>
      </c>
      <c r="BF27" s="304">
        <v>7.14</v>
      </c>
      <c r="BG27" s="304">
        <v>7.3</v>
      </c>
      <c r="BH27" s="304">
        <v>5.74</v>
      </c>
      <c r="BI27" s="304"/>
      <c r="BJ27" s="304"/>
      <c r="BK27" s="304"/>
      <c r="BL27" s="107"/>
      <c r="BM27" s="390"/>
      <c r="BN27" s="3737" t="s">
        <v>172</v>
      </c>
      <c r="BO27" s="3738"/>
      <c r="BP27" s="41" t="s">
        <v>82</v>
      </c>
      <c r="BQ27" s="560" t="s">
        <v>82</v>
      </c>
      <c r="BR27" s="560" t="s">
        <v>82</v>
      </c>
      <c r="BS27" s="561" t="s">
        <v>82</v>
      </c>
      <c r="BT27" s="550">
        <v>0.24099999999999999</v>
      </c>
      <c r="BU27" s="551">
        <v>0.78600000000000003</v>
      </c>
      <c r="BV27" s="551">
        <v>0.69</v>
      </c>
      <c r="BW27" s="910"/>
      <c r="BX27" s="318"/>
      <c r="BY27" s="304">
        <v>0.94699999999999995</v>
      </c>
      <c r="BZ27" s="304"/>
      <c r="CA27" s="319"/>
      <c r="CB27" s="318">
        <v>0.14000000000000001</v>
      </c>
      <c r="CC27" s="304"/>
      <c r="CD27" s="304"/>
      <c r="CE27" s="319"/>
      <c r="CF27" s="318"/>
      <c r="CG27" s="304">
        <v>0.28299999999999997</v>
      </c>
      <c r="CH27" s="304"/>
      <c r="CI27" s="319"/>
      <c r="CJ27" s="318"/>
      <c r="CK27" s="304"/>
      <c r="CL27" s="304"/>
      <c r="CM27" s="319"/>
      <c r="CN27" s="380" t="s">
        <v>449</v>
      </c>
      <c r="CO27" s="304"/>
      <c r="CP27" s="304"/>
      <c r="CQ27" s="319"/>
      <c r="CR27" s="107"/>
      <c r="CS27" s="107"/>
      <c r="CT27" s="390"/>
      <c r="CU27" s="3737" t="s">
        <v>172</v>
      </c>
      <c r="CV27" s="3738"/>
      <c r="CW27" s="41"/>
      <c r="CX27" s="560"/>
      <c r="CY27" s="560"/>
      <c r="CZ27" s="561"/>
      <c r="DA27" s="550">
        <v>2.56</v>
      </c>
      <c r="DB27" s="551">
        <v>2.4900000000000002</v>
      </c>
      <c r="DC27" s="551">
        <v>2.41</v>
      </c>
      <c r="DD27" s="562"/>
      <c r="DE27" s="942">
        <v>2.61</v>
      </c>
      <c r="DF27" s="304">
        <v>2.62</v>
      </c>
      <c r="DG27" s="1651">
        <v>2.44</v>
      </c>
      <c r="DH27" s="319"/>
      <c r="DI27" s="318">
        <v>2.56</v>
      </c>
      <c r="DJ27" s="304">
        <v>2.6</v>
      </c>
      <c r="DK27" s="304">
        <v>2.4300000000000002</v>
      </c>
      <c r="DL27" s="381"/>
      <c r="DM27" s="3295">
        <v>2.4500000000000002</v>
      </c>
      <c r="DN27" s="3295">
        <v>2.56</v>
      </c>
      <c r="DO27" s="3295">
        <v>2.44</v>
      </c>
      <c r="DP27" s="3295"/>
      <c r="DQ27" s="3295">
        <v>2.42</v>
      </c>
      <c r="DR27" s="3295">
        <v>2.57</v>
      </c>
      <c r="DS27" s="3295">
        <v>2.41</v>
      </c>
      <c r="DT27" s="3295">
        <v>2.52</v>
      </c>
      <c r="DU27" s="3295">
        <v>2.5299999999999998</v>
      </c>
      <c r="DV27" s="3295"/>
      <c r="DW27" s="3295"/>
      <c r="DX27" s="3295"/>
      <c r="DY27" s="107"/>
      <c r="DZ27" s="107"/>
      <c r="EA27" s="390"/>
      <c r="EB27" s="3737" t="s">
        <v>172</v>
      </c>
      <c r="EC27" s="3738"/>
      <c r="ED27" s="41"/>
      <c r="EE27" s="560"/>
      <c r="EF27" s="560"/>
      <c r="EG27" s="561"/>
      <c r="EH27" s="550">
        <v>40</v>
      </c>
      <c r="EI27" s="551">
        <v>38.799999999999997</v>
      </c>
      <c r="EJ27" s="551">
        <v>37.799999999999997</v>
      </c>
      <c r="EK27" s="562"/>
      <c r="EL27" s="942">
        <v>40.5</v>
      </c>
      <c r="EM27" s="304">
        <v>40.799999999999997</v>
      </c>
      <c r="EN27" s="1651">
        <v>38.1</v>
      </c>
      <c r="EO27" s="319"/>
      <c r="EP27" s="318">
        <v>39.799999999999997</v>
      </c>
      <c r="EQ27" s="304">
        <v>40.6</v>
      </c>
      <c r="ER27" s="304">
        <v>38</v>
      </c>
      <c r="ES27" s="381"/>
      <c r="ET27" s="318">
        <v>38.4</v>
      </c>
      <c r="EU27" s="304">
        <v>39.9</v>
      </c>
      <c r="EV27" s="304">
        <v>38.200000000000003</v>
      </c>
      <c r="EW27" s="319"/>
      <c r="EX27" s="370">
        <v>37.700000000000003</v>
      </c>
      <c r="EY27" s="304">
        <v>40</v>
      </c>
      <c r="EZ27" s="304">
        <v>37.799999999999997</v>
      </c>
      <c r="FA27" s="319">
        <v>39.299999999999997</v>
      </c>
      <c r="FB27" s="319">
        <v>39.4</v>
      </c>
      <c r="FC27" s="319"/>
      <c r="FD27" s="319"/>
      <c r="FE27" s="319"/>
    </row>
    <row r="28" spans="1:161" ht="16.5" thickBot="1">
      <c r="A28" s="307"/>
      <c r="B28" s="3730" t="s">
        <v>171</v>
      </c>
      <c r="C28" s="3731"/>
      <c r="D28" s="62">
        <v>5.26</v>
      </c>
      <c r="E28" s="563" t="s">
        <v>82</v>
      </c>
      <c r="F28" s="563" t="s">
        <v>82</v>
      </c>
      <c r="G28" s="575" t="s">
        <v>82</v>
      </c>
      <c r="H28" s="436">
        <v>2.68</v>
      </c>
      <c r="I28" s="62">
        <v>5.07</v>
      </c>
      <c r="J28" s="563">
        <v>2.2000000000000002</v>
      </c>
      <c r="K28" s="565">
        <v>2.4500000000000002</v>
      </c>
      <c r="L28" s="943">
        <v>6.84</v>
      </c>
      <c r="M28" s="382">
        <v>4.34</v>
      </c>
      <c r="N28" s="1663">
        <v>6.39</v>
      </c>
      <c r="O28" s="1658"/>
      <c r="P28" s="320">
        <v>5.26</v>
      </c>
      <c r="Q28" s="321">
        <v>2.86</v>
      </c>
      <c r="R28" s="387" t="s">
        <v>109</v>
      </c>
      <c r="S28" s="322"/>
      <c r="T28" s="320"/>
      <c r="U28" s="321">
        <v>2.61</v>
      </c>
      <c r="V28" s="387">
        <v>2.7</v>
      </c>
      <c r="W28" s="322"/>
      <c r="X28" s="322">
        <v>4.13</v>
      </c>
      <c r="Y28" s="322">
        <v>2.2599999999999998</v>
      </c>
      <c r="Z28" s="322">
        <v>3.56</v>
      </c>
      <c r="AA28" s="322">
        <v>4.7300000000000004</v>
      </c>
      <c r="AB28" s="322">
        <v>4.88</v>
      </c>
      <c r="AC28" s="322"/>
      <c r="AD28" s="322"/>
      <c r="AE28" s="322"/>
      <c r="AF28" s="107"/>
      <c r="AG28" s="307"/>
      <c r="AH28" s="3730" t="s">
        <v>171</v>
      </c>
      <c r="AI28" s="3731"/>
      <c r="AJ28" s="62" t="s">
        <v>82</v>
      </c>
      <c r="AK28" s="563" t="s">
        <v>82</v>
      </c>
      <c r="AL28" s="563" t="s">
        <v>82</v>
      </c>
      <c r="AM28" s="564" t="s">
        <v>82</v>
      </c>
      <c r="AN28" s="552">
        <v>9.83</v>
      </c>
      <c r="AO28" s="553">
        <v>8.9</v>
      </c>
      <c r="AP28" s="572">
        <v>8.8800000000000008</v>
      </c>
      <c r="AQ28" s="565">
        <v>8.66</v>
      </c>
      <c r="AR28" s="943">
        <v>8.85</v>
      </c>
      <c r="AS28" s="321">
        <v>8.75</v>
      </c>
      <c r="AT28" s="1671">
        <v>8.82</v>
      </c>
      <c r="AU28" s="322"/>
      <c r="AV28" s="320">
        <v>9.26</v>
      </c>
      <c r="AW28" s="321">
        <v>8.8699999999999992</v>
      </c>
      <c r="AX28" s="321">
        <v>8.8699999999999992</v>
      </c>
      <c r="AY28" s="382"/>
      <c r="AZ28" s="304">
        <v>8.9499999999999993</v>
      </c>
      <c r="BA28" s="304">
        <v>8.61</v>
      </c>
      <c r="BB28" s="304">
        <v>9.19</v>
      </c>
      <c r="BC28" s="304"/>
      <c r="BD28" s="304">
        <v>9.26</v>
      </c>
      <c r="BE28" s="304">
        <v>7.94</v>
      </c>
      <c r="BF28" s="304">
        <v>7.14</v>
      </c>
      <c r="BG28" s="304">
        <v>7.2</v>
      </c>
      <c r="BH28" s="304">
        <v>5.49</v>
      </c>
      <c r="BI28" s="304"/>
      <c r="BJ28" s="304"/>
      <c r="BK28" s="304"/>
      <c r="BL28" s="107"/>
      <c r="BM28" s="307"/>
      <c r="BN28" s="3730" t="s">
        <v>171</v>
      </c>
      <c r="BO28" s="3731"/>
      <c r="BP28" s="62" t="s">
        <v>82</v>
      </c>
      <c r="BQ28" s="563" t="s">
        <v>82</v>
      </c>
      <c r="BR28" s="563" t="s">
        <v>82</v>
      </c>
      <c r="BS28" s="564" t="s">
        <v>82</v>
      </c>
      <c r="BT28" s="552">
        <v>0.433</v>
      </c>
      <c r="BU28" s="553">
        <v>0.64700000000000002</v>
      </c>
      <c r="BV28" s="553">
        <v>0.95799999999999996</v>
      </c>
      <c r="BW28" s="911"/>
      <c r="BX28" s="320"/>
      <c r="BY28" s="321">
        <v>1.0900000000000001</v>
      </c>
      <c r="BZ28" s="321"/>
      <c r="CA28" s="322"/>
      <c r="CB28" s="320">
        <v>0.41</v>
      </c>
      <c r="CC28" s="321"/>
      <c r="CD28" s="321"/>
      <c r="CE28" s="322"/>
      <c r="CF28" s="320"/>
      <c r="CG28" s="321">
        <v>0.30599999999999999</v>
      </c>
      <c r="CH28" s="321"/>
      <c r="CI28" s="322"/>
      <c r="CJ28" s="320"/>
      <c r="CK28" s="321"/>
      <c r="CL28" s="321"/>
      <c r="CM28" s="322"/>
      <c r="CN28" s="320">
        <v>1.2999999999999999E-2</v>
      </c>
      <c r="CO28" s="321"/>
      <c r="CP28" s="321"/>
      <c r="CQ28" s="322"/>
      <c r="CR28" s="107"/>
      <c r="CS28" s="107"/>
      <c r="CT28" s="307"/>
      <c r="CU28" s="3730" t="s">
        <v>171</v>
      </c>
      <c r="CV28" s="3731"/>
      <c r="CW28" s="62"/>
      <c r="CX28" s="563"/>
      <c r="CY28" s="563"/>
      <c r="CZ28" s="564"/>
      <c r="DA28" s="552">
        <v>2.62</v>
      </c>
      <c r="DB28" s="553">
        <v>2.52</v>
      </c>
      <c r="DC28" s="553">
        <v>2.4300000000000002</v>
      </c>
      <c r="DD28" s="565"/>
      <c r="DE28" s="943">
        <v>2.61</v>
      </c>
      <c r="DF28" s="321">
        <v>2.65</v>
      </c>
      <c r="DG28" s="1651">
        <v>2.4900000000000002</v>
      </c>
      <c r="DH28" s="322"/>
      <c r="DI28" s="320">
        <v>2.57</v>
      </c>
      <c r="DJ28" s="321">
        <v>2.61</v>
      </c>
      <c r="DK28" s="321">
        <v>2.46</v>
      </c>
      <c r="DL28" s="382"/>
      <c r="DM28" s="3295">
        <v>2.4</v>
      </c>
      <c r="DN28" s="3295">
        <v>2.58</v>
      </c>
      <c r="DO28" s="3295">
        <v>2.5099999999999998</v>
      </c>
      <c r="DP28" s="3295"/>
      <c r="DQ28" s="3295">
        <v>2.58</v>
      </c>
      <c r="DR28" s="3295">
        <v>2.5499999999999998</v>
      </c>
      <c r="DS28" s="3295">
        <v>2.5299999999999998</v>
      </c>
      <c r="DT28" s="3295">
        <v>2.5499999999999998</v>
      </c>
      <c r="DU28" s="3295">
        <v>2.54</v>
      </c>
      <c r="DV28" s="3295"/>
      <c r="DW28" s="3295"/>
      <c r="DX28" s="3295"/>
      <c r="DY28" s="107"/>
      <c r="DZ28" s="107"/>
      <c r="EA28" s="307"/>
      <c r="EB28" s="3730" t="s">
        <v>171</v>
      </c>
      <c r="EC28" s="3731"/>
      <c r="ED28" s="62"/>
      <c r="EE28" s="563"/>
      <c r="EF28" s="563"/>
      <c r="EG28" s="564"/>
      <c r="EH28" s="552">
        <v>40.700000000000003</v>
      </c>
      <c r="EI28" s="553">
        <v>39.4</v>
      </c>
      <c r="EJ28" s="553">
        <v>38.1</v>
      </c>
      <c r="EK28" s="565"/>
      <c r="EL28" s="943">
        <v>40.5</v>
      </c>
      <c r="EM28" s="321">
        <v>41.2</v>
      </c>
      <c r="EN28" s="1676">
        <v>38.9</v>
      </c>
      <c r="EO28" s="322"/>
      <c r="EP28" s="320">
        <v>40.5</v>
      </c>
      <c r="EQ28" s="321">
        <v>40.5</v>
      </c>
      <c r="ER28" s="321">
        <v>38.299999999999997</v>
      </c>
      <c r="ES28" s="382"/>
      <c r="ET28" s="320">
        <v>38.9</v>
      </c>
      <c r="EU28" s="321">
        <v>40.200000000000003</v>
      </c>
      <c r="EV28" s="321">
        <v>39.200000000000003</v>
      </c>
      <c r="EW28" s="322"/>
      <c r="EX28" s="371">
        <v>40.1</v>
      </c>
      <c r="EY28" s="321">
        <v>39.700000000000003</v>
      </c>
      <c r="EZ28" s="321">
        <v>39.4</v>
      </c>
      <c r="FA28" s="322">
        <v>39.700000000000003</v>
      </c>
      <c r="FB28" s="322">
        <v>39.5</v>
      </c>
      <c r="FC28" s="322"/>
      <c r="FD28" s="322"/>
      <c r="FE28" s="322"/>
    </row>
    <row r="29" spans="1:161" ht="15.75" thickBot="1">
      <c r="A29" s="107"/>
      <c r="B29" s="196"/>
      <c r="C29" s="107"/>
      <c r="D29" s="108"/>
      <c r="E29" s="122"/>
      <c r="F29" s="122"/>
      <c r="G29" s="122"/>
      <c r="H29" s="108"/>
      <c r="I29" s="108"/>
      <c r="J29" s="122"/>
      <c r="K29" s="218"/>
      <c r="L29" s="107"/>
      <c r="M29" s="107"/>
      <c r="N29" s="1661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20"/>
      <c r="AG29" s="120"/>
      <c r="AH29" s="196"/>
      <c r="AI29" s="107"/>
      <c r="AJ29" s="108"/>
      <c r="AK29" s="122"/>
      <c r="AL29" s="122"/>
      <c r="AM29" s="122"/>
      <c r="AN29" s="554"/>
      <c r="AO29" s="554"/>
      <c r="AP29" s="218"/>
      <c r="AQ29" s="218"/>
      <c r="AR29" s="107"/>
      <c r="AS29" s="107"/>
      <c r="AT29" s="580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107"/>
      <c r="BL29" s="120"/>
      <c r="BM29" s="120"/>
      <c r="BN29" s="196"/>
      <c r="BO29" s="107"/>
      <c r="BP29" s="108"/>
      <c r="BQ29" s="122"/>
      <c r="BR29" s="122"/>
      <c r="BS29" s="122"/>
      <c r="BT29" s="554"/>
      <c r="BU29" s="554"/>
      <c r="BV29" s="554"/>
      <c r="BW29" s="56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  <c r="CN29" s="107"/>
      <c r="CO29" s="107"/>
      <c r="CP29" s="107"/>
      <c r="CQ29" s="107"/>
      <c r="CR29" s="107"/>
      <c r="CS29" s="120"/>
      <c r="CT29" s="120"/>
      <c r="CU29" s="196"/>
      <c r="CV29" s="107"/>
      <c r="CW29" s="108"/>
      <c r="CX29" s="122"/>
      <c r="CY29" s="122"/>
      <c r="CZ29" s="122"/>
      <c r="DA29" s="554"/>
      <c r="DB29" s="554"/>
      <c r="DC29" s="554"/>
      <c r="DD29" s="218"/>
      <c r="DE29" s="107"/>
      <c r="DF29" s="107"/>
      <c r="DG29" s="1021"/>
      <c r="DH29" s="107"/>
      <c r="DI29" s="107"/>
      <c r="DJ29" s="107"/>
      <c r="DK29" s="107"/>
      <c r="DL29" s="107"/>
      <c r="DM29" s="107"/>
      <c r="DN29" s="107"/>
      <c r="DO29" s="107"/>
      <c r="DP29" s="107"/>
      <c r="DQ29" s="107"/>
      <c r="DR29" s="107"/>
      <c r="DS29" s="107"/>
      <c r="DT29" s="107"/>
      <c r="DU29" s="107"/>
      <c r="DV29" s="107"/>
      <c r="DW29" s="107"/>
      <c r="DX29" s="107"/>
      <c r="DY29" s="107"/>
      <c r="DZ29" s="120"/>
      <c r="EA29" s="120"/>
      <c r="EB29" s="196"/>
      <c r="EC29" s="107"/>
      <c r="ED29" s="108"/>
      <c r="EE29" s="122"/>
      <c r="EF29" s="122"/>
      <c r="EG29" s="122"/>
      <c r="EH29" s="554"/>
      <c r="EI29" s="554"/>
      <c r="EJ29" s="554"/>
      <c r="EK29" s="218"/>
      <c r="EL29" s="107"/>
      <c r="EM29" s="107"/>
      <c r="EN29" s="1021"/>
      <c r="EO29" s="107"/>
      <c r="EP29" s="107"/>
      <c r="EQ29" s="107"/>
      <c r="ER29" s="107"/>
      <c r="ES29" s="107"/>
      <c r="ET29" s="107"/>
      <c r="EU29" s="107"/>
      <c r="EV29" s="107"/>
      <c r="EW29" s="107"/>
      <c r="EX29" s="107"/>
      <c r="EY29" s="107"/>
      <c r="EZ29" s="107"/>
      <c r="FA29" s="107"/>
    </row>
    <row r="30" spans="1:161" ht="15.75" thickBot="1">
      <c r="A30" s="597">
        <v>5</v>
      </c>
      <c r="B30" s="3732"/>
      <c r="C30" s="3732"/>
      <c r="D30" s="441"/>
      <c r="E30" s="441"/>
      <c r="F30" s="441"/>
      <c r="G30" s="441"/>
      <c r="H30" s="440"/>
      <c r="I30" s="441"/>
      <c r="J30" s="441"/>
      <c r="K30" s="556"/>
      <c r="L30" s="438"/>
      <c r="M30" s="438"/>
      <c r="N30" s="1662"/>
      <c r="O30" s="438"/>
      <c r="P30" s="438"/>
      <c r="Q30" s="438"/>
      <c r="R30" s="438"/>
      <c r="S30" s="439"/>
      <c r="T30" s="438"/>
      <c r="U30" s="438"/>
      <c r="V30" s="438"/>
      <c r="W30" s="439"/>
      <c r="X30" s="3724"/>
      <c r="Y30" s="3725"/>
      <c r="Z30" s="3725"/>
      <c r="AA30" s="3726"/>
      <c r="AB30" s="3724"/>
      <c r="AC30" s="3725"/>
      <c r="AD30" s="3725"/>
      <c r="AE30" s="3726"/>
      <c r="AF30" s="107"/>
      <c r="AG30" s="597">
        <v>5</v>
      </c>
      <c r="AH30" s="3732"/>
      <c r="AI30" s="3732"/>
      <c r="AJ30" s="441"/>
      <c r="AK30" s="441"/>
      <c r="AL30" s="441"/>
      <c r="AM30" s="441"/>
      <c r="AN30" s="555"/>
      <c r="AO30" s="556"/>
      <c r="AP30" s="441"/>
      <c r="AQ30" s="556"/>
      <c r="AR30" s="438"/>
      <c r="AS30" s="438"/>
      <c r="AT30" s="556"/>
      <c r="AU30" s="438"/>
      <c r="AV30" s="438"/>
      <c r="AW30" s="438"/>
      <c r="AX30" s="438"/>
      <c r="AY30" s="439"/>
      <c r="AZ30" s="3724"/>
      <c r="BA30" s="3725"/>
      <c r="BB30" s="3725"/>
      <c r="BC30" s="3726"/>
      <c r="BD30" s="3724"/>
      <c r="BE30" s="3725"/>
      <c r="BF30" s="3725"/>
      <c r="BG30" s="3726"/>
      <c r="BH30" s="3724"/>
      <c r="BI30" s="3725"/>
      <c r="BJ30" s="3725"/>
      <c r="BK30" s="3726"/>
      <c r="BL30" s="107"/>
      <c r="BM30" s="597">
        <v>5</v>
      </c>
      <c r="BN30" s="3732"/>
      <c r="BO30" s="3732"/>
      <c r="BP30" s="441"/>
      <c r="BQ30" s="441"/>
      <c r="BR30" s="441"/>
      <c r="BS30" s="441"/>
      <c r="BT30" s="556"/>
      <c r="BU30" s="556"/>
      <c r="BV30" s="441"/>
      <c r="BW30" s="576"/>
      <c r="BX30" s="438"/>
      <c r="BY30" s="438"/>
      <c r="BZ30" s="438"/>
      <c r="CA30" s="438"/>
      <c r="CB30" s="438"/>
      <c r="CC30" s="438"/>
      <c r="CD30" s="438"/>
      <c r="CE30" s="439"/>
      <c r="CF30" s="438"/>
      <c r="CG30" s="438"/>
      <c r="CH30" s="438"/>
      <c r="CI30" s="439"/>
      <c r="CJ30" s="438"/>
      <c r="CK30" s="438"/>
      <c r="CL30" s="438"/>
      <c r="CM30" s="439"/>
      <c r="CN30" s="438"/>
      <c r="CO30" s="438"/>
      <c r="CP30" s="438"/>
      <c r="CQ30" s="439"/>
      <c r="CR30" s="107"/>
      <c r="CS30" s="107"/>
      <c r="CT30" s="597">
        <v>5</v>
      </c>
      <c r="CU30" s="3732"/>
      <c r="CV30" s="3732"/>
      <c r="CW30" s="441"/>
      <c r="CX30" s="441"/>
      <c r="CY30" s="441"/>
      <c r="CZ30" s="441"/>
      <c r="DA30" s="556"/>
      <c r="DB30" s="556"/>
      <c r="DC30" s="441"/>
      <c r="DD30" s="556"/>
      <c r="DE30" s="438"/>
      <c r="DF30" s="438"/>
      <c r="DG30" s="1675"/>
      <c r="DH30" s="438"/>
      <c r="DI30" s="438"/>
      <c r="DJ30" s="438"/>
      <c r="DK30" s="438"/>
      <c r="DL30" s="439"/>
      <c r="DM30" s="3727"/>
      <c r="DN30" s="3728"/>
      <c r="DO30" s="3728"/>
      <c r="DP30" s="3729"/>
      <c r="DQ30" s="3727"/>
      <c r="DR30" s="3728"/>
      <c r="DS30" s="3728"/>
      <c r="DT30" s="3729"/>
      <c r="DU30" s="3727"/>
      <c r="DV30" s="3728"/>
      <c r="DW30" s="3728"/>
      <c r="DX30" s="3729"/>
      <c r="DY30" s="107"/>
      <c r="DZ30" s="107"/>
      <c r="EA30" s="597">
        <v>5</v>
      </c>
      <c r="EB30" s="3732"/>
      <c r="EC30" s="3732"/>
      <c r="ED30" s="441"/>
      <c r="EE30" s="441"/>
      <c r="EF30" s="441"/>
      <c r="EG30" s="441"/>
      <c r="EH30" s="556"/>
      <c r="EI30" s="556"/>
      <c r="EJ30" s="441"/>
      <c r="EK30" s="556"/>
      <c r="EL30" s="438"/>
      <c r="EM30" s="438"/>
      <c r="EN30" s="1675"/>
      <c r="EO30" s="438"/>
      <c r="EP30" s="438"/>
      <c r="EQ30" s="438"/>
      <c r="ER30" s="438"/>
      <c r="ES30" s="438"/>
      <c r="ET30" s="3297"/>
      <c r="EU30" s="1659"/>
      <c r="EV30" s="1659"/>
      <c r="EW30" s="3298"/>
      <c r="EX30" s="1659"/>
      <c r="EY30" s="1659"/>
      <c r="EZ30" s="1659"/>
      <c r="FA30" s="3298"/>
      <c r="FB30" s="1659"/>
      <c r="FC30" s="1659"/>
      <c r="FD30" s="1659"/>
      <c r="FE30" s="3298"/>
    </row>
    <row r="31" spans="1:161">
      <c r="A31" s="333"/>
      <c r="B31" s="3733" t="s">
        <v>173</v>
      </c>
      <c r="C31" s="3734"/>
      <c r="D31" s="254">
        <v>6.98</v>
      </c>
      <c r="E31" s="557" t="s">
        <v>82</v>
      </c>
      <c r="F31" s="557" t="s">
        <v>82</v>
      </c>
      <c r="G31" s="558" t="s">
        <v>82</v>
      </c>
      <c r="H31" s="437">
        <v>6.78</v>
      </c>
      <c r="I31" s="254">
        <v>6.85</v>
      </c>
      <c r="J31" s="254">
        <v>9.84</v>
      </c>
      <c r="K31" s="559">
        <v>7.18</v>
      </c>
      <c r="L31" s="941">
        <v>7.41</v>
      </c>
      <c r="M31" s="389">
        <v>8.92</v>
      </c>
      <c r="N31" s="760"/>
      <c r="O31" s="1656"/>
      <c r="P31" s="380">
        <v>6.85</v>
      </c>
      <c r="Q31" s="387">
        <v>7.29</v>
      </c>
      <c r="R31" s="387" t="s">
        <v>109</v>
      </c>
      <c r="S31" s="388"/>
      <c r="T31" s="380"/>
      <c r="U31" s="387">
        <v>5.95</v>
      </c>
      <c r="V31" s="387">
        <v>7.9</v>
      </c>
      <c r="W31" s="388"/>
      <c r="X31" s="388">
        <v>10.28</v>
      </c>
      <c r="Y31" s="388">
        <v>9.5399999999999991</v>
      </c>
      <c r="Z31" s="388">
        <v>8.58</v>
      </c>
      <c r="AA31" s="388">
        <v>7.48</v>
      </c>
      <c r="AB31" s="388">
        <v>7.07</v>
      </c>
      <c r="AC31" s="388"/>
      <c r="AD31" s="388"/>
      <c r="AE31" s="388"/>
      <c r="AF31" s="107"/>
      <c r="AG31" s="333"/>
      <c r="AH31" s="3733" t="s">
        <v>173</v>
      </c>
      <c r="AI31" s="3734"/>
      <c r="AJ31" s="254" t="s">
        <v>82</v>
      </c>
      <c r="AK31" s="557" t="s">
        <v>82</v>
      </c>
      <c r="AL31" s="557" t="s">
        <v>82</v>
      </c>
      <c r="AM31" s="558" t="s">
        <v>82</v>
      </c>
      <c r="AN31" s="548">
        <v>10.09</v>
      </c>
      <c r="AO31" s="549">
        <v>9.1</v>
      </c>
      <c r="AP31" s="549">
        <v>9.8000000000000007</v>
      </c>
      <c r="AQ31" s="559">
        <v>9.01</v>
      </c>
      <c r="AR31" s="941">
        <v>9.0399999999999991</v>
      </c>
      <c r="AS31" s="387">
        <v>9.0399999999999991</v>
      </c>
      <c r="AT31" s="1672"/>
      <c r="AU31" s="388"/>
      <c r="AV31" s="380">
        <v>9.2799999999999994</v>
      </c>
      <c r="AW31" s="387">
        <v>9.25</v>
      </c>
      <c r="AX31" s="387">
        <v>9.5500000000000007</v>
      </c>
      <c r="AY31" s="389"/>
      <c r="AZ31" s="387">
        <v>9.09</v>
      </c>
      <c r="BA31" s="387">
        <v>9.19</v>
      </c>
      <c r="BB31" s="387">
        <v>9.49</v>
      </c>
      <c r="BC31" s="387"/>
      <c r="BD31" s="387">
        <v>9.5500000000000007</v>
      </c>
      <c r="BE31" s="387">
        <v>8.3000000000000007</v>
      </c>
      <c r="BF31" s="387">
        <v>7.12</v>
      </c>
      <c r="BG31" s="387">
        <v>7.14</v>
      </c>
      <c r="BH31" s="387">
        <v>8.2899999999999991</v>
      </c>
      <c r="BI31" s="387"/>
      <c r="BJ31" s="387"/>
      <c r="BK31" s="387"/>
      <c r="BL31" s="107"/>
      <c r="BM31" s="333"/>
      <c r="BN31" s="3733" t="s">
        <v>173</v>
      </c>
      <c r="BO31" s="3734"/>
      <c r="BP31" s="254" t="s">
        <v>82</v>
      </c>
      <c r="BQ31" s="557" t="s">
        <v>82</v>
      </c>
      <c r="BR31" s="557" t="s">
        <v>82</v>
      </c>
      <c r="BS31" s="558" t="s">
        <v>82</v>
      </c>
      <c r="BT31" s="548">
        <v>0.38900000000000001</v>
      </c>
      <c r="BU31" s="549">
        <v>0.69399999999999995</v>
      </c>
      <c r="BV31" s="549">
        <v>0.88400000000000001</v>
      </c>
      <c r="BW31" s="909"/>
      <c r="BX31" s="380"/>
      <c r="BY31" s="387">
        <v>1.0109999999999999</v>
      </c>
      <c r="BZ31" s="387"/>
      <c r="CA31" s="388"/>
      <c r="CB31" s="380">
        <v>0.18</v>
      </c>
      <c r="CC31" s="387"/>
      <c r="CD31" s="387"/>
      <c r="CE31" s="388"/>
      <c r="CF31" s="380"/>
      <c r="CG31" s="387">
        <v>0.13300000000000001</v>
      </c>
      <c r="CH31" s="387"/>
      <c r="CI31" s="388"/>
      <c r="CJ31" s="380"/>
      <c r="CK31" s="387"/>
      <c r="CL31" s="387"/>
      <c r="CM31" s="388"/>
      <c r="CN31" s="380" t="s">
        <v>449</v>
      </c>
      <c r="CO31" s="387"/>
      <c r="CP31" s="387"/>
      <c r="CQ31" s="388"/>
      <c r="CR31" s="107"/>
      <c r="CS31" s="107"/>
      <c r="CT31" s="333"/>
      <c r="CU31" s="3733" t="s">
        <v>173</v>
      </c>
      <c r="CV31" s="3734"/>
      <c r="CW31" s="254"/>
      <c r="CX31" s="557"/>
      <c r="CY31" s="557"/>
      <c r="CZ31" s="558"/>
      <c r="DA31" s="548">
        <v>2.56</v>
      </c>
      <c r="DB31" s="549">
        <v>2.4700000000000002</v>
      </c>
      <c r="DC31" s="549">
        <v>0.48</v>
      </c>
      <c r="DD31" s="559"/>
      <c r="DE31" s="941">
        <v>2.62</v>
      </c>
      <c r="DF31" s="387">
        <v>2.61</v>
      </c>
      <c r="DG31" s="1677"/>
      <c r="DH31" s="388"/>
      <c r="DI31" s="380">
        <v>2.5499999999999998</v>
      </c>
      <c r="DJ31" s="387">
        <v>2.61</v>
      </c>
      <c r="DK31" s="387">
        <v>1.96</v>
      </c>
      <c r="DL31" s="389"/>
      <c r="DM31" s="357">
        <v>2.4900000000000002</v>
      </c>
      <c r="DN31" s="358">
        <v>2.57</v>
      </c>
      <c r="DO31" s="358">
        <v>2.17</v>
      </c>
      <c r="DP31" s="354"/>
      <c r="DQ31" s="369">
        <v>2.52</v>
      </c>
      <c r="DR31" s="358">
        <v>2.5099999999999998</v>
      </c>
      <c r="DS31" s="358">
        <v>1.83</v>
      </c>
      <c r="DT31" s="354">
        <v>2.5</v>
      </c>
      <c r="DU31" s="369">
        <v>2.52</v>
      </c>
      <c r="DV31" s="358"/>
      <c r="DW31" s="358"/>
      <c r="DX31" s="354"/>
      <c r="DY31" s="107"/>
      <c r="DZ31" s="107"/>
      <c r="EA31" s="333"/>
      <c r="EB31" s="3733" t="s">
        <v>173</v>
      </c>
      <c r="EC31" s="3734"/>
      <c r="ED31" s="254"/>
      <c r="EE31" s="557"/>
      <c r="EF31" s="557"/>
      <c r="EG31" s="558"/>
      <c r="EH31" s="548">
        <v>39.9</v>
      </c>
      <c r="EI31" s="549">
        <v>38.700000000000003</v>
      </c>
      <c r="EJ31" s="549">
        <v>9.4</v>
      </c>
      <c r="EK31" s="559"/>
      <c r="EL31" s="941">
        <v>40.6</v>
      </c>
      <c r="EM31" s="387">
        <v>40.6</v>
      </c>
      <c r="EN31" s="1677"/>
      <c r="EO31" s="388"/>
      <c r="EP31" s="380">
        <v>39.700000000000003</v>
      </c>
      <c r="EQ31" s="387">
        <v>40.5</v>
      </c>
      <c r="ER31" s="387">
        <v>32.1</v>
      </c>
      <c r="ES31" s="389"/>
      <c r="ET31" s="318">
        <v>38.9</v>
      </c>
      <c r="EU31" s="304">
        <v>40.1</v>
      </c>
      <c r="EV31" s="304">
        <v>34.299999999999997</v>
      </c>
      <c r="EW31" s="319"/>
      <c r="EX31" s="370">
        <v>39.299999999999997</v>
      </c>
      <c r="EY31" s="304">
        <v>39.200000000000003</v>
      </c>
      <c r="EZ31" s="304">
        <v>29.4</v>
      </c>
      <c r="FA31" s="319">
        <v>39</v>
      </c>
      <c r="FB31" s="319">
        <v>39.299999999999997</v>
      </c>
      <c r="FC31" s="319"/>
      <c r="FD31" s="319"/>
      <c r="FE31" s="319"/>
    </row>
    <row r="32" spans="1:161">
      <c r="A32" s="390"/>
      <c r="B32" s="3737" t="s">
        <v>172</v>
      </c>
      <c r="C32" s="3738"/>
      <c r="D32" s="41">
        <v>5.71</v>
      </c>
      <c r="E32" s="560" t="s">
        <v>82</v>
      </c>
      <c r="F32" s="560" t="s">
        <v>82</v>
      </c>
      <c r="G32" s="561" t="s">
        <v>82</v>
      </c>
      <c r="H32" s="435">
        <v>5.82</v>
      </c>
      <c r="I32" s="41">
        <v>4.75</v>
      </c>
      <c r="J32" s="41">
        <v>5.0999999999999996</v>
      </c>
      <c r="K32" s="562">
        <v>5.54</v>
      </c>
      <c r="L32" s="942">
        <v>6.94</v>
      </c>
      <c r="M32" s="381">
        <v>7.14</v>
      </c>
      <c r="N32" s="760"/>
      <c r="O32" s="1657"/>
      <c r="P32" s="318">
        <v>6.19</v>
      </c>
      <c r="Q32" s="304">
        <v>5.78</v>
      </c>
      <c r="R32" s="387" t="s">
        <v>109</v>
      </c>
      <c r="S32" s="319"/>
      <c r="T32" s="318"/>
      <c r="U32" s="304">
        <v>4.84</v>
      </c>
      <c r="V32" s="387">
        <v>3.55</v>
      </c>
      <c r="W32" s="319"/>
      <c r="X32" s="319">
        <v>5.99</v>
      </c>
      <c r="Y32" s="319">
        <v>4.04</v>
      </c>
      <c r="Z32" s="319">
        <v>4.04</v>
      </c>
      <c r="AA32" s="319">
        <v>4.8</v>
      </c>
      <c r="AB32" s="319">
        <v>6.27</v>
      </c>
      <c r="AC32" s="319"/>
      <c r="AD32" s="319"/>
      <c r="AE32" s="319"/>
      <c r="AF32" s="107"/>
      <c r="AG32" s="390"/>
      <c r="AH32" s="3737" t="s">
        <v>172</v>
      </c>
      <c r="AI32" s="3738"/>
      <c r="AJ32" s="41" t="s">
        <v>82</v>
      </c>
      <c r="AK32" s="560" t="s">
        <v>82</v>
      </c>
      <c r="AL32" s="560" t="s">
        <v>82</v>
      </c>
      <c r="AM32" s="561" t="s">
        <v>82</v>
      </c>
      <c r="AN32" s="550">
        <v>10.050000000000001</v>
      </c>
      <c r="AO32" s="551">
        <v>8.91</v>
      </c>
      <c r="AP32" s="551">
        <v>8.76</v>
      </c>
      <c r="AQ32" s="562">
        <v>8.89</v>
      </c>
      <c r="AR32" s="942">
        <v>8.9499999999999993</v>
      </c>
      <c r="AS32" s="304">
        <v>8.82</v>
      </c>
      <c r="AT32" s="1673"/>
      <c r="AU32" s="319"/>
      <c r="AV32" s="318">
        <v>9.08</v>
      </c>
      <c r="AW32" s="304">
        <v>8.99</v>
      </c>
      <c r="AX32" s="304">
        <v>8.92</v>
      </c>
      <c r="AY32" s="381"/>
      <c r="AZ32" s="304">
        <v>8.9700000000000006</v>
      </c>
      <c r="BA32" s="304">
        <v>9.07</v>
      </c>
      <c r="BB32" s="304">
        <v>9.23</v>
      </c>
      <c r="BC32" s="304"/>
      <c r="BD32" s="304">
        <v>9.32</v>
      </c>
      <c r="BE32" s="304">
        <v>7.93</v>
      </c>
      <c r="BF32" s="304">
        <v>7.05</v>
      </c>
      <c r="BG32" s="304">
        <v>7.18</v>
      </c>
      <c r="BH32" s="304">
        <v>6.63</v>
      </c>
      <c r="BI32" s="304"/>
      <c r="BJ32" s="304"/>
      <c r="BK32" s="304"/>
      <c r="BL32" s="107"/>
      <c r="BM32" s="390"/>
      <c r="BN32" s="3737" t="s">
        <v>172</v>
      </c>
      <c r="BO32" s="3738"/>
      <c r="BP32" s="41" t="s">
        <v>82</v>
      </c>
      <c r="BQ32" s="560" t="s">
        <v>82</v>
      </c>
      <c r="BR32" s="560" t="s">
        <v>82</v>
      </c>
      <c r="BS32" s="561" t="s">
        <v>82</v>
      </c>
      <c r="BT32" s="550">
        <v>0.28499999999999998</v>
      </c>
      <c r="BU32" s="551">
        <v>0.622</v>
      </c>
      <c r="BV32" s="551">
        <v>0.64600000000000002</v>
      </c>
      <c r="BW32" s="910"/>
      <c r="BX32" s="318"/>
      <c r="BY32" s="304">
        <v>0.91700000000000004</v>
      </c>
      <c r="BZ32" s="304"/>
      <c r="CA32" s="319"/>
      <c r="CB32" s="318">
        <v>0.17</v>
      </c>
      <c r="CC32" s="304"/>
      <c r="CD32" s="304"/>
      <c r="CE32" s="319"/>
      <c r="CF32" s="318"/>
      <c r="CG32" s="304">
        <v>0.152</v>
      </c>
      <c r="CH32" s="304"/>
      <c r="CI32" s="319"/>
      <c r="CJ32" s="318"/>
      <c r="CK32" s="304"/>
      <c r="CL32" s="304"/>
      <c r="CM32" s="319"/>
      <c r="CN32" s="380" t="s">
        <v>449</v>
      </c>
      <c r="CO32" s="304"/>
      <c r="CP32" s="304"/>
      <c r="CQ32" s="319"/>
      <c r="CR32" s="107"/>
      <c r="CS32" s="107"/>
      <c r="CT32" s="390"/>
      <c r="CU32" s="3737" t="s">
        <v>172</v>
      </c>
      <c r="CV32" s="3738"/>
      <c r="CW32" s="41"/>
      <c r="CX32" s="560"/>
      <c r="CY32" s="560"/>
      <c r="CZ32" s="561"/>
      <c r="DA32" s="550">
        <v>2.59</v>
      </c>
      <c r="DB32" s="551">
        <v>2.5499999999999998</v>
      </c>
      <c r="DC32" s="551">
        <v>2.4300000000000002</v>
      </c>
      <c r="DD32" s="562"/>
      <c r="DE32" s="942">
        <v>2.6</v>
      </c>
      <c r="DF32" s="304">
        <v>2.66</v>
      </c>
      <c r="DG32" s="1678"/>
      <c r="DH32" s="319"/>
      <c r="DI32" s="318">
        <v>2.56</v>
      </c>
      <c r="DJ32" s="304">
        <v>2.6</v>
      </c>
      <c r="DK32" s="304">
        <v>2.4500000000000002</v>
      </c>
      <c r="DL32" s="381"/>
      <c r="DM32" s="318">
        <v>2.4900000000000002</v>
      </c>
      <c r="DN32" s="304">
        <v>2.6</v>
      </c>
      <c r="DO32" s="304">
        <v>2.5099999999999998</v>
      </c>
      <c r="DP32" s="319"/>
      <c r="DQ32" s="370">
        <v>2.5499999999999998</v>
      </c>
      <c r="DR32" s="304">
        <v>2.5499999999999998</v>
      </c>
      <c r="DS32" s="304">
        <v>2.5299999999999998</v>
      </c>
      <c r="DT32" s="319">
        <v>2.56</v>
      </c>
      <c r="DU32" s="370">
        <v>2.54</v>
      </c>
      <c r="DV32" s="304"/>
      <c r="DW32" s="304"/>
      <c r="DX32" s="319"/>
      <c r="DY32" s="107"/>
      <c r="DZ32" s="107"/>
      <c r="EA32" s="390"/>
      <c r="EB32" s="3737" t="s">
        <v>172</v>
      </c>
      <c r="EC32" s="3738"/>
      <c r="ED32" s="41"/>
      <c r="EE32" s="560"/>
      <c r="EF32" s="560"/>
      <c r="EG32" s="561"/>
      <c r="EH32" s="550">
        <v>40.299999999999997</v>
      </c>
      <c r="EI32" s="551">
        <v>39.700000000000003</v>
      </c>
      <c r="EJ32" s="551">
        <v>38</v>
      </c>
      <c r="EK32" s="562"/>
      <c r="EL32" s="942">
        <v>40.799999999999997</v>
      </c>
      <c r="EM32" s="304">
        <v>41.4</v>
      </c>
      <c r="EN32" s="1678"/>
      <c r="EO32" s="319"/>
      <c r="EP32" s="318">
        <v>39.9</v>
      </c>
      <c r="EQ32" s="304">
        <v>40.5</v>
      </c>
      <c r="ER32" s="304">
        <v>38.299999999999997</v>
      </c>
      <c r="ES32" s="381"/>
      <c r="ET32" s="318">
        <v>38.9</v>
      </c>
      <c r="EU32" s="304">
        <v>40.5</v>
      </c>
      <c r="EV32" s="304">
        <v>39.1</v>
      </c>
      <c r="EW32" s="319"/>
      <c r="EX32" s="370">
        <v>39.700000000000003</v>
      </c>
      <c r="EY32" s="304">
        <v>39.700000000000003</v>
      </c>
      <c r="EZ32" s="304">
        <v>39.4</v>
      </c>
      <c r="FA32" s="319">
        <v>39.799999999999997</v>
      </c>
      <c r="FB32" s="319">
        <v>39.5</v>
      </c>
      <c r="FC32" s="319"/>
      <c r="FD32" s="319"/>
      <c r="FE32" s="319"/>
    </row>
    <row r="33" spans="1:161" ht="15.75" thickBot="1">
      <c r="A33" s="307"/>
      <c r="B33" s="3730" t="s">
        <v>171</v>
      </c>
      <c r="C33" s="3731"/>
      <c r="D33" s="62">
        <v>6.75</v>
      </c>
      <c r="E33" s="563" t="s">
        <v>82</v>
      </c>
      <c r="F33" s="563" t="s">
        <v>82</v>
      </c>
      <c r="G33" s="564" t="s">
        <v>82</v>
      </c>
      <c r="H33" s="436">
        <v>3.6</v>
      </c>
      <c r="I33" s="62">
        <v>2.72</v>
      </c>
      <c r="J33" s="563">
        <v>3.58</v>
      </c>
      <c r="K33" s="565">
        <v>4.72</v>
      </c>
      <c r="L33" s="943">
        <v>5.79</v>
      </c>
      <c r="M33" s="382">
        <v>4.7699999999999996</v>
      </c>
      <c r="N33" s="760"/>
      <c r="O33" s="1658"/>
      <c r="P33" s="320">
        <v>4.9000000000000004</v>
      </c>
      <c r="Q33" s="321">
        <v>2.76</v>
      </c>
      <c r="R33" s="387" t="s">
        <v>109</v>
      </c>
      <c r="S33" s="322"/>
      <c r="T33" s="320"/>
      <c r="U33" s="321">
        <v>3.47</v>
      </c>
      <c r="V33" s="387">
        <v>3.84</v>
      </c>
      <c r="W33" s="322"/>
      <c r="X33" s="322">
        <v>6.67</v>
      </c>
      <c r="Y33" s="322">
        <v>3.55</v>
      </c>
      <c r="Z33" s="322">
        <v>4.87</v>
      </c>
      <c r="AA33" s="322">
        <v>4.55</v>
      </c>
      <c r="AB33" s="322">
        <v>4.25</v>
      </c>
      <c r="AC33" s="322"/>
      <c r="AD33" s="322"/>
      <c r="AE33" s="322"/>
      <c r="AF33" s="107"/>
      <c r="AG33" s="307"/>
      <c r="AH33" s="3730" t="s">
        <v>171</v>
      </c>
      <c r="AI33" s="3731"/>
      <c r="AJ33" s="62" t="s">
        <v>82</v>
      </c>
      <c r="AK33" s="563" t="s">
        <v>82</v>
      </c>
      <c r="AL33" s="563" t="s">
        <v>82</v>
      </c>
      <c r="AM33" s="564" t="s">
        <v>82</v>
      </c>
      <c r="AN33" s="552">
        <v>9.92</v>
      </c>
      <c r="AO33" s="553">
        <v>8.69</v>
      </c>
      <c r="AP33" s="572">
        <v>8.85</v>
      </c>
      <c r="AQ33" s="565">
        <v>8.82</v>
      </c>
      <c r="AR33" s="943">
        <v>8.86</v>
      </c>
      <c r="AS33" s="321">
        <v>8.75</v>
      </c>
      <c r="AT33" s="1674"/>
      <c r="AU33" s="322"/>
      <c r="AV33" s="320">
        <v>9.27</v>
      </c>
      <c r="AW33" s="321">
        <v>8.83</v>
      </c>
      <c r="AX33" s="321">
        <v>8.9600000000000009</v>
      </c>
      <c r="AY33" s="382"/>
      <c r="AZ33" s="304">
        <v>8.9</v>
      </c>
      <c r="BA33" s="304">
        <v>8.83</v>
      </c>
      <c r="BB33" s="304">
        <v>9.3000000000000007</v>
      </c>
      <c r="BC33" s="304"/>
      <c r="BD33" s="304">
        <v>9.3000000000000007</v>
      </c>
      <c r="BE33" s="304">
        <v>7.94</v>
      </c>
      <c r="BF33" s="304">
        <v>7.09</v>
      </c>
      <c r="BG33" s="304">
        <v>7.16</v>
      </c>
      <c r="BH33" s="304">
        <v>8.16</v>
      </c>
      <c r="BI33" s="304"/>
      <c r="BJ33" s="304"/>
      <c r="BK33" s="304"/>
      <c r="BL33" s="107"/>
      <c r="BM33" s="307"/>
      <c r="BN33" s="3730" t="s">
        <v>171</v>
      </c>
      <c r="BO33" s="3731"/>
      <c r="BP33" s="62" t="s">
        <v>82</v>
      </c>
      <c r="BQ33" s="563" t="s">
        <v>82</v>
      </c>
      <c r="BR33" s="563" t="s">
        <v>82</v>
      </c>
      <c r="BS33" s="564" t="s">
        <v>82</v>
      </c>
      <c r="BT33" s="552">
        <v>0.24099999999999999</v>
      </c>
      <c r="BU33" s="553">
        <v>0.71</v>
      </c>
      <c r="BV33" s="553">
        <v>1.0169999999999999</v>
      </c>
      <c r="BW33" s="911"/>
      <c r="BX33" s="320"/>
      <c r="BY33" s="321">
        <v>1.103</v>
      </c>
      <c r="BZ33" s="321"/>
      <c r="CA33" s="322"/>
      <c r="CB33" s="320">
        <v>0.35</v>
      </c>
      <c r="CC33" s="321"/>
      <c r="CD33" s="321"/>
      <c r="CE33" s="322"/>
      <c r="CF33" s="320"/>
      <c r="CG33" s="321">
        <v>0.20100000000000001</v>
      </c>
      <c r="CH33" s="321"/>
      <c r="CI33" s="322"/>
      <c r="CJ33" s="320"/>
      <c r="CK33" s="321"/>
      <c r="CL33" s="321"/>
      <c r="CM33" s="322"/>
      <c r="CN33" s="380" t="s">
        <v>449</v>
      </c>
      <c r="CO33" s="321"/>
      <c r="CP33" s="321"/>
      <c r="CQ33" s="322"/>
      <c r="CR33" s="107"/>
      <c r="CS33" s="107"/>
      <c r="CT33" s="307"/>
      <c r="CU33" s="3730" t="s">
        <v>171</v>
      </c>
      <c r="CV33" s="3731"/>
      <c r="CW33" s="62"/>
      <c r="CX33" s="563"/>
      <c r="CY33" s="563"/>
      <c r="CZ33" s="564"/>
      <c r="DA33" s="552">
        <v>2.64</v>
      </c>
      <c r="DB33" s="553">
        <v>2.56</v>
      </c>
      <c r="DC33" s="553">
        <v>2.48</v>
      </c>
      <c r="DD33" s="565"/>
      <c r="DE33" s="943">
        <v>2.64</v>
      </c>
      <c r="DF33" s="321">
        <v>2.66</v>
      </c>
      <c r="DG33" s="1679"/>
      <c r="DH33" s="322"/>
      <c r="DI33" s="320">
        <v>2.6</v>
      </c>
      <c r="DJ33" s="321">
        <v>2.61</v>
      </c>
      <c r="DK33" s="321">
        <v>2.4700000000000002</v>
      </c>
      <c r="DL33" s="382"/>
      <c r="DM33" s="320">
        <v>2.5</v>
      </c>
      <c r="DN33" s="321">
        <v>2.57</v>
      </c>
      <c r="DO33" s="321">
        <v>2.56</v>
      </c>
      <c r="DP33" s="322"/>
      <c r="DQ33" s="371">
        <v>2.59</v>
      </c>
      <c r="DR33" s="321">
        <v>2.56</v>
      </c>
      <c r="DS33" s="321">
        <v>2.6</v>
      </c>
      <c r="DT33" s="322">
        <v>2.61</v>
      </c>
      <c r="DU33" s="371">
        <v>2.56</v>
      </c>
      <c r="DV33" s="321"/>
      <c r="DW33" s="321"/>
      <c r="DX33" s="322"/>
      <c r="DY33" s="107"/>
      <c r="DZ33" s="107"/>
      <c r="EA33" s="307"/>
      <c r="EB33" s="3730" t="s">
        <v>171</v>
      </c>
      <c r="EC33" s="3731"/>
      <c r="ED33" s="62"/>
      <c r="EE33" s="563"/>
      <c r="EF33" s="563"/>
      <c r="EG33" s="564"/>
      <c r="EH33" s="552">
        <v>41</v>
      </c>
      <c r="EI33" s="553">
        <v>39.799999999999997</v>
      </c>
      <c r="EJ33" s="553">
        <v>37.6</v>
      </c>
      <c r="EK33" s="565"/>
      <c r="EL33" s="943">
        <v>40.9</v>
      </c>
      <c r="EM33" s="321">
        <v>41.4</v>
      </c>
      <c r="EN33" s="1679"/>
      <c r="EO33" s="322"/>
      <c r="EP33" s="320">
        <v>40.6</v>
      </c>
      <c r="EQ33" s="321">
        <v>40.5</v>
      </c>
      <c r="ER33" s="321">
        <v>38.6</v>
      </c>
      <c r="ES33" s="382"/>
      <c r="ET33" s="320">
        <v>39</v>
      </c>
      <c r="EU33" s="321">
        <v>40</v>
      </c>
      <c r="EV33" s="321">
        <v>39.799999999999997</v>
      </c>
      <c r="EW33" s="322"/>
      <c r="EX33" s="371">
        <v>40.299999999999997</v>
      </c>
      <c r="EY33" s="321">
        <v>39.9</v>
      </c>
      <c r="EZ33" s="321">
        <v>40.4</v>
      </c>
      <c r="FA33" s="322">
        <v>40.6</v>
      </c>
      <c r="FB33" s="322">
        <v>39.9</v>
      </c>
      <c r="FC33" s="322"/>
      <c r="FD33" s="322"/>
      <c r="FE33" s="322"/>
    </row>
    <row r="34" spans="1:161" ht="15.75" thickBot="1">
      <c r="A34" s="107"/>
      <c r="B34" s="196"/>
      <c r="C34" s="107"/>
      <c r="D34" s="108"/>
      <c r="E34" s="122"/>
      <c r="F34" s="122"/>
      <c r="G34" s="122"/>
      <c r="H34" s="108"/>
      <c r="I34" s="108"/>
      <c r="J34" s="122"/>
      <c r="K34" s="218"/>
      <c r="L34" s="107"/>
      <c r="M34" s="107"/>
      <c r="N34" s="1661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20"/>
      <c r="AG34" s="120"/>
      <c r="AH34" s="196"/>
      <c r="AI34" s="107"/>
      <c r="AJ34" s="108"/>
      <c r="AK34" s="122"/>
      <c r="AL34" s="122"/>
      <c r="AM34" s="122"/>
      <c r="AN34" s="554"/>
      <c r="AO34" s="554"/>
      <c r="AP34" s="218"/>
      <c r="AQ34" s="218"/>
      <c r="AR34" s="107"/>
      <c r="AS34" s="107"/>
      <c r="AT34" s="580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7"/>
      <c r="BJ34" s="107"/>
      <c r="BK34" s="107"/>
      <c r="BL34" s="120"/>
      <c r="BM34" s="120"/>
      <c r="BN34" s="196"/>
      <c r="BO34" s="107"/>
      <c r="BP34" s="108"/>
      <c r="BQ34" s="122"/>
      <c r="BR34" s="122"/>
      <c r="BS34" s="122"/>
      <c r="BT34" s="554"/>
      <c r="BU34" s="554"/>
      <c r="BV34" s="554"/>
      <c r="BW34" s="56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  <c r="CP34" s="107"/>
      <c r="CQ34" s="107"/>
      <c r="CR34" s="107"/>
      <c r="CS34" s="120"/>
      <c r="CT34" s="120"/>
      <c r="CU34" s="196"/>
      <c r="CV34" s="107"/>
      <c r="CW34" s="108"/>
      <c r="CX34" s="122"/>
      <c r="CY34" s="122"/>
      <c r="CZ34" s="122"/>
      <c r="DA34" s="554"/>
      <c r="DB34" s="554"/>
      <c r="DC34" s="554"/>
      <c r="DD34" s="218"/>
      <c r="DE34" s="107"/>
      <c r="DF34" s="107"/>
      <c r="DG34" s="1021"/>
      <c r="DH34" s="107"/>
      <c r="DI34" s="107"/>
      <c r="DJ34" s="107"/>
      <c r="DK34" s="107"/>
      <c r="DL34" s="107"/>
      <c r="DM34" s="107"/>
      <c r="DN34" s="107"/>
      <c r="DO34" s="107"/>
      <c r="DP34" s="107"/>
      <c r="DQ34" s="107"/>
      <c r="DR34" s="107"/>
      <c r="DS34" s="107"/>
      <c r="DT34" s="107"/>
      <c r="DU34" s="107"/>
      <c r="DV34" s="107"/>
      <c r="DW34" s="107"/>
      <c r="DX34" s="107"/>
      <c r="DY34" s="107"/>
      <c r="DZ34" s="120"/>
      <c r="EA34" s="120"/>
      <c r="EB34" s="196"/>
      <c r="EC34" s="107"/>
      <c r="ED34" s="108"/>
      <c r="EE34" s="122"/>
      <c r="EF34" s="122"/>
      <c r="EG34" s="122"/>
      <c r="EH34" s="554"/>
      <c r="EI34" s="554"/>
      <c r="EJ34" s="554"/>
      <c r="EK34" s="218"/>
      <c r="EL34" s="107"/>
      <c r="EM34" s="107"/>
      <c r="EN34" s="1021"/>
      <c r="EO34" s="107"/>
      <c r="EP34" s="107"/>
      <c r="EQ34" s="107"/>
      <c r="ER34" s="107"/>
      <c r="ES34" s="107"/>
      <c r="ET34" s="107"/>
      <c r="EU34" s="107"/>
      <c r="EV34" s="107"/>
      <c r="EW34" s="107"/>
      <c r="EX34" s="107"/>
      <c r="EY34" s="107"/>
      <c r="EZ34" s="107"/>
      <c r="FA34" s="107"/>
    </row>
    <row r="35" spans="1:161" ht="15.75" thickBot="1">
      <c r="A35" s="597">
        <v>6</v>
      </c>
      <c r="B35" s="3732"/>
      <c r="C35" s="3732"/>
      <c r="D35" s="441"/>
      <c r="E35" s="441"/>
      <c r="F35" s="441"/>
      <c r="G35" s="441"/>
      <c r="H35" s="440"/>
      <c r="I35" s="441"/>
      <c r="J35" s="441"/>
      <c r="K35" s="556"/>
      <c r="L35" s="438"/>
      <c r="M35" s="438"/>
      <c r="N35" s="1662"/>
      <c r="O35" s="438"/>
      <c r="P35" s="438"/>
      <c r="Q35" s="438"/>
      <c r="R35" s="438"/>
      <c r="S35" s="439"/>
      <c r="T35" s="438"/>
      <c r="U35" s="438"/>
      <c r="V35" s="438"/>
      <c r="W35" s="439"/>
      <c r="X35" s="3724"/>
      <c r="Y35" s="3725"/>
      <c r="Z35" s="3725"/>
      <c r="AA35" s="3726"/>
      <c r="AB35" s="3724"/>
      <c r="AC35" s="3725"/>
      <c r="AD35" s="3725"/>
      <c r="AE35" s="3726"/>
      <c r="AF35" s="107"/>
      <c r="AG35" s="597">
        <v>6</v>
      </c>
      <c r="AH35" s="3732"/>
      <c r="AI35" s="3732"/>
      <c r="AJ35" s="441"/>
      <c r="AK35" s="441"/>
      <c r="AL35" s="441"/>
      <c r="AM35" s="441"/>
      <c r="AN35" s="440"/>
      <c r="AO35" s="441"/>
      <c r="AP35" s="441"/>
      <c r="AQ35" s="441"/>
      <c r="AR35" s="438"/>
      <c r="AS35" s="438"/>
      <c r="AT35" s="556"/>
      <c r="AU35" s="438"/>
      <c r="AV35" s="438"/>
      <c r="AW35" s="438"/>
      <c r="AX35" s="438"/>
      <c r="AY35" s="439"/>
      <c r="AZ35" s="3724"/>
      <c r="BA35" s="3725"/>
      <c r="BB35" s="3725"/>
      <c r="BC35" s="3726"/>
      <c r="BD35" s="3724"/>
      <c r="BE35" s="3725"/>
      <c r="BF35" s="3725"/>
      <c r="BG35" s="3726"/>
      <c r="BH35" s="3724"/>
      <c r="BI35" s="3725"/>
      <c r="BJ35" s="3725"/>
      <c r="BK35" s="3726"/>
      <c r="BL35" s="107"/>
      <c r="BM35" s="597">
        <v>6</v>
      </c>
      <c r="BN35" s="3732"/>
      <c r="BO35" s="3732"/>
      <c r="BP35" s="441"/>
      <c r="BQ35" s="441"/>
      <c r="BR35" s="441"/>
      <c r="BS35" s="441"/>
      <c r="BT35" s="556"/>
      <c r="BU35" s="556"/>
      <c r="BV35" s="441"/>
      <c r="BW35" s="576"/>
      <c r="BX35" s="438"/>
      <c r="BY35" s="438"/>
      <c r="BZ35" s="438"/>
      <c r="CA35" s="438"/>
      <c r="CB35" s="438"/>
      <c r="CC35" s="438"/>
      <c r="CD35" s="438"/>
      <c r="CE35" s="439"/>
      <c r="CF35" s="438"/>
      <c r="CG35" s="438"/>
      <c r="CH35" s="438"/>
      <c r="CI35" s="439"/>
      <c r="CJ35" s="438"/>
      <c r="CK35" s="438"/>
      <c r="CL35" s="438"/>
      <c r="CM35" s="439"/>
      <c r="CN35" s="438"/>
      <c r="CO35" s="438"/>
      <c r="CP35" s="438"/>
      <c r="CQ35" s="439"/>
      <c r="CR35" s="107"/>
      <c r="CS35" s="107"/>
      <c r="CT35" s="597">
        <v>6</v>
      </c>
      <c r="CU35" s="3732"/>
      <c r="CV35" s="3732"/>
      <c r="CW35" s="441"/>
      <c r="CX35" s="441"/>
      <c r="CY35" s="441"/>
      <c r="CZ35" s="441"/>
      <c r="DA35" s="556"/>
      <c r="DB35" s="556"/>
      <c r="DC35" s="441"/>
      <c r="DD35" s="556"/>
      <c r="DE35" s="438"/>
      <c r="DF35" s="438"/>
      <c r="DG35" s="1675"/>
      <c r="DH35" s="438"/>
      <c r="DI35" s="438"/>
      <c r="DJ35" s="438"/>
      <c r="DK35" s="438"/>
      <c r="DL35" s="439"/>
      <c r="DM35" s="3727"/>
      <c r="DN35" s="3728"/>
      <c r="DO35" s="3728"/>
      <c r="DP35" s="3729"/>
      <c r="DQ35" s="3727"/>
      <c r="DR35" s="3728"/>
      <c r="DS35" s="3728"/>
      <c r="DT35" s="3729"/>
      <c r="DU35" s="3727"/>
      <c r="DV35" s="3728"/>
      <c r="DW35" s="3728"/>
      <c r="DX35" s="3729"/>
      <c r="DY35" s="107"/>
      <c r="DZ35" s="107"/>
      <c r="EA35" s="597">
        <v>6</v>
      </c>
      <c r="EB35" s="3732"/>
      <c r="EC35" s="3732"/>
      <c r="ED35" s="441"/>
      <c r="EE35" s="441"/>
      <c r="EF35" s="441"/>
      <c r="EG35" s="441"/>
      <c r="EH35" s="556"/>
      <c r="EI35" s="556"/>
      <c r="EJ35" s="441"/>
      <c r="EK35" s="556"/>
      <c r="EL35" s="438"/>
      <c r="EM35" s="438"/>
      <c r="EN35" s="1675"/>
      <c r="EO35" s="438"/>
      <c r="EP35" s="438"/>
      <c r="EQ35" s="438"/>
      <c r="ER35" s="438"/>
      <c r="ES35" s="438"/>
      <c r="ET35" s="3297"/>
      <c r="EU35" s="1659"/>
      <c r="EV35" s="1659"/>
      <c r="EW35" s="3298"/>
      <c r="EX35" s="1659"/>
      <c r="EY35" s="1659"/>
      <c r="EZ35" s="1659"/>
      <c r="FA35" s="3298"/>
      <c r="FB35" s="1659"/>
      <c r="FC35" s="1659"/>
      <c r="FD35" s="1659"/>
      <c r="FE35" s="3298"/>
    </row>
    <row r="36" spans="1:161">
      <c r="A36" s="332"/>
      <c r="B36" s="3735" t="s">
        <v>173</v>
      </c>
      <c r="C36" s="3736"/>
      <c r="D36" s="251">
        <v>7.23</v>
      </c>
      <c r="E36" s="566" t="s">
        <v>82</v>
      </c>
      <c r="F36" s="566">
        <v>5.41</v>
      </c>
      <c r="G36" s="578">
        <v>7.49</v>
      </c>
      <c r="H36" s="437">
        <v>6.03</v>
      </c>
      <c r="I36" s="254">
        <v>6.95</v>
      </c>
      <c r="J36" s="254">
        <v>7.91</v>
      </c>
      <c r="K36" s="559">
        <v>7.46</v>
      </c>
      <c r="L36" s="941">
        <v>7.46</v>
      </c>
      <c r="M36" s="389">
        <v>8.81</v>
      </c>
      <c r="N36" s="760"/>
      <c r="O36" s="1656"/>
      <c r="P36" s="380">
        <v>7.33</v>
      </c>
      <c r="Q36" s="387">
        <v>7.18</v>
      </c>
      <c r="R36" s="387" t="s">
        <v>109</v>
      </c>
      <c r="S36" s="388"/>
      <c r="T36" s="380"/>
      <c r="U36" s="387">
        <v>7.3</v>
      </c>
      <c r="V36" s="387">
        <v>8.5399999999999991</v>
      </c>
      <c r="W36" s="388"/>
      <c r="X36" s="388">
        <v>11.87</v>
      </c>
      <c r="Y36" s="388">
        <v>7.14</v>
      </c>
      <c r="Z36" s="388">
        <v>8.89</v>
      </c>
      <c r="AA36" s="388">
        <v>7.17</v>
      </c>
      <c r="AB36" s="388">
        <v>8.5299999999999994</v>
      </c>
      <c r="AC36" s="388"/>
      <c r="AD36" s="388"/>
      <c r="AE36" s="388"/>
      <c r="AF36" s="107"/>
      <c r="AG36" s="332"/>
      <c r="AH36" s="3735" t="s">
        <v>173</v>
      </c>
      <c r="AI36" s="3736"/>
      <c r="AJ36" s="254" t="s">
        <v>82</v>
      </c>
      <c r="AK36" s="557" t="s">
        <v>82</v>
      </c>
      <c r="AL36" s="557" t="s">
        <v>82</v>
      </c>
      <c r="AM36" s="558">
        <v>9.9600000000000009</v>
      </c>
      <c r="AN36" s="437">
        <v>10.029999999999999</v>
      </c>
      <c r="AO36" s="254">
        <v>9.1</v>
      </c>
      <c r="AP36" s="254">
        <v>9.74</v>
      </c>
      <c r="AQ36" s="573">
        <v>9.01</v>
      </c>
      <c r="AR36" s="941">
        <v>9.0299999999999994</v>
      </c>
      <c r="AS36" s="387">
        <v>9.08</v>
      </c>
      <c r="AT36" s="1672"/>
      <c r="AU36" s="388"/>
      <c r="AV36" s="380">
        <v>9.27</v>
      </c>
      <c r="AW36" s="387">
        <v>9.1</v>
      </c>
      <c r="AX36" s="387">
        <v>9.57</v>
      </c>
      <c r="AY36" s="389"/>
      <c r="AZ36" s="387">
        <v>9.18</v>
      </c>
      <c r="BA36" s="387">
        <v>9.17</v>
      </c>
      <c r="BB36" s="387">
        <v>9.56</v>
      </c>
      <c r="BC36" s="387"/>
      <c r="BD36" s="387">
        <v>9.64</v>
      </c>
      <c r="BE36" s="387">
        <v>8.19</v>
      </c>
      <c r="BF36" s="387">
        <v>7.02</v>
      </c>
      <c r="BG36" s="387">
        <v>7.05</v>
      </c>
      <c r="BH36" s="387">
        <v>8.2799999999999994</v>
      </c>
      <c r="BI36" s="387"/>
      <c r="BJ36" s="387"/>
      <c r="BK36" s="387"/>
      <c r="BL36" s="107"/>
      <c r="BM36" s="332"/>
      <c r="BN36" s="3735" t="s">
        <v>173</v>
      </c>
      <c r="BO36" s="3736"/>
      <c r="BP36" s="254" t="s">
        <v>82</v>
      </c>
      <c r="BQ36" s="557" t="s">
        <v>82</v>
      </c>
      <c r="BR36" s="557" t="s">
        <v>82</v>
      </c>
      <c r="BS36" s="558" t="s">
        <v>82</v>
      </c>
      <c r="BT36" s="548">
        <v>0.35899999999999999</v>
      </c>
      <c r="BU36" s="549">
        <v>0.78600000000000003</v>
      </c>
      <c r="BV36" s="549">
        <v>0.96599999999999997</v>
      </c>
      <c r="BW36" s="909"/>
      <c r="BX36" s="380"/>
      <c r="BY36" s="387">
        <v>1.0249999999999999</v>
      </c>
      <c r="BZ36" s="387"/>
      <c r="CA36" s="388"/>
      <c r="CB36" s="380">
        <v>0.16</v>
      </c>
      <c r="CC36" s="387"/>
      <c r="CD36" s="387"/>
      <c r="CE36" s="388"/>
      <c r="CF36" s="380"/>
      <c r="CG36" s="387">
        <v>0.189</v>
      </c>
      <c r="CH36" s="387"/>
      <c r="CI36" s="388"/>
      <c r="CJ36" s="380"/>
      <c r="CK36" s="387"/>
      <c r="CL36" s="387"/>
      <c r="CM36" s="388"/>
      <c r="CN36" s="380" t="s">
        <v>449</v>
      </c>
      <c r="CO36" s="387"/>
      <c r="CP36" s="387"/>
      <c r="CQ36" s="388"/>
      <c r="CR36" s="107"/>
      <c r="CS36" s="107"/>
      <c r="CT36" s="332"/>
      <c r="CU36" s="3735" t="s">
        <v>173</v>
      </c>
      <c r="CV36" s="3736"/>
      <c r="CW36" s="254"/>
      <c r="CX36" s="557"/>
      <c r="CY36" s="557"/>
      <c r="CZ36" s="558">
        <v>2.38</v>
      </c>
      <c r="DA36" s="548">
        <v>2.57</v>
      </c>
      <c r="DB36" s="549">
        <v>2.48</v>
      </c>
      <c r="DC36" s="549">
        <v>1.1499999999999999</v>
      </c>
      <c r="DD36" s="559"/>
      <c r="DE36" s="941">
        <v>2.57</v>
      </c>
      <c r="DF36" s="387">
        <v>2.6</v>
      </c>
      <c r="DG36" s="1677"/>
      <c r="DH36" s="388"/>
      <c r="DI36" s="380">
        <v>2.52</v>
      </c>
      <c r="DJ36" s="387">
        <v>2.61</v>
      </c>
      <c r="DK36" s="387">
        <v>2.0299999999999998</v>
      </c>
      <c r="DL36" s="389"/>
      <c r="DM36" s="357">
        <v>2.48</v>
      </c>
      <c r="DN36" s="358">
        <v>2.57</v>
      </c>
      <c r="DO36" s="358">
        <v>2.14</v>
      </c>
      <c r="DP36" s="354"/>
      <c r="DQ36" s="369">
        <v>2.5</v>
      </c>
      <c r="DR36" s="358">
        <v>2.57</v>
      </c>
      <c r="DS36" s="358">
        <v>1.83</v>
      </c>
      <c r="DT36" s="354">
        <v>2.5299999999999998</v>
      </c>
      <c r="DU36" s="369">
        <v>2.4900000000000002</v>
      </c>
      <c r="DV36" s="358"/>
      <c r="DW36" s="358"/>
      <c r="DX36" s="354"/>
      <c r="DY36" s="107"/>
      <c r="DZ36" s="107"/>
      <c r="EA36" s="332"/>
      <c r="EB36" s="3735" t="s">
        <v>173</v>
      </c>
      <c r="EC36" s="3736"/>
      <c r="ED36" s="254"/>
      <c r="EE36" s="557"/>
      <c r="EF36" s="557"/>
      <c r="EG36" s="558">
        <v>37.200000000000003</v>
      </c>
      <c r="EH36" s="548">
        <v>40</v>
      </c>
      <c r="EI36" s="549">
        <v>38.700000000000003</v>
      </c>
      <c r="EJ36" s="549">
        <v>19.600000000000001</v>
      </c>
      <c r="EK36" s="559"/>
      <c r="EL36" s="941">
        <v>40</v>
      </c>
      <c r="EM36" s="387">
        <v>40.4</v>
      </c>
      <c r="EN36" s="1677"/>
      <c r="EO36" s="388"/>
      <c r="EP36" s="380">
        <v>39.4</v>
      </c>
      <c r="EQ36" s="387">
        <v>40.5</v>
      </c>
      <c r="ER36" s="387">
        <v>32.200000000000003</v>
      </c>
      <c r="ES36" s="389"/>
      <c r="ET36" s="318">
        <v>38.700000000000003</v>
      </c>
      <c r="EU36" s="304">
        <v>40</v>
      </c>
      <c r="EV36" s="304">
        <v>33.9</v>
      </c>
      <c r="EW36" s="319"/>
      <c r="EX36" s="370">
        <v>39.1</v>
      </c>
      <c r="EY36" s="304">
        <v>40</v>
      </c>
      <c r="EZ36" s="304">
        <v>29.3</v>
      </c>
      <c r="FA36" s="319">
        <v>39.5</v>
      </c>
      <c r="FB36" s="319">
        <v>38.9</v>
      </c>
      <c r="FC36" s="319"/>
      <c r="FD36" s="319"/>
      <c r="FE36" s="319"/>
    </row>
    <row r="37" spans="1:161">
      <c r="A37" s="390"/>
      <c r="B37" s="3737" t="s">
        <v>172</v>
      </c>
      <c r="C37" s="3738"/>
      <c r="D37" s="41">
        <v>6.89</v>
      </c>
      <c r="E37" s="560" t="s">
        <v>82</v>
      </c>
      <c r="F37" s="560">
        <v>4.83</v>
      </c>
      <c r="G37" s="574">
        <v>3.32</v>
      </c>
      <c r="H37" s="435">
        <v>5.08</v>
      </c>
      <c r="I37" s="41">
        <v>4.2</v>
      </c>
      <c r="J37" s="41">
        <v>3.69</v>
      </c>
      <c r="K37" s="562">
        <v>6.19</v>
      </c>
      <c r="L37" s="942">
        <v>6.18</v>
      </c>
      <c r="M37" s="381">
        <v>7.18</v>
      </c>
      <c r="N37" s="760"/>
      <c r="O37" s="1657"/>
      <c r="P37" s="318">
        <v>6.02</v>
      </c>
      <c r="Q37" s="304">
        <v>6.63</v>
      </c>
      <c r="R37" s="387" t="s">
        <v>109</v>
      </c>
      <c r="S37" s="319"/>
      <c r="T37" s="318"/>
      <c r="U37" s="304">
        <v>5.71</v>
      </c>
      <c r="V37" s="387">
        <v>4.03</v>
      </c>
      <c r="W37" s="319"/>
      <c r="X37" s="319">
        <v>8.0399999999999991</v>
      </c>
      <c r="Y37" s="319">
        <v>4.3899999999999997</v>
      </c>
      <c r="Z37" s="319">
        <v>4.26</v>
      </c>
      <c r="AA37" s="319">
        <v>5.59</v>
      </c>
      <c r="AB37" s="319">
        <v>6.03</v>
      </c>
      <c r="AC37" s="319"/>
      <c r="AD37" s="319"/>
      <c r="AE37" s="319"/>
      <c r="AF37" s="107"/>
      <c r="AG37" s="390"/>
      <c r="AH37" s="3737" t="s">
        <v>172</v>
      </c>
      <c r="AI37" s="3738"/>
      <c r="AJ37" s="41" t="s">
        <v>82</v>
      </c>
      <c r="AK37" s="560" t="s">
        <v>82</v>
      </c>
      <c r="AL37" s="560" t="s">
        <v>82</v>
      </c>
      <c r="AM37" s="561">
        <v>9.68</v>
      </c>
      <c r="AN37" s="435">
        <v>9.9700000000000006</v>
      </c>
      <c r="AO37" s="41">
        <v>8.85</v>
      </c>
      <c r="AP37" s="41">
        <v>8.9499999999999993</v>
      </c>
      <c r="AQ37" s="574">
        <v>8.8699999999999992</v>
      </c>
      <c r="AR37" s="942">
        <v>8.84</v>
      </c>
      <c r="AS37" s="304">
        <v>8.9600000000000009</v>
      </c>
      <c r="AT37" s="1673"/>
      <c r="AU37" s="319"/>
      <c r="AV37" s="318">
        <v>8.9499999999999993</v>
      </c>
      <c r="AW37" s="304">
        <v>8.9700000000000006</v>
      </c>
      <c r="AX37" s="304">
        <v>9.06</v>
      </c>
      <c r="AY37" s="381"/>
      <c r="AZ37" s="304">
        <v>8.9600000000000009</v>
      </c>
      <c r="BA37" s="304">
        <v>8.9499999999999993</v>
      </c>
      <c r="BB37" s="304">
        <v>9.2899999999999991</v>
      </c>
      <c r="BC37" s="304"/>
      <c r="BD37" s="304">
        <v>9.3699999999999992</v>
      </c>
      <c r="BE37" s="304">
        <v>8</v>
      </c>
      <c r="BF37" s="304">
        <v>7.01</v>
      </c>
      <c r="BG37" s="304">
        <v>7.16</v>
      </c>
      <c r="BH37" s="304">
        <v>8.25</v>
      </c>
      <c r="BI37" s="304"/>
      <c r="BJ37" s="304"/>
      <c r="BK37" s="304"/>
      <c r="BL37" s="107"/>
      <c r="BM37" s="390"/>
      <c r="BN37" s="3737" t="s">
        <v>172</v>
      </c>
      <c r="BO37" s="3738"/>
      <c r="BP37" s="41" t="s">
        <v>82</v>
      </c>
      <c r="BQ37" s="560" t="s">
        <v>82</v>
      </c>
      <c r="BR37" s="560" t="s">
        <v>82</v>
      </c>
      <c r="BS37" s="561" t="s">
        <v>82</v>
      </c>
      <c r="BT37" s="550">
        <v>0.27</v>
      </c>
      <c r="BU37" s="551">
        <v>0.65600000000000003</v>
      </c>
      <c r="BV37" s="551">
        <v>0.91600000000000004</v>
      </c>
      <c r="BW37" s="910"/>
      <c r="BX37" s="318"/>
      <c r="BY37" s="304">
        <v>0.88800000000000001</v>
      </c>
      <c r="BZ37" s="304"/>
      <c r="CA37" s="319"/>
      <c r="CB37" s="318">
        <v>0.17</v>
      </c>
      <c r="CC37" s="304"/>
      <c r="CD37" s="304"/>
      <c r="CE37" s="319"/>
      <c r="CF37" s="318"/>
      <c r="CG37" s="304">
        <v>0.17499999999999999</v>
      </c>
      <c r="CH37" s="304"/>
      <c r="CI37" s="319"/>
      <c r="CJ37" s="318"/>
      <c r="CK37" s="304"/>
      <c r="CL37" s="304"/>
      <c r="CM37" s="319"/>
      <c r="CN37" s="380">
        <v>1.2999999999999999E-2</v>
      </c>
      <c r="CO37" s="304"/>
      <c r="CP37" s="304"/>
      <c r="CQ37" s="319"/>
      <c r="CR37" s="107"/>
      <c r="CS37" s="107"/>
      <c r="CT37" s="390"/>
      <c r="CU37" s="3737" t="s">
        <v>172</v>
      </c>
      <c r="CV37" s="3738"/>
      <c r="CW37" s="41"/>
      <c r="CX37" s="560"/>
      <c r="CY37" s="560"/>
      <c r="CZ37" s="561">
        <v>2.58</v>
      </c>
      <c r="DA37" s="550">
        <v>2.61</v>
      </c>
      <c r="DB37" s="551">
        <v>2.5</v>
      </c>
      <c r="DC37" s="551">
        <v>2.4</v>
      </c>
      <c r="DD37" s="562"/>
      <c r="DE37" s="942">
        <v>2.62</v>
      </c>
      <c r="DF37" s="304">
        <v>2.59</v>
      </c>
      <c r="DG37" s="1678"/>
      <c r="DH37" s="319"/>
      <c r="DI37" s="318">
        <v>2.5499999999999998</v>
      </c>
      <c r="DJ37" s="304">
        <v>2.62</v>
      </c>
      <c r="DK37" s="304">
        <v>2.41</v>
      </c>
      <c r="DL37" s="381"/>
      <c r="DM37" s="318">
        <v>2.4900000000000002</v>
      </c>
      <c r="DN37" s="304">
        <v>2.6</v>
      </c>
      <c r="DO37" s="304">
        <v>2.52</v>
      </c>
      <c r="DP37" s="319"/>
      <c r="DQ37" s="370">
        <v>2.57</v>
      </c>
      <c r="DR37" s="304">
        <v>2.58</v>
      </c>
      <c r="DS37" s="304">
        <v>2.5499999999999998</v>
      </c>
      <c r="DT37" s="319">
        <v>2.56</v>
      </c>
      <c r="DU37" s="370">
        <v>2.5299999999999998</v>
      </c>
      <c r="DV37" s="304"/>
      <c r="DW37" s="304"/>
      <c r="DX37" s="319"/>
      <c r="DY37" s="107"/>
      <c r="DZ37" s="107"/>
      <c r="EA37" s="390"/>
      <c r="EB37" s="3737" t="s">
        <v>172</v>
      </c>
      <c r="EC37" s="3738"/>
      <c r="ED37" s="41"/>
      <c r="EE37" s="560"/>
      <c r="EF37" s="560"/>
      <c r="EG37" s="561">
        <v>40.200000000000003</v>
      </c>
      <c r="EH37" s="550">
        <v>40.6</v>
      </c>
      <c r="EI37" s="551">
        <v>39.1</v>
      </c>
      <c r="EJ37" s="551">
        <v>37.6</v>
      </c>
      <c r="EK37" s="562"/>
      <c r="EL37" s="942">
        <v>40.9</v>
      </c>
      <c r="EM37" s="304">
        <v>40.4</v>
      </c>
      <c r="EN37" s="1678"/>
      <c r="EO37" s="319"/>
      <c r="EP37" s="318">
        <v>39.799999999999997</v>
      </c>
      <c r="EQ37" s="304">
        <v>40.700000000000003</v>
      </c>
      <c r="ER37" s="304">
        <v>37.799999999999997</v>
      </c>
      <c r="ES37" s="381"/>
      <c r="ET37" s="318">
        <v>38.799999999999997</v>
      </c>
      <c r="EU37" s="304">
        <v>40.299999999999997</v>
      </c>
      <c r="EV37" s="304">
        <v>39.200000000000003</v>
      </c>
      <c r="EW37" s="319"/>
      <c r="EX37" s="370">
        <v>40.1</v>
      </c>
      <c r="EY37" s="304">
        <v>40.1</v>
      </c>
      <c r="EZ37" s="304">
        <v>39.700000000000003</v>
      </c>
      <c r="FA37" s="319">
        <v>39.799999999999997</v>
      </c>
      <c r="FB37" s="319">
        <v>39.5</v>
      </c>
      <c r="FC37" s="319"/>
      <c r="FD37" s="319"/>
      <c r="FE37" s="319"/>
    </row>
    <row r="38" spans="1:161" ht="15.75" thickBot="1">
      <c r="A38" s="307"/>
      <c r="B38" s="3730" t="s">
        <v>171</v>
      </c>
      <c r="C38" s="3731"/>
      <c r="D38" s="62">
        <v>6.68</v>
      </c>
      <c r="E38" s="563" t="s">
        <v>82</v>
      </c>
      <c r="F38" s="563">
        <v>4.42</v>
      </c>
      <c r="G38" s="575">
        <v>3.66</v>
      </c>
      <c r="H38" s="436">
        <v>4.82</v>
      </c>
      <c r="I38" s="62">
        <v>3.6</v>
      </c>
      <c r="J38" s="62">
        <v>3.52</v>
      </c>
      <c r="K38" s="565">
        <v>5.45</v>
      </c>
      <c r="L38" s="943">
        <v>5.66</v>
      </c>
      <c r="M38" s="382">
        <v>5.99</v>
      </c>
      <c r="N38" s="760"/>
      <c r="O38" s="1658"/>
      <c r="P38" s="320">
        <v>5.82</v>
      </c>
      <c r="Q38" s="321">
        <v>6.25</v>
      </c>
      <c r="R38" s="387" t="s">
        <v>109</v>
      </c>
      <c r="S38" s="322"/>
      <c r="T38" s="320"/>
      <c r="U38" s="321">
        <v>6.49</v>
      </c>
      <c r="V38" s="387">
        <v>3.43</v>
      </c>
      <c r="W38" s="322"/>
      <c r="X38" s="322">
        <v>7.34</v>
      </c>
      <c r="Y38" s="322">
        <v>2.9</v>
      </c>
      <c r="Z38" s="322">
        <v>4.16</v>
      </c>
      <c r="AA38" s="322">
        <v>4.9000000000000004</v>
      </c>
      <c r="AB38" s="322">
        <v>5.38</v>
      </c>
      <c r="AC38" s="322"/>
      <c r="AD38" s="322"/>
      <c r="AE38" s="322"/>
      <c r="AF38" s="107"/>
      <c r="AG38" s="307"/>
      <c r="AH38" s="3730" t="s">
        <v>171</v>
      </c>
      <c r="AI38" s="3731"/>
      <c r="AJ38" s="62" t="s">
        <v>82</v>
      </c>
      <c r="AK38" s="563" t="s">
        <v>82</v>
      </c>
      <c r="AL38" s="563" t="s">
        <v>82</v>
      </c>
      <c r="AM38" s="564">
        <v>9.8000000000000007</v>
      </c>
      <c r="AN38" s="436">
        <v>9.9499999999999993</v>
      </c>
      <c r="AO38" s="62">
        <v>8.74</v>
      </c>
      <c r="AP38" s="563">
        <v>9.08</v>
      </c>
      <c r="AQ38" s="575">
        <v>8.8800000000000008</v>
      </c>
      <c r="AR38" s="943">
        <v>8.91</v>
      </c>
      <c r="AS38" s="321">
        <v>8.8000000000000007</v>
      </c>
      <c r="AT38" s="1674"/>
      <c r="AU38" s="322"/>
      <c r="AV38" s="320">
        <v>9.07</v>
      </c>
      <c r="AW38" s="321">
        <v>8.85</v>
      </c>
      <c r="AX38" s="321">
        <v>9.08</v>
      </c>
      <c r="AY38" s="382"/>
      <c r="AZ38" s="304">
        <v>8.9499999999999993</v>
      </c>
      <c r="BA38" s="304">
        <v>8.85</v>
      </c>
      <c r="BB38" s="304">
        <v>9.2100000000000009</v>
      </c>
      <c r="BC38" s="304"/>
      <c r="BD38" s="304">
        <v>9.33</v>
      </c>
      <c r="BE38" s="304">
        <v>7.98</v>
      </c>
      <c r="BF38" s="304">
        <v>7.04</v>
      </c>
      <c r="BG38" s="304">
        <v>7.16</v>
      </c>
      <c r="BH38" s="304">
        <v>8.19</v>
      </c>
      <c r="BI38" s="304"/>
      <c r="BJ38" s="304"/>
      <c r="BK38" s="304"/>
      <c r="BL38" s="107"/>
      <c r="BM38" s="307"/>
      <c r="BN38" s="3730" t="s">
        <v>171</v>
      </c>
      <c r="BO38" s="3731"/>
      <c r="BP38" s="62" t="s">
        <v>82</v>
      </c>
      <c r="BQ38" s="563" t="s">
        <v>82</v>
      </c>
      <c r="BR38" s="563" t="s">
        <v>82</v>
      </c>
      <c r="BS38" s="564" t="s">
        <v>82</v>
      </c>
      <c r="BT38" s="552">
        <v>0.56699999999999995</v>
      </c>
      <c r="BU38" s="553">
        <v>0.58899999999999997</v>
      </c>
      <c r="BV38" s="572">
        <v>4.7E-2</v>
      </c>
      <c r="BW38" s="911"/>
      <c r="BX38" s="320"/>
      <c r="BY38" s="321">
        <v>8.9849999999999994</v>
      </c>
      <c r="BZ38" s="321"/>
      <c r="CA38" s="322"/>
      <c r="CB38" s="320">
        <v>0.45</v>
      </c>
      <c r="CC38" s="321"/>
      <c r="CD38" s="321"/>
      <c r="CE38" s="322"/>
      <c r="CF38" s="320"/>
      <c r="CG38" s="321">
        <v>0.20899999999999999</v>
      </c>
      <c r="CH38" s="321"/>
      <c r="CI38" s="322"/>
      <c r="CJ38" s="320"/>
      <c r="CK38" s="321"/>
      <c r="CL38" s="321"/>
      <c r="CM38" s="322"/>
      <c r="CN38" s="380" t="s">
        <v>449</v>
      </c>
      <c r="CO38" s="321"/>
      <c r="CP38" s="321"/>
      <c r="CQ38" s="322"/>
      <c r="CR38" s="107"/>
      <c r="CS38" s="107"/>
      <c r="CT38" s="307"/>
      <c r="CU38" s="3730" t="s">
        <v>171</v>
      </c>
      <c r="CV38" s="3731"/>
      <c r="CW38" s="62"/>
      <c r="CX38" s="563"/>
      <c r="CY38" s="563"/>
      <c r="CZ38" s="564">
        <v>2.6</v>
      </c>
      <c r="DA38" s="552">
        <v>2.59</v>
      </c>
      <c r="DB38" s="553">
        <v>2.5499999999999998</v>
      </c>
      <c r="DC38" s="572">
        <v>2.46</v>
      </c>
      <c r="DD38" s="565"/>
      <c r="DE38" s="943">
        <v>2.63</v>
      </c>
      <c r="DF38" s="321">
        <v>2.67</v>
      </c>
      <c r="DG38" s="1679"/>
      <c r="DH38" s="322"/>
      <c r="DI38" s="320">
        <v>2.59</v>
      </c>
      <c r="DJ38" s="321">
        <v>2.62</v>
      </c>
      <c r="DK38" s="321">
        <v>2.4500000000000002</v>
      </c>
      <c r="DL38" s="382"/>
      <c r="DM38" s="320">
        <v>2.4500000000000002</v>
      </c>
      <c r="DN38" s="321">
        <v>2.59</v>
      </c>
      <c r="DO38" s="321">
        <v>2.54</v>
      </c>
      <c r="DP38" s="322"/>
      <c r="DQ38" s="371">
        <v>2.58</v>
      </c>
      <c r="DR38" s="321">
        <v>2.58</v>
      </c>
      <c r="DS38" s="321">
        <v>2.6</v>
      </c>
      <c r="DT38" s="322">
        <v>2.6</v>
      </c>
      <c r="DU38" s="371">
        <v>2.5499999999999998</v>
      </c>
      <c r="DV38" s="321"/>
      <c r="DW38" s="321"/>
      <c r="DX38" s="322"/>
      <c r="DY38" s="107"/>
      <c r="DZ38" s="107"/>
      <c r="EA38" s="307"/>
      <c r="EB38" s="3730" t="s">
        <v>171</v>
      </c>
      <c r="EC38" s="3731"/>
      <c r="ED38" s="62"/>
      <c r="EE38" s="563"/>
      <c r="EF38" s="563"/>
      <c r="EG38" s="564">
        <v>40.4</v>
      </c>
      <c r="EH38" s="552">
        <v>40.4</v>
      </c>
      <c r="EI38" s="553">
        <v>39.700000000000003</v>
      </c>
      <c r="EJ38" s="572">
        <v>38.200000000000003</v>
      </c>
      <c r="EK38" s="565"/>
      <c r="EL38" s="943">
        <v>40.9</v>
      </c>
      <c r="EM38" s="321">
        <v>41.4</v>
      </c>
      <c r="EN38" s="1679"/>
      <c r="EO38" s="322"/>
      <c r="EP38" s="320">
        <v>40</v>
      </c>
      <c r="EQ38" s="321">
        <v>40.799999999999997</v>
      </c>
      <c r="ER38" s="321">
        <v>38.1</v>
      </c>
      <c r="ES38" s="382"/>
      <c r="ET38" s="320">
        <v>38.299999999999997</v>
      </c>
      <c r="EU38" s="321">
        <v>40.299999999999997</v>
      </c>
      <c r="EV38" s="321">
        <v>39.700000000000003</v>
      </c>
      <c r="EW38" s="322"/>
      <c r="EX38" s="371">
        <v>40.200000000000003</v>
      </c>
      <c r="EY38" s="321">
        <v>40.1</v>
      </c>
      <c r="EZ38" s="321">
        <v>40.4</v>
      </c>
      <c r="FA38" s="322">
        <v>40.4</v>
      </c>
      <c r="FB38" s="322">
        <v>39.700000000000003</v>
      </c>
      <c r="FC38" s="322"/>
      <c r="FD38" s="322"/>
      <c r="FE38" s="322"/>
    </row>
    <row r="39" spans="1:161" ht="15.75" thickBot="1">
      <c r="A39" s="107"/>
      <c r="B39" s="196"/>
      <c r="C39" s="107"/>
      <c r="D39" s="108"/>
      <c r="E39" s="122"/>
      <c r="F39" s="122"/>
      <c r="G39" s="122"/>
      <c r="H39" s="108"/>
      <c r="I39" s="108"/>
      <c r="J39" s="108"/>
      <c r="K39" s="218"/>
      <c r="L39" s="107"/>
      <c r="M39" s="107"/>
      <c r="N39" s="1661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20"/>
      <c r="AG39" s="120"/>
      <c r="AH39" s="196"/>
      <c r="AI39" s="107"/>
      <c r="AJ39" s="108"/>
      <c r="AK39" s="122"/>
      <c r="AL39" s="122"/>
      <c r="AM39" s="122"/>
      <c r="AN39" s="554"/>
      <c r="AO39" s="554"/>
      <c r="AP39" s="218"/>
      <c r="AQ39" s="218"/>
      <c r="AR39" s="107"/>
      <c r="AS39" s="107"/>
      <c r="AT39" s="580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107"/>
      <c r="BJ39" s="107"/>
      <c r="BK39" s="107"/>
      <c r="BL39" s="120"/>
      <c r="BM39" s="120"/>
      <c r="BN39" s="196"/>
      <c r="BO39" s="107"/>
      <c r="BP39" s="108"/>
      <c r="BQ39" s="122"/>
      <c r="BR39" s="122"/>
      <c r="BS39" s="122"/>
      <c r="BT39" s="554"/>
      <c r="BU39" s="554"/>
      <c r="BV39" s="218"/>
      <c r="BW39" s="56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07"/>
      <c r="CK39" s="107"/>
      <c r="CL39" s="107"/>
      <c r="CM39" s="107"/>
      <c r="CN39" s="107"/>
      <c r="CO39" s="107"/>
      <c r="CP39" s="107"/>
      <c r="CQ39" s="107"/>
      <c r="CR39" s="107"/>
      <c r="CS39" s="120"/>
      <c r="CT39" s="120"/>
      <c r="CU39" s="196"/>
      <c r="CV39" s="107"/>
      <c r="CW39" s="108"/>
      <c r="CX39" s="122"/>
      <c r="CY39" s="122"/>
      <c r="CZ39" s="122"/>
      <c r="DA39" s="554"/>
      <c r="DB39" s="554"/>
      <c r="DC39" s="218"/>
      <c r="DD39" s="218"/>
      <c r="DE39" s="107"/>
      <c r="DF39" s="107"/>
      <c r="DG39" s="1021"/>
      <c r="DH39" s="107"/>
      <c r="DI39" s="107"/>
      <c r="DJ39" s="107"/>
      <c r="DK39" s="107"/>
      <c r="DL39" s="107"/>
      <c r="DM39" s="107"/>
      <c r="DN39" s="107"/>
      <c r="DO39" s="107"/>
      <c r="DP39" s="107"/>
      <c r="DQ39" s="107"/>
      <c r="DR39" s="107"/>
      <c r="DS39" s="107"/>
      <c r="DT39" s="107"/>
      <c r="DU39" s="107"/>
      <c r="DV39" s="107"/>
      <c r="DW39" s="107"/>
      <c r="DX39" s="107"/>
      <c r="DY39" s="107"/>
      <c r="DZ39" s="120"/>
      <c r="EA39" s="120"/>
      <c r="EB39" s="196"/>
      <c r="EC39" s="107"/>
      <c r="ED39" s="108"/>
      <c r="EE39" s="122"/>
      <c r="EF39" s="122"/>
      <c r="EG39" s="122"/>
      <c r="EH39" s="554"/>
      <c r="EI39" s="554"/>
      <c r="EJ39" s="218"/>
      <c r="EK39" s="218"/>
      <c r="EL39" s="107"/>
      <c r="EM39" s="107"/>
      <c r="EN39" s="1021"/>
      <c r="EO39" s="107"/>
      <c r="EP39" s="107"/>
      <c r="EQ39" s="107"/>
      <c r="ER39" s="107"/>
      <c r="ES39" s="107"/>
      <c r="ET39" s="107"/>
      <c r="EU39" s="107"/>
      <c r="EV39" s="107"/>
      <c r="EW39" s="107"/>
      <c r="EX39" s="107"/>
      <c r="EY39" s="107"/>
      <c r="EZ39" s="107"/>
      <c r="FA39" s="107"/>
    </row>
    <row r="40" spans="1:161" ht="15.75" thickBot="1">
      <c r="A40" s="597">
        <v>7</v>
      </c>
      <c r="B40" s="3732"/>
      <c r="C40" s="3732"/>
      <c r="D40" s="441"/>
      <c r="E40" s="441"/>
      <c r="F40" s="441"/>
      <c r="G40" s="441"/>
      <c r="H40" s="440"/>
      <c r="I40" s="441"/>
      <c r="J40" s="441"/>
      <c r="K40" s="556"/>
      <c r="L40" s="438"/>
      <c r="M40" s="438"/>
      <c r="N40" s="1662"/>
      <c r="O40" s="438"/>
      <c r="P40" s="438"/>
      <c r="Q40" s="438"/>
      <c r="R40" s="438"/>
      <c r="S40" s="439"/>
      <c r="T40" s="438"/>
      <c r="U40" s="438"/>
      <c r="V40" s="438"/>
      <c r="W40" s="439"/>
      <c r="X40" s="3724"/>
      <c r="Y40" s="3725"/>
      <c r="Z40" s="3725"/>
      <c r="AA40" s="3726"/>
      <c r="AB40" s="3724"/>
      <c r="AC40" s="3725"/>
      <c r="AD40" s="3725"/>
      <c r="AE40" s="3726"/>
      <c r="AF40" s="107"/>
      <c r="AG40" s="597">
        <v>7</v>
      </c>
      <c r="AH40" s="3732"/>
      <c r="AI40" s="3732"/>
      <c r="AJ40" s="441"/>
      <c r="AK40" s="441"/>
      <c r="AL40" s="441"/>
      <c r="AM40" s="441"/>
      <c r="AN40" s="555"/>
      <c r="AO40" s="556"/>
      <c r="AP40" s="441"/>
      <c r="AQ40" s="556"/>
      <c r="AR40" s="438"/>
      <c r="AS40" s="438"/>
      <c r="AT40" s="556"/>
      <c r="AU40" s="438"/>
      <c r="AV40" s="438"/>
      <c r="AW40" s="438"/>
      <c r="AX40" s="438"/>
      <c r="AY40" s="439"/>
      <c r="AZ40" s="3724"/>
      <c r="BA40" s="3725"/>
      <c r="BB40" s="3725"/>
      <c r="BC40" s="3726"/>
      <c r="BD40" s="3724"/>
      <c r="BE40" s="3725"/>
      <c r="BF40" s="3725"/>
      <c r="BG40" s="3726"/>
      <c r="BH40" s="3724"/>
      <c r="BI40" s="3725"/>
      <c r="BJ40" s="3725"/>
      <c r="BK40" s="3726"/>
      <c r="BL40" s="107"/>
      <c r="BM40" s="597">
        <v>7</v>
      </c>
      <c r="BN40" s="3732"/>
      <c r="BO40" s="3732"/>
      <c r="BP40" s="441"/>
      <c r="BQ40" s="441"/>
      <c r="BR40" s="441"/>
      <c r="BS40" s="441"/>
      <c r="BT40" s="556"/>
      <c r="BU40" s="556"/>
      <c r="BV40" s="441"/>
      <c r="BW40" s="576"/>
      <c r="BX40" s="438"/>
      <c r="BY40" s="438"/>
      <c r="BZ40" s="438"/>
      <c r="CA40" s="438"/>
      <c r="CB40" s="438"/>
      <c r="CC40" s="438"/>
      <c r="CD40" s="438"/>
      <c r="CE40" s="439"/>
      <c r="CF40" s="438"/>
      <c r="CG40" s="438"/>
      <c r="CH40" s="438"/>
      <c r="CI40" s="439"/>
      <c r="CJ40" s="438"/>
      <c r="CK40" s="438"/>
      <c r="CL40" s="438"/>
      <c r="CM40" s="439"/>
      <c r="CN40" s="438"/>
      <c r="CO40" s="438"/>
      <c r="CP40" s="438"/>
      <c r="CQ40" s="439"/>
      <c r="CR40" s="107"/>
      <c r="CS40" s="107"/>
      <c r="CT40" s="597">
        <v>7</v>
      </c>
      <c r="CU40" s="3732"/>
      <c r="CV40" s="3732"/>
      <c r="CW40" s="441"/>
      <c r="CX40" s="441"/>
      <c r="CY40" s="441"/>
      <c r="CZ40" s="441"/>
      <c r="DA40" s="556"/>
      <c r="DB40" s="556"/>
      <c r="DC40" s="441"/>
      <c r="DD40" s="556"/>
      <c r="DE40" s="438"/>
      <c r="DF40" s="438"/>
      <c r="DG40" s="1675"/>
      <c r="DH40" s="438"/>
      <c r="DI40" s="438"/>
      <c r="DJ40" s="438"/>
      <c r="DK40" s="438"/>
      <c r="DL40" s="439"/>
      <c r="DM40" s="3724"/>
      <c r="DN40" s="3725"/>
      <c r="DO40" s="3725"/>
      <c r="DP40" s="3726"/>
      <c r="DQ40" s="3724"/>
      <c r="DR40" s="3725"/>
      <c r="DS40" s="3725"/>
      <c r="DT40" s="3726"/>
      <c r="DU40" s="3724"/>
      <c r="DV40" s="3725"/>
      <c r="DW40" s="3725"/>
      <c r="DX40" s="3726"/>
      <c r="DY40" s="107"/>
      <c r="DZ40" s="107"/>
      <c r="EA40" s="597">
        <v>7</v>
      </c>
      <c r="EB40" s="3732"/>
      <c r="EC40" s="3732"/>
      <c r="ED40" s="441"/>
      <c r="EE40" s="441"/>
      <c r="EF40" s="441"/>
      <c r="EG40" s="441"/>
      <c r="EH40" s="556"/>
      <c r="EI40" s="556"/>
      <c r="EJ40" s="441"/>
      <c r="EK40" s="556"/>
      <c r="EL40" s="438"/>
      <c r="EM40" s="438"/>
      <c r="EN40" s="1675"/>
      <c r="EO40" s="438"/>
      <c r="EP40" s="438"/>
      <c r="EQ40" s="438"/>
      <c r="ER40" s="438"/>
      <c r="ES40" s="438"/>
      <c r="ET40" s="3297"/>
      <c r="EU40" s="1659"/>
      <c r="EV40" s="1659"/>
      <c r="EW40" s="3298"/>
      <c r="EX40" s="1659"/>
      <c r="EY40" s="1659"/>
      <c r="EZ40" s="1659"/>
      <c r="FA40" s="3298"/>
      <c r="FB40" s="1659"/>
      <c r="FC40" s="1659"/>
      <c r="FD40" s="1659"/>
      <c r="FE40" s="3298"/>
    </row>
    <row r="41" spans="1:161">
      <c r="A41" s="332"/>
      <c r="B41" s="3735" t="s">
        <v>173</v>
      </c>
      <c r="C41" s="3736"/>
      <c r="D41" s="251">
        <v>6.7</v>
      </c>
      <c r="E41" s="566" t="s">
        <v>82</v>
      </c>
      <c r="F41" s="566" t="s">
        <v>82</v>
      </c>
      <c r="G41" s="578">
        <v>4.91</v>
      </c>
      <c r="H41" s="437">
        <v>4.8600000000000003</v>
      </c>
      <c r="I41" s="254">
        <v>6.88</v>
      </c>
      <c r="J41" s="557">
        <v>9.4600000000000009</v>
      </c>
      <c r="K41" s="559">
        <v>7.47</v>
      </c>
      <c r="L41" s="941">
        <v>7.35</v>
      </c>
      <c r="M41" s="389">
        <v>10.25</v>
      </c>
      <c r="N41" s="760"/>
      <c r="O41" s="1656"/>
      <c r="P41" s="380">
        <v>7.81</v>
      </c>
      <c r="Q41" s="387">
        <v>6.56</v>
      </c>
      <c r="R41" s="387" t="s">
        <v>109</v>
      </c>
      <c r="S41" s="388"/>
      <c r="T41" s="380"/>
      <c r="U41" s="387">
        <v>9.82</v>
      </c>
      <c r="V41" s="387">
        <v>8.02</v>
      </c>
      <c r="W41" s="388"/>
      <c r="X41" s="388">
        <v>14.76</v>
      </c>
      <c r="Y41" s="388">
        <v>9.1</v>
      </c>
      <c r="Z41" s="388">
        <v>8.7899999999999991</v>
      </c>
      <c r="AA41" s="388">
        <v>5.72</v>
      </c>
      <c r="AB41" s="388">
        <v>7.98</v>
      </c>
      <c r="AC41" s="388"/>
      <c r="AD41" s="388"/>
      <c r="AE41" s="388"/>
      <c r="AF41" s="107"/>
      <c r="AG41" s="332"/>
      <c r="AH41" s="3735" t="s">
        <v>173</v>
      </c>
      <c r="AI41" s="3736"/>
      <c r="AJ41" s="254" t="s">
        <v>82</v>
      </c>
      <c r="AK41" s="557" t="s">
        <v>82</v>
      </c>
      <c r="AL41" s="557" t="s">
        <v>82</v>
      </c>
      <c r="AM41" s="558">
        <v>9.75</v>
      </c>
      <c r="AN41" s="548">
        <v>9.8800000000000008</v>
      </c>
      <c r="AO41" s="549">
        <v>9.08</v>
      </c>
      <c r="AP41" s="568">
        <v>9.91</v>
      </c>
      <c r="AQ41" s="559">
        <v>8.94</v>
      </c>
      <c r="AR41" s="941">
        <v>8.99</v>
      </c>
      <c r="AS41" s="387">
        <v>9.2200000000000006</v>
      </c>
      <c r="AT41" s="1672"/>
      <c r="AU41" s="388"/>
      <c r="AV41" s="380">
        <v>7.81</v>
      </c>
      <c r="AW41" s="387">
        <v>8.94</v>
      </c>
      <c r="AX41" s="387" t="s">
        <v>109</v>
      </c>
      <c r="AY41" s="389"/>
      <c r="AZ41" s="387">
        <v>9.2200000000000006</v>
      </c>
      <c r="BA41" s="387">
        <v>9.41</v>
      </c>
      <c r="BB41" s="387">
        <v>9.57</v>
      </c>
      <c r="BC41" s="387"/>
      <c r="BD41" s="387">
        <v>9.7100000000000009</v>
      </c>
      <c r="BE41" s="387">
        <v>8.26</v>
      </c>
      <c r="BF41" s="387">
        <v>6.93</v>
      </c>
      <c r="BG41" s="387">
        <v>7.07</v>
      </c>
      <c r="BH41" s="387">
        <v>8.1999999999999993</v>
      </c>
      <c r="BI41" s="387"/>
      <c r="BJ41" s="387"/>
      <c r="BK41" s="387"/>
      <c r="BL41" s="107"/>
      <c r="BM41" s="332"/>
      <c r="BN41" s="3735" t="s">
        <v>173</v>
      </c>
      <c r="BO41" s="3736"/>
      <c r="BP41" s="254" t="s">
        <v>82</v>
      </c>
      <c r="BQ41" s="557" t="s">
        <v>82</v>
      </c>
      <c r="BR41" s="557" t="s">
        <v>82</v>
      </c>
      <c r="BS41" s="558" t="s">
        <v>82</v>
      </c>
      <c r="BT41" s="548">
        <v>0.33</v>
      </c>
      <c r="BU41" s="549">
        <v>0.60799999999999998</v>
      </c>
      <c r="BV41" s="549">
        <v>0.83899999999999997</v>
      </c>
      <c r="BW41" s="909"/>
      <c r="BX41" s="380"/>
      <c r="BY41" s="387">
        <v>0.92200000000000004</v>
      </c>
      <c r="BZ41" s="387"/>
      <c r="CA41" s="388"/>
      <c r="CB41" s="380">
        <v>0.17</v>
      </c>
      <c r="CC41" s="387"/>
      <c r="CD41" s="387"/>
      <c r="CE41" s="388"/>
      <c r="CF41" s="380"/>
      <c r="CG41" s="387">
        <v>0.10199999999999999</v>
      </c>
      <c r="CH41" s="387"/>
      <c r="CI41" s="388"/>
      <c r="CJ41" s="380"/>
      <c r="CK41" s="387"/>
      <c r="CL41" s="387"/>
      <c r="CM41" s="388"/>
      <c r="CN41" s="380" t="s">
        <v>449</v>
      </c>
      <c r="CO41" s="387"/>
      <c r="CP41" s="387"/>
      <c r="CQ41" s="388"/>
      <c r="CR41" s="107"/>
      <c r="CS41" s="107"/>
      <c r="CT41" s="332"/>
      <c r="CU41" s="3735" t="s">
        <v>173</v>
      </c>
      <c r="CV41" s="3736"/>
      <c r="CW41" s="254"/>
      <c r="CX41" s="557"/>
      <c r="CY41" s="557"/>
      <c r="CZ41" s="558">
        <v>2.4500000000000002</v>
      </c>
      <c r="DA41" s="548">
        <v>2.57</v>
      </c>
      <c r="DB41" s="549">
        <v>2.48</v>
      </c>
      <c r="DC41" s="549">
        <v>0.87</v>
      </c>
      <c r="DD41" s="559"/>
      <c r="DE41" s="941">
        <v>2.58</v>
      </c>
      <c r="DF41" s="387">
        <v>2.58</v>
      </c>
      <c r="DG41" s="1677"/>
      <c r="DH41" s="388"/>
      <c r="DI41" s="380">
        <v>2.39</v>
      </c>
      <c r="DJ41" s="387">
        <v>2.61</v>
      </c>
      <c r="DK41" s="387" t="s">
        <v>109</v>
      </c>
      <c r="DL41" s="389"/>
      <c r="DM41" s="357">
        <v>2.48</v>
      </c>
      <c r="DN41" s="358">
        <v>2.56</v>
      </c>
      <c r="DO41" s="358">
        <v>2.16</v>
      </c>
      <c r="DP41" s="354"/>
      <c r="DQ41" s="357">
        <v>2.48</v>
      </c>
      <c r="DR41" s="358">
        <v>2.5499999999999998</v>
      </c>
      <c r="DS41" s="358">
        <v>1.79</v>
      </c>
      <c r="DT41" s="354">
        <v>2.57</v>
      </c>
      <c r="DU41" s="357">
        <v>2.4900000000000002</v>
      </c>
      <c r="DV41" s="358"/>
      <c r="DW41" s="358"/>
      <c r="DX41" s="354"/>
      <c r="DY41" s="107"/>
      <c r="DZ41" s="107"/>
      <c r="EA41" s="332"/>
      <c r="EB41" s="3735" t="s">
        <v>173</v>
      </c>
      <c r="EC41" s="3736"/>
      <c r="ED41" s="254"/>
      <c r="EE41" s="557"/>
      <c r="EF41" s="557"/>
      <c r="EG41" s="558">
        <v>38.200000000000003</v>
      </c>
      <c r="EH41" s="548">
        <v>40</v>
      </c>
      <c r="EI41" s="549">
        <v>38.799999999999997</v>
      </c>
      <c r="EJ41" s="549">
        <v>14.9</v>
      </c>
      <c r="EK41" s="559"/>
      <c r="EL41" s="941">
        <v>40.1</v>
      </c>
      <c r="EM41" s="387">
        <v>40.200000000000003</v>
      </c>
      <c r="EN41" s="1677"/>
      <c r="EO41" s="388"/>
      <c r="EP41" s="380">
        <v>37.5</v>
      </c>
      <c r="EQ41" s="387">
        <v>40.5</v>
      </c>
      <c r="ER41" s="387" t="s">
        <v>109</v>
      </c>
      <c r="ES41" s="389"/>
      <c r="ET41" s="318">
        <v>38.5</v>
      </c>
      <c r="EU41" s="304">
        <v>39.9</v>
      </c>
      <c r="EV41" s="304">
        <v>34.1</v>
      </c>
      <c r="EW41" s="319"/>
      <c r="EX41" s="370">
        <v>38.700000000000003</v>
      </c>
      <c r="EY41" s="304">
        <v>39.700000000000003</v>
      </c>
      <c r="EZ41" s="304">
        <v>28.9</v>
      </c>
      <c r="FA41" s="319">
        <v>40</v>
      </c>
      <c r="FB41" s="319">
        <v>38.799999999999997</v>
      </c>
      <c r="FC41" s="319"/>
      <c r="FD41" s="319"/>
      <c r="FE41" s="319"/>
    </row>
    <row r="42" spans="1:161">
      <c r="A42" s="390"/>
      <c r="B42" s="3737" t="s">
        <v>172</v>
      </c>
      <c r="C42" s="3738"/>
      <c r="D42" s="41">
        <v>6.23</v>
      </c>
      <c r="E42" s="560" t="s">
        <v>82</v>
      </c>
      <c r="F42" s="560" t="s">
        <v>82</v>
      </c>
      <c r="G42" s="574">
        <v>4.87</v>
      </c>
      <c r="H42" s="435">
        <v>4.8499999999999996</v>
      </c>
      <c r="I42" s="41">
        <v>5.08</v>
      </c>
      <c r="J42" s="41">
        <v>2.15</v>
      </c>
      <c r="K42" s="562">
        <v>5.37</v>
      </c>
      <c r="L42" s="942">
        <v>5.89</v>
      </c>
      <c r="M42" s="381">
        <v>8.1199999999999992</v>
      </c>
      <c r="N42" s="760"/>
      <c r="O42" s="1657"/>
      <c r="P42" s="318">
        <v>5.6</v>
      </c>
      <c r="Q42" s="304">
        <v>6.4</v>
      </c>
      <c r="R42" s="387" t="s">
        <v>109</v>
      </c>
      <c r="S42" s="319"/>
      <c r="T42" s="318"/>
      <c r="U42" s="304">
        <v>5.15</v>
      </c>
      <c r="V42" s="387">
        <v>5.01</v>
      </c>
      <c r="W42" s="319"/>
      <c r="X42" s="319">
        <v>7.04</v>
      </c>
      <c r="Y42" s="319">
        <v>6.41</v>
      </c>
      <c r="Z42" s="319">
        <v>3.02</v>
      </c>
      <c r="AA42" s="319">
        <v>5.49</v>
      </c>
      <c r="AB42" s="319">
        <v>6.51</v>
      </c>
      <c r="AC42" s="319"/>
      <c r="AD42" s="319"/>
      <c r="AE42" s="319"/>
      <c r="AF42" s="107"/>
      <c r="AG42" s="390"/>
      <c r="AH42" s="3737" t="s">
        <v>172</v>
      </c>
      <c r="AI42" s="3738"/>
      <c r="AJ42" s="41" t="s">
        <v>82</v>
      </c>
      <c r="AK42" s="560" t="s">
        <v>82</v>
      </c>
      <c r="AL42" s="560" t="s">
        <v>82</v>
      </c>
      <c r="AM42" s="561">
        <v>9.81</v>
      </c>
      <c r="AN42" s="550">
        <v>9.9600000000000009</v>
      </c>
      <c r="AO42" s="551">
        <v>8.8800000000000008</v>
      </c>
      <c r="AP42" s="551">
        <v>8.85</v>
      </c>
      <c r="AQ42" s="562">
        <v>8.99</v>
      </c>
      <c r="AR42" s="942">
        <v>8.91</v>
      </c>
      <c r="AS42" s="304">
        <v>8.99</v>
      </c>
      <c r="AT42" s="1673"/>
      <c r="AU42" s="319"/>
      <c r="AV42" s="318">
        <v>5.6</v>
      </c>
      <c r="AW42" s="304">
        <v>8.89</v>
      </c>
      <c r="AX42" s="387" t="s">
        <v>109</v>
      </c>
      <c r="AY42" s="381"/>
      <c r="AZ42" s="304">
        <v>8.9499999999999993</v>
      </c>
      <c r="BA42" s="304">
        <v>9.02</v>
      </c>
      <c r="BB42" s="304">
        <v>9.39</v>
      </c>
      <c r="BC42" s="304"/>
      <c r="BD42" s="304">
        <v>9.41</v>
      </c>
      <c r="BE42" s="304">
        <v>8.1300000000000008</v>
      </c>
      <c r="BF42" s="304">
        <v>6.92</v>
      </c>
      <c r="BG42" s="304">
        <v>6.97</v>
      </c>
      <c r="BH42" s="304">
        <v>8.25</v>
      </c>
      <c r="BI42" s="304"/>
      <c r="BJ42" s="304"/>
      <c r="BK42" s="304"/>
      <c r="BL42" s="107"/>
      <c r="BM42" s="390"/>
      <c r="BN42" s="3737" t="s">
        <v>172</v>
      </c>
      <c r="BO42" s="3738"/>
      <c r="BP42" s="41" t="s">
        <v>82</v>
      </c>
      <c r="BQ42" s="560" t="s">
        <v>82</v>
      </c>
      <c r="BR42" s="560" t="s">
        <v>82</v>
      </c>
      <c r="BS42" s="561" t="s">
        <v>82</v>
      </c>
      <c r="BT42" s="550">
        <v>0.27</v>
      </c>
      <c r="BU42" s="551">
        <v>0.64600000000000002</v>
      </c>
      <c r="BV42" s="551">
        <v>0.58699999999999997</v>
      </c>
      <c r="BW42" s="910"/>
      <c r="BX42" s="318"/>
      <c r="BY42" s="304">
        <v>0.877</v>
      </c>
      <c r="BZ42" s="304"/>
      <c r="CA42" s="319"/>
      <c r="CB42" s="318">
        <v>0.17</v>
      </c>
      <c r="CC42" s="304"/>
      <c r="CD42" s="304"/>
      <c r="CE42" s="319"/>
      <c r="CF42" s="318"/>
      <c r="CG42" s="304">
        <v>0.112</v>
      </c>
      <c r="CH42" s="304"/>
      <c r="CI42" s="319"/>
      <c r="CJ42" s="318"/>
      <c r="CK42" s="304"/>
      <c r="CL42" s="304"/>
      <c r="CM42" s="319"/>
      <c r="CN42" s="318">
        <v>2.5999999999999999E-2</v>
      </c>
      <c r="CO42" s="304"/>
      <c r="CP42" s="304"/>
      <c r="CQ42" s="319"/>
      <c r="CR42" s="107"/>
      <c r="CS42" s="107"/>
      <c r="CT42" s="390"/>
      <c r="CU42" s="3737" t="s">
        <v>172</v>
      </c>
      <c r="CV42" s="3738"/>
      <c r="CW42" s="41"/>
      <c r="CX42" s="560"/>
      <c r="CY42" s="560"/>
      <c r="CZ42" s="561">
        <v>2.57</v>
      </c>
      <c r="DA42" s="550">
        <v>2.61</v>
      </c>
      <c r="DB42" s="551">
        <v>2.4700000000000002</v>
      </c>
      <c r="DC42" s="551">
        <v>2.37</v>
      </c>
      <c r="DD42" s="562"/>
      <c r="DE42" s="942">
        <v>2.64</v>
      </c>
      <c r="DF42" s="304">
        <v>2.57</v>
      </c>
      <c r="DG42" s="1678"/>
      <c r="DH42" s="319"/>
      <c r="DI42" s="318">
        <v>2.54</v>
      </c>
      <c r="DJ42" s="304">
        <v>2.6</v>
      </c>
      <c r="DK42" s="387" t="s">
        <v>109</v>
      </c>
      <c r="DL42" s="381"/>
      <c r="DM42" s="318">
        <v>2.4900000000000002</v>
      </c>
      <c r="DN42" s="304">
        <v>2.59</v>
      </c>
      <c r="DO42" s="304">
        <v>2.4500000000000002</v>
      </c>
      <c r="DP42" s="319"/>
      <c r="DQ42" s="318">
        <v>2.58</v>
      </c>
      <c r="DR42" s="304">
        <v>2.4700000000000002</v>
      </c>
      <c r="DS42" s="304">
        <v>2.5099999999999998</v>
      </c>
      <c r="DT42" s="319">
        <v>2.56</v>
      </c>
      <c r="DU42" s="318">
        <v>2.5</v>
      </c>
      <c r="DV42" s="304"/>
      <c r="DW42" s="304"/>
      <c r="DX42" s="319"/>
      <c r="DY42" s="107"/>
      <c r="DZ42" s="107"/>
      <c r="EA42" s="390"/>
      <c r="EB42" s="3737" t="s">
        <v>172</v>
      </c>
      <c r="EC42" s="3738"/>
      <c r="ED42" s="41"/>
      <c r="EE42" s="560"/>
      <c r="EF42" s="560"/>
      <c r="EG42" s="561">
        <v>40</v>
      </c>
      <c r="EH42" s="550">
        <v>40.6</v>
      </c>
      <c r="EI42" s="551">
        <v>38.700000000000003</v>
      </c>
      <c r="EJ42" s="551">
        <v>37.1</v>
      </c>
      <c r="EK42" s="562"/>
      <c r="EL42" s="942">
        <v>41</v>
      </c>
      <c r="EM42" s="304">
        <v>40.200000000000003</v>
      </c>
      <c r="EN42" s="1678"/>
      <c r="EO42" s="319"/>
      <c r="EP42" s="318">
        <v>39.700000000000003</v>
      </c>
      <c r="EQ42" s="304">
        <v>40.5</v>
      </c>
      <c r="ER42" s="387" t="s">
        <v>109</v>
      </c>
      <c r="ES42" s="381"/>
      <c r="ET42" s="318">
        <v>38.700000000000003</v>
      </c>
      <c r="EU42" s="304">
        <v>40.299999999999997</v>
      </c>
      <c r="EV42" s="304">
        <v>38.200000000000003</v>
      </c>
      <c r="EW42" s="319"/>
      <c r="EX42" s="370">
        <v>40.200000000000003</v>
      </c>
      <c r="EY42" s="304">
        <v>38.6</v>
      </c>
      <c r="EZ42" s="304">
        <v>39.1</v>
      </c>
      <c r="FA42" s="319">
        <v>39.799999999999997</v>
      </c>
      <c r="FB42" s="319">
        <v>38.9</v>
      </c>
      <c r="FC42" s="319"/>
      <c r="FD42" s="319"/>
      <c r="FE42" s="319"/>
    </row>
    <row r="43" spans="1:161" ht="15.75" thickBot="1">
      <c r="A43" s="307"/>
      <c r="B43" s="3730" t="s">
        <v>171</v>
      </c>
      <c r="C43" s="3731"/>
      <c r="D43" s="62">
        <v>5.41</v>
      </c>
      <c r="E43" s="563" t="s">
        <v>82</v>
      </c>
      <c r="F43" s="563" t="s">
        <v>82</v>
      </c>
      <c r="G43" s="575">
        <v>3.57</v>
      </c>
      <c r="H43" s="436">
        <v>3.92</v>
      </c>
      <c r="I43" s="62">
        <v>3.95</v>
      </c>
      <c r="J43" s="563">
        <v>1.71</v>
      </c>
      <c r="K43" s="565">
        <v>5.48</v>
      </c>
      <c r="L43" s="943">
        <v>5.71</v>
      </c>
      <c r="M43" s="382">
        <v>4.54</v>
      </c>
      <c r="N43" s="760"/>
      <c r="O43" s="1658"/>
      <c r="P43" s="320">
        <v>5.92</v>
      </c>
      <c r="Q43" s="321">
        <v>5.85</v>
      </c>
      <c r="R43" s="387" t="s">
        <v>109</v>
      </c>
      <c r="S43" s="322"/>
      <c r="T43" s="320"/>
      <c r="U43" s="321">
        <v>4.8499999999999996</v>
      </c>
      <c r="V43" s="387">
        <v>3.53</v>
      </c>
      <c r="W43" s="322"/>
      <c r="X43" s="322">
        <v>6.95</v>
      </c>
      <c r="Y43" s="322">
        <v>4.7</v>
      </c>
      <c r="Z43" s="322">
        <v>2.25</v>
      </c>
      <c r="AA43" s="322">
        <v>4.37</v>
      </c>
      <c r="AB43" s="322">
        <v>5.36</v>
      </c>
      <c r="AC43" s="322"/>
      <c r="AD43" s="322"/>
      <c r="AE43" s="322"/>
      <c r="AF43" s="107"/>
      <c r="AG43" s="307"/>
      <c r="AH43" s="3730" t="s">
        <v>171</v>
      </c>
      <c r="AI43" s="3731"/>
      <c r="AJ43" s="62" t="s">
        <v>82</v>
      </c>
      <c r="AK43" s="563" t="s">
        <v>82</v>
      </c>
      <c r="AL43" s="563" t="s">
        <v>82</v>
      </c>
      <c r="AM43" s="564">
        <v>9.68</v>
      </c>
      <c r="AN43" s="552">
        <v>9.8699999999999992</v>
      </c>
      <c r="AO43" s="553">
        <v>8.67</v>
      </c>
      <c r="AP43" s="572">
        <v>9.08</v>
      </c>
      <c r="AQ43" s="565">
        <v>8.99</v>
      </c>
      <c r="AR43" s="943">
        <v>8.83</v>
      </c>
      <c r="AS43" s="321">
        <v>8.84</v>
      </c>
      <c r="AT43" s="1674"/>
      <c r="AU43" s="322"/>
      <c r="AV43" s="320">
        <v>5.92</v>
      </c>
      <c r="AW43" s="321">
        <v>8.82</v>
      </c>
      <c r="AX43" s="387" t="s">
        <v>109</v>
      </c>
      <c r="AY43" s="382"/>
      <c r="AZ43" s="304">
        <v>9.01</v>
      </c>
      <c r="BA43" s="304">
        <v>8.93</v>
      </c>
      <c r="BB43" s="304">
        <v>9.27</v>
      </c>
      <c r="BC43" s="304"/>
      <c r="BD43" s="304">
        <v>9.36</v>
      </c>
      <c r="BE43" s="304">
        <v>8.09</v>
      </c>
      <c r="BF43" s="304">
        <v>6.94</v>
      </c>
      <c r="BG43" s="304">
        <v>7.07</v>
      </c>
      <c r="BH43" s="304">
        <v>8.11</v>
      </c>
      <c r="BI43" s="304"/>
      <c r="BJ43" s="304"/>
      <c r="BK43" s="304"/>
      <c r="BL43" s="107"/>
      <c r="BM43" s="307"/>
      <c r="BN43" s="3730" t="s">
        <v>171</v>
      </c>
      <c r="BO43" s="3731"/>
      <c r="BP43" s="62" t="s">
        <v>82</v>
      </c>
      <c r="BQ43" s="563" t="s">
        <v>82</v>
      </c>
      <c r="BR43" s="563" t="s">
        <v>82</v>
      </c>
      <c r="BS43" s="564" t="s">
        <v>82</v>
      </c>
      <c r="BT43" s="552">
        <v>0.56699999999999995</v>
      </c>
      <c r="BU43" s="553">
        <v>0.58199999999999996</v>
      </c>
      <c r="BV43" s="572">
        <v>1.0169999999999999</v>
      </c>
      <c r="BW43" s="911"/>
      <c r="BX43" s="320"/>
      <c r="BY43" s="321">
        <v>1.0229999999999999</v>
      </c>
      <c r="BZ43" s="321"/>
      <c r="CA43" s="322"/>
      <c r="CB43" s="320">
        <v>0.28999999999999998</v>
      </c>
      <c r="CC43" s="321"/>
      <c r="CD43" s="321"/>
      <c r="CE43" s="322"/>
      <c r="CF43" s="320"/>
      <c r="CG43" s="321">
        <v>0.16300000000000001</v>
      </c>
      <c r="CH43" s="321"/>
      <c r="CI43" s="322"/>
      <c r="CJ43" s="320"/>
      <c r="CK43" s="321"/>
      <c r="CL43" s="321"/>
      <c r="CM43" s="322"/>
      <c r="CN43" s="320">
        <v>2.3E-2</v>
      </c>
      <c r="CO43" s="321"/>
      <c r="CP43" s="321"/>
      <c r="CQ43" s="322"/>
      <c r="CR43" s="107"/>
      <c r="CS43" s="107"/>
      <c r="CT43" s="307"/>
      <c r="CU43" s="3730" t="s">
        <v>171</v>
      </c>
      <c r="CV43" s="3731"/>
      <c r="CW43" s="62"/>
      <c r="CX43" s="563"/>
      <c r="CY43" s="563"/>
      <c r="CZ43" s="564">
        <v>2.58</v>
      </c>
      <c r="DA43" s="552">
        <v>2.6</v>
      </c>
      <c r="DB43" s="553">
        <v>2.54</v>
      </c>
      <c r="DC43" s="572">
        <v>2.4300000000000002</v>
      </c>
      <c r="DD43" s="565"/>
      <c r="DE43" s="943">
        <v>2.63</v>
      </c>
      <c r="DF43" s="321">
        <v>2.64</v>
      </c>
      <c r="DG43" s="1679"/>
      <c r="DH43" s="322"/>
      <c r="DI43" s="320">
        <v>2.6</v>
      </c>
      <c r="DJ43" s="321">
        <v>2.61</v>
      </c>
      <c r="DK43" s="387" t="s">
        <v>109</v>
      </c>
      <c r="DL43" s="382"/>
      <c r="DM43" s="320">
        <v>2.4900000000000002</v>
      </c>
      <c r="DN43" s="321">
        <v>2.59</v>
      </c>
      <c r="DO43" s="321">
        <v>2.5099999999999998</v>
      </c>
      <c r="DP43" s="322"/>
      <c r="DQ43" s="320">
        <v>2.59</v>
      </c>
      <c r="DR43" s="321">
        <v>2.5499999999999998</v>
      </c>
      <c r="DS43" s="321">
        <v>2.57</v>
      </c>
      <c r="DT43" s="322">
        <v>2.2799999999999998</v>
      </c>
      <c r="DU43" s="320">
        <v>2.57</v>
      </c>
      <c r="DV43" s="321"/>
      <c r="DW43" s="321"/>
      <c r="DX43" s="322"/>
      <c r="DY43" s="107"/>
      <c r="DZ43" s="107"/>
      <c r="EA43" s="307"/>
      <c r="EB43" s="3730" t="s">
        <v>171</v>
      </c>
      <c r="EC43" s="3731"/>
      <c r="ED43" s="62"/>
      <c r="EE43" s="563"/>
      <c r="EF43" s="563"/>
      <c r="EG43" s="564">
        <v>40.1</v>
      </c>
      <c r="EH43" s="552">
        <v>40.700000000000003</v>
      </c>
      <c r="EI43" s="553">
        <v>39.6</v>
      </c>
      <c r="EJ43" s="572">
        <v>37.9</v>
      </c>
      <c r="EK43" s="565"/>
      <c r="EL43" s="943">
        <v>40.700000000000003</v>
      </c>
      <c r="EM43" s="321">
        <v>40.1</v>
      </c>
      <c r="EN43" s="1679"/>
      <c r="EO43" s="322"/>
      <c r="EP43" s="320">
        <v>40.299999999999997</v>
      </c>
      <c r="EQ43" s="321">
        <v>40.5</v>
      </c>
      <c r="ER43" s="387" t="s">
        <v>109</v>
      </c>
      <c r="ES43" s="382"/>
      <c r="ET43" s="320">
        <v>38.799999999999997</v>
      </c>
      <c r="EU43" s="321">
        <v>40.4</v>
      </c>
      <c r="EV43" s="321">
        <v>39.1</v>
      </c>
      <c r="EW43" s="322"/>
      <c r="EX43" s="371">
        <v>40.200000000000003</v>
      </c>
      <c r="EY43" s="321">
        <v>39.799999999999997</v>
      </c>
      <c r="EZ43" s="321">
        <v>40.1</v>
      </c>
      <c r="FA43" s="322">
        <v>40.4</v>
      </c>
      <c r="FB43" s="322">
        <v>40</v>
      </c>
      <c r="FC43" s="322"/>
      <c r="FD43" s="322"/>
      <c r="FE43" s="322"/>
    </row>
    <row r="44" spans="1:161" ht="15.75" thickBot="1">
      <c r="A44" s="107"/>
      <c r="B44" s="196"/>
      <c r="C44" s="107"/>
      <c r="D44" s="108"/>
      <c r="E44" s="122"/>
      <c r="F44" s="122"/>
      <c r="G44" s="122"/>
      <c r="H44" s="108"/>
      <c r="I44" s="108"/>
      <c r="J44" s="122"/>
      <c r="K44" s="218"/>
      <c r="L44" s="107"/>
      <c r="M44" s="107"/>
      <c r="N44" s="1661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20"/>
      <c r="AG44" s="120"/>
      <c r="AH44" s="196"/>
      <c r="AI44" s="107"/>
      <c r="AJ44" s="108"/>
      <c r="AK44" s="122"/>
      <c r="AL44" s="122"/>
      <c r="AM44" s="122"/>
      <c r="AN44" s="554"/>
      <c r="AO44" s="554"/>
      <c r="AP44" s="218"/>
      <c r="AQ44" s="218"/>
      <c r="AR44" s="107"/>
      <c r="AS44" s="107"/>
      <c r="AT44" s="580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20"/>
      <c r="BM44" s="120"/>
      <c r="BN44" s="196"/>
      <c r="BO44" s="107"/>
      <c r="BP44" s="108"/>
      <c r="BQ44" s="122"/>
      <c r="BR44" s="122"/>
      <c r="BS44" s="122"/>
      <c r="BT44" s="554"/>
      <c r="BU44" s="554"/>
      <c r="BV44" s="218"/>
      <c r="BW44" s="56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20"/>
      <c r="CT44" s="120"/>
      <c r="CU44" s="196"/>
      <c r="CV44" s="107"/>
      <c r="CW44" s="108"/>
      <c r="CX44" s="122"/>
      <c r="CY44" s="122"/>
      <c r="CZ44" s="122"/>
      <c r="DA44" s="554"/>
      <c r="DB44" s="554"/>
      <c r="DC44" s="218"/>
      <c r="DD44" s="218"/>
      <c r="DE44" s="107"/>
      <c r="DF44" s="107"/>
      <c r="DG44" s="1021"/>
      <c r="DH44" s="107"/>
      <c r="DI44" s="107"/>
      <c r="DJ44" s="107"/>
      <c r="DK44" s="107"/>
      <c r="DL44" s="107"/>
      <c r="DM44" s="107"/>
      <c r="DN44" s="107"/>
      <c r="DO44" s="107"/>
      <c r="DP44" s="107"/>
      <c r="DQ44" s="107"/>
      <c r="DR44" s="107"/>
      <c r="DS44" s="107"/>
      <c r="DT44" s="107"/>
      <c r="DU44" s="107">
        <v>3</v>
      </c>
      <c r="DV44" s="107"/>
      <c r="DW44" s="107"/>
      <c r="DX44" s="107"/>
      <c r="DY44" s="107"/>
      <c r="DZ44" s="120"/>
      <c r="EA44" s="120"/>
      <c r="EB44" s="196"/>
      <c r="EC44" s="107"/>
      <c r="ED44" s="108"/>
      <c r="EE44" s="122"/>
      <c r="EF44" s="122"/>
      <c r="EG44" s="122"/>
      <c r="EH44" s="554"/>
      <c r="EI44" s="554"/>
      <c r="EJ44" s="218"/>
      <c r="EK44" s="218"/>
      <c r="EL44" s="107"/>
      <c r="EM44" s="107"/>
      <c r="EN44" s="1021"/>
      <c r="EO44" s="107"/>
      <c r="EP44" s="107"/>
      <c r="EQ44" s="107"/>
      <c r="ER44" s="107"/>
      <c r="ES44" s="107"/>
      <c r="ET44" s="107"/>
      <c r="EU44" s="107"/>
      <c r="EV44" s="107"/>
      <c r="EW44" s="107"/>
      <c r="EX44" s="107"/>
      <c r="EY44" s="107"/>
      <c r="EZ44" s="107"/>
      <c r="FA44" s="107"/>
    </row>
    <row r="45" spans="1:161" ht="15.75" thickBot="1">
      <c r="A45" s="597">
        <v>8</v>
      </c>
      <c r="B45" s="3732"/>
      <c r="C45" s="3732"/>
      <c r="D45" s="441"/>
      <c r="E45" s="441"/>
      <c r="F45" s="441"/>
      <c r="G45" s="441"/>
      <c r="H45" s="440"/>
      <c r="I45" s="441"/>
      <c r="J45" s="441"/>
      <c r="K45" s="556"/>
      <c r="L45" s="438"/>
      <c r="M45" s="438"/>
      <c r="N45" s="1662"/>
      <c r="O45" s="438"/>
      <c r="P45" s="438"/>
      <c r="Q45" s="438"/>
      <c r="R45" s="438"/>
      <c r="S45" s="439"/>
      <c r="T45" s="438"/>
      <c r="U45" s="438"/>
      <c r="V45" s="438"/>
      <c r="W45" s="439"/>
      <c r="X45" s="3724"/>
      <c r="Y45" s="3725"/>
      <c r="Z45" s="3725"/>
      <c r="AA45" s="3726"/>
      <c r="AB45" s="3724"/>
      <c r="AC45" s="3725"/>
      <c r="AD45" s="3725"/>
      <c r="AE45" s="3726"/>
      <c r="AF45" s="107"/>
      <c r="AG45" s="597">
        <v>8</v>
      </c>
      <c r="AH45" s="3732"/>
      <c r="AI45" s="3732"/>
      <c r="AJ45" s="441"/>
      <c r="AK45" s="441"/>
      <c r="AL45" s="441"/>
      <c r="AM45" s="441"/>
      <c r="AN45" s="555"/>
      <c r="AO45" s="556"/>
      <c r="AP45" s="441"/>
      <c r="AQ45" s="556"/>
      <c r="AR45" s="438"/>
      <c r="AS45" s="438"/>
      <c r="AT45" s="556"/>
      <c r="AU45" s="438"/>
      <c r="AV45" s="438"/>
      <c r="AW45" s="438"/>
      <c r="AX45" s="438"/>
      <c r="AY45" s="439"/>
      <c r="AZ45" s="3724"/>
      <c r="BA45" s="3725"/>
      <c r="BB45" s="3725"/>
      <c r="BC45" s="3726"/>
      <c r="BD45" s="3724"/>
      <c r="BE45" s="3725"/>
      <c r="BF45" s="3725"/>
      <c r="BG45" s="3726"/>
      <c r="BH45" s="3724"/>
      <c r="BI45" s="3725"/>
      <c r="BJ45" s="3725"/>
      <c r="BK45" s="3726"/>
      <c r="BL45" s="107"/>
      <c r="BM45" s="597">
        <v>8</v>
      </c>
      <c r="BN45" s="3732"/>
      <c r="BO45" s="3732"/>
      <c r="BP45" s="441"/>
      <c r="BQ45" s="441"/>
      <c r="BR45" s="441"/>
      <c r="BS45" s="441"/>
      <c r="BT45" s="556"/>
      <c r="BU45" s="556"/>
      <c r="BV45" s="441"/>
      <c r="BW45" s="576"/>
      <c r="BX45" s="438"/>
      <c r="BY45" s="438"/>
      <c r="BZ45" s="438"/>
      <c r="CA45" s="438"/>
      <c r="CB45" s="438"/>
      <c r="CC45" s="438"/>
      <c r="CD45" s="438"/>
      <c r="CE45" s="439"/>
      <c r="CF45" s="438"/>
      <c r="CG45" s="438"/>
      <c r="CH45" s="438"/>
      <c r="CI45" s="439"/>
      <c r="CJ45" s="438"/>
      <c r="CK45" s="438"/>
      <c r="CL45" s="438"/>
      <c r="CM45" s="439"/>
      <c r="CN45" s="438"/>
      <c r="CO45" s="438"/>
      <c r="CP45" s="438"/>
      <c r="CQ45" s="439"/>
      <c r="CR45" s="107"/>
      <c r="CS45" s="107"/>
      <c r="CT45" s="597">
        <v>8</v>
      </c>
      <c r="CU45" s="3732"/>
      <c r="CV45" s="3732"/>
      <c r="CW45" s="441"/>
      <c r="CX45" s="441"/>
      <c r="CY45" s="441"/>
      <c r="CZ45" s="441"/>
      <c r="DA45" s="556"/>
      <c r="DB45" s="556"/>
      <c r="DC45" s="441"/>
      <c r="DD45" s="556"/>
      <c r="DE45" s="438"/>
      <c r="DF45" s="438"/>
      <c r="DG45" s="1675"/>
      <c r="DH45" s="438"/>
      <c r="DI45" s="438"/>
      <c r="DJ45" s="438"/>
      <c r="DK45" s="438"/>
      <c r="DL45" s="439"/>
      <c r="DM45" s="3727"/>
      <c r="DN45" s="3728"/>
      <c r="DO45" s="3728"/>
      <c r="DP45" s="3729"/>
      <c r="DQ45" s="3727"/>
      <c r="DR45" s="3728"/>
      <c r="DS45" s="3728"/>
      <c r="DT45" s="3729"/>
      <c r="DU45" s="3727"/>
      <c r="DV45" s="3728"/>
      <c r="DW45" s="3728"/>
      <c r="DX45" s="3729"/>
      <c r="DY45" s="107"/>
      <c r="DZ45" s="107"/>
      <c r="EA45" s="597">
        <v>8</v>
      </c>
      <c r="EB45" s="3732"/>
      <c r="EC45" s="3732"/>
      <c r="ED45" s="441"/>
      <c r="EE45" s="441"/>
      <c r="EF45" s="441"/>
      <c r="EG45" s="441"/>
      <c r="EH45" s="556"/>
      <c r="EI45" s="556"/>
      <c r="EJ45" s="441"/>
      <c r="EK45" s="556"/>
      <c r="EL45" s="438"/>
      <c r="EM45" s="438"/>
      <c r="EN45" s="1675"/>
      <c r="EO45" s="438"/>
      <c r="EP45" s="438"/>
      <c r="EQ45" s="438"/>
      <c r="ER45" s="438"/>
      <c r="ES45" s="438"/>
      <c r="ET45" s="3297"/>
      <c r="EU45" s="1659"/>
      <c r="EV45" s="1659"/>
      <c r="EW45" s="3298"/>
      <c r="EX45" s="1659"/>
      <c r="EY45" s="1659"/>
      <c r="EZ45" s="1659"/>
      <c r="FA45" s="3298"/>
      <c r="FB45" s="1659"/>
      <c r="FC45" s="1659"/>
      <c r="FD45" s="1659"/>
      <c r="FE45" s="3298"/>
    </row>
    <row r="46" spans="1:161" ht="15.75">
      <c r="A46" s="333"/>
      <c r="B46" s="3733" t="s">
        <v>173</v>
      </c>
      <c r="C46" s="3734"/>
      <c r="D46" s="254">
        <v>5.39</v>
      </c>
      <c r="E46" s="557" t="s">
        <v>82</v>
      </c>
      <c r="F46" s="557">
        <v>6.1</v>
      </c>
      <c r="G46" s="558">
        <v>6.37</v>
      </c>
      <c r="H46" s="437">
        <v>7.57</v>
      </c>
      <c r="I46" s="254">
        <v>75.28</v>
      </c>
      <c r="J46" s="254">
        <v>7.53</v>
      </c>
      <c r="K46" s="559">
        <v>10.199999999999999</v>
      </c>
      <c r="L46" s="941">
        <v>7.15</v>
      </c>
      <c r="M46" s="389">
        <v>8.2100000000000009</v>
      </c>
      <c r="N46" s="1660">
        <v>8.4</v>
      </c>
      <c r="O46" s="1656"/>
      <c r="P46" s="380">
        <v>7.08</v>
      </c>
      <c r="Q46" s="387">
        <v>9.33</v>
      </c>
      <c r="R46" s="387" t="s">
        <v>109</v>
      </c>
      <c r="S46" s="388"/>
      <c r="T46" s="380"/>
      <c r="U46" s="387">
        <v>6.24</v>
      </c>
      <c r="V46" s="387">
        <v>7.86</v>
      </c>
      <c r="W46" s="388"/>
      <c r="X46" s="388">
        <v>9.0299999999999994</v>
      </c>
      <c r="Y46" s="388">
        <v>8.89</v>
      </c>
      <c r="Z46" s="388">
        <v>9.5</v>
      </c>
      <c r="AA46" s="388">
        <v>6.69</v>
      </c>
      <c r="AB46" s="388">
        <v>6.57</v>
      </c>
      <c r="AC46" s="388"/>
      <c r="AD46" s="388"/>
      <c r="AE46" s="388"/>
      <c r="AF46" s="107"/>
      <c r="AG46" s="333"/>
      <c r="AH46" s="3733" t="s">
        <v>173</v>
      </c>
      <c r="AI46" s="3734"/>
      <c r="AJ46" s="254" t="s">
        <v>82</v>
      </c>
      <c r="AK46" s="557" t="s">
        <v>82</v>
      </c>
      <c r="AL46" s="557" t="s">
        <v>82</v>
      </c>
      <c r="AM46" s="558">
        <v>9.73</v>
      </c>
      <c r="AN46" s="548">
        <v>10.15</v>
      </c>
      <c r="AO46" s="549">
        <v>9.08</v>
      </c>
      <c r="AP46" s="549">
        <v>9.74</v>
      </c>
      <c r="AQ46" s="559">
        <v>9.27</v>
      </c>
      <c r="AR46" s="941">
        <v>8.9600000000000009</v>
      </c>
      <c r="AS46" s="387">
        <v>8.9600000000000009</v>
      </c>
      <c r="AT46" s="1652">
        <v>9.0299999999999994</v>
      </c>
      <c r="AU46" s="388"/>
      <c r="AV46" s="380">
        <v>9.25</v>
      </c>
      <c r="AW46" s="387">
        <v>9.14</v>
      </c>
      <c r="AX46" s="387" t="s">
        <v>109</v>
      </c>
      <c r="AY46" s="389"/>
      <c r="AZ46" s="387">
        <v>9.1199999999999992</v>
      </c>
      <c r="BA46" s="387">
        <v>9.14</v>
      </c>
      <c r="BB46" s="387">
        <v>9.66</v>
      </c>
      <c r="BC46" s="387"/>
      <c r="BD46" s="387">
        <v>9.56</v>
      </c>
      <c r="BE46" s="387">
        <v>8.44</v>
      </c>
      <c r="BF46" s="387">
        <v>6.81</v>
      </c>
      <c r="BG46" s="387">
        <v>6.97</v>
      </c>
      <c r="BH46" s="387">
        <v>8.1999999999999993</v>
      </c>
      <c r="BI46" s="387"/>
      <c r="BJ46" s="387"/>
      <c r="BK46" s="387"/>
      <c r="BL46" s="107"/>
      <c r="BM46" s="333"/>
      <c r="BN46" s="3733" t="s">
        <v>173</v>
      </c>
      <c r="BO46" s="3734"/>
      <c r="BP46" s="254" t="s">
        <v>82</v>
      </c>
      <c r="BQ46" s="557" t="s">
        <v>82</v>
      </c>
      <c r="BR46" s="557" t="s">
        <v>82</v>
      </c>
      <c r="BS46" s="558" t="s">
        <v>82</v>
      </c>
      <c r="BT46" s="548">
        <v>0.24</v>
      </c>
      <c r="BU46" s="549">
        <v>0.624</v>
      </c>
      <c r="BV46" s="549">
        <v>0.92800000000000005</v>
      </c>
      <c r="BW46" s="909"/>
      <c r="BX46" s="380"/>
      <c r="BY46" s="387">
        <v>1.085</v>
      </c>
      <c r="BZ46" s="387"/>
      <c r="CA46" s="388"/>
      <c r="CB46" s="380">
        <v>0.13</v>
      </c>
      <c r="CC46" s="387"/>
      <c r="CD46" s="387"/>
      <c r="CE46" s="388"/>
      <c r="CF46" s="380"/>
      <c r="CG46" s="387">
        <v>0.29799999999999999</v>
      </c>
      <c r="CH46" s="387"/>
      <c r="CI46" s="388"/>
      <c r="CJ46" s="380"/>
      <c r="CK46" s="387"/>
      <c r="CL46" s="387"/>
      <c r="CM46" s="388"/>
      <c r="CN46" s="380" t="s">
        <v>449</v>
      </c>
      <c r="CO46" s="387"/>
      <c r="CP46" s="387"/>
      <c r="CQ46" s="388"/>
      <c r="CR46" s="107"/>
      <c r="CS46" s="107"/>
      <c r="CT46" s="333"/>
      <c r="CU46" s="3733" t="s">
        <v>173</v>
      </c>
      <c r="CV46" s="3734"/>
      <c r="CW46" s="254"/>
      <c r="CX46" s="557"/>
      <c r="CY46" s="557"/>
      <c r="CZ46" s="558">
        <v>2.4300000000000002</v>
      </c>
      <c r="DA46" s="548">
        <v>2.4900000000000002</v>
      </c>
      <c r="DB46" s="549">
        <v>2.4500000000000002</v>
      </c>
      <c r="DC46" s="549">
        <v>0.98</v>
      </c>
      <c r="DD46" s="559"/>
      <c r="DE46" s="941">
        <v>2.6</v>
      </c>
      <c r="DF46" s="387">
        <v>2.62</v>
      </c>
      <c r="DG46" s="1651">
        <v>2.2000000000000002</v>
      </c>
      <c r="DH46" s="388"/>
      <c r="DI46" s="380">
        <v>2.5299999999999998</v>
      </c>
      <c r="DJ46" s="387">
        <v>2.59</v>
      </c>
      <c r="DK46" s="387" t="s">
        <v>109</v>
      </c>
      <c r="DL46" s="389"/>
      <c r="DM46" s="357">
        <v>2.48</v>
      </c>
      <c r="DN46" s="358">
        <v>2.58</v>
      </c>
      <c r="DO46" s="358">
        <v>2.19</v>
      </c>
      <c r="DP46" s="354"/>
      <c r="DQ46" s="357">
        <v>2.5299999999999998</v>
      </c>
      <c r="DR46" s="358">
        <v>2.5299999999999998</v>
      </c>
      <c r="DS46" s="358">
        <v>1.52</v>
      </c>
      <c r="DT46" s="354">
        <v>2.48</v>
      </c>
      <c r="DU46" s="357">
        <v>2.5</v>
      </c>
      <c r="DV46" s="358"/>
      <c r="DW46" s="358"/>
      <c r="DX46" s="354"/>
      <c r="DY46" s="107"/>
      <c r="DZ46" s="107"/>
      <c r="EA46" s="333"/>
      <c r="EB46" s="3733" t="s">
        <v>173</v>
      </c>
      <c r="EC46" s="3734"/>
      <c r="ED46" s="254"/>
      <c r="EE46" s="557"/>
      <c r="EF46" s="557"/>
      <c r="EG46" s="558">
        <v>38</v>
      </c>
      <c r="EH46" s="548">
        <v>38.9</v>
      </c>
      <c r="EI46" s="549">
        <v>38.299999999999997</v>
      </c>
      <c r="EJ46" s="549">
        <v>16.600000000000001</v>
      </c>
      <c r="EK46" s="559"/>
      <c r="EL46" s="941">
        <v>40.5</v>
      </c>
      <c r="EM46" s="387">
        <v>40.799999999999997</v>
      </c>
      <c r="EN46" s="1651">
        <v>34.299999999999997</v>
      </c>
      <c r="EO46" s="388"/>
      <c r="EP46" s="380">
        <v>39.4</v>
      </c>
      <c r="EQ46" s="387">
        <v>40.299999999999997</v>
      </c>
      <c r="ER46" s="387" t="s">
        <v>109</v>
      </c>
      <c r="ES46" s="389"/>
      <c r="ET46" s="318">
        <v>38.799999999999997</v>
      </c>
      <c r="EU46" s="304">
        <v>40.200000000000003</v>
      </c>
      <c r="EV46" s="304">
        <v>34.6</v>
      </c>
      <c r="EW46" s="319"/>
      <c r="EX46" s="370">
        <v>39.5</v>
      </c>
      <c r="EY46" s="304">
        <v>39.5</v>
      </c>
      <c r="EZ46" s="304">
        <v>25.1</v>
      </c>
      <c r="FA46" s="319">
        <v>38.700000000000003</v>
      </c>
      <c r="FB46" s="319">
        <v>38.9</v>
      </c>
      <c r="FC46" s="319"/>
      <c r="FD46" s="319"/>
      <c r="FE46" s="319"/>
    </row>
    <row r="47" spans="1:161" ht="15.75">
      <c r="A47" s="390"/>
      <c r="B47" s="3737" t="s">
        <v>172</v>
      </c>
      <c r="C47" s="3738"/>
      <c r="D47" s="41">
        <v>6.48</v>
      </c>
      <c r="E47" s="560" t="s">
        <v>82</v>
      </c>
      <c r="F47" s="560">
        <v>5.05</v>
      </c>
      <c r="G47" s="561">
        <v>6.86</v>
      </c>
      <c r="H47" s="435">
        <v>4.78</v>
      </c>
      <c r="I47" s="41">
        <v>5.31</v>
      </c>
      <c r="J47" s="41">
        <v>2.74</v>
      </c>
      <c r="K47" s="562">
        <v>5.29</v>
      </c>
      <c r="L47" s="942">
        <v>6.37</v>
      </c>
      <c r="M47" s="381">
        <v>7.3</v>
      </c>
      <c r="N47" s="1660">
        <v>7.01</v>
      </c>
      <c r="O47" s="1657"/>
      <c r="P47" s="318">
        <v>6.53</v>
      </c>
      <c r="Q47" s="304">
        <v>5.45</v>
      </c>
      <c r="R47" s="387" t="s">
        <v>109</v>
      </c>
      <c r="S47" s="319"/>
      <c r="T47" s="318"/>
      <c r="U47" s="304">
        <v>5.93</v>
      </c>
      <c r="V47" s="387">
        <v>3.72</v>
      </c>
      <c r="W47" s="319"/>
      <c r="X47" s="319">
        <v>6.15</v>
      </c>
      <c r="Y47" s="319">
        <v>6.16</v>
      </c>
      <c r="Z47" s="319">
        <v>3.94</v>
      </c>
      <c r="AA47" s="319">
        <v>5.75</v>
      </c>
      <c r="AB47" s="319">
        <v>6.52</v>
      </c>
      <c r="AC47" s="319"/>
      <c r="AD47" s="319"/>
      <c r="AE47" s="319"/>
      <c r="AF47" s="107"/>
      <c r="AG47" s="390"/>
      <c r="AH47" s="3737" t="s">
        <v>172</v>
      </c>
      <c r="AI47" s="3738"/>
      <c r="AJ47" s="41" t="s">
        <v>82</v>
      </c>
      <c r="AK47" s="560" t="s">
        <v>82</v>
      </c>
      <c r="AL47" s="560" t="s">
        <v>82</v>
      </c>
      <c r="AM47" s="561">
        <v>9.6</v>
      </c>
      <c r="AN47" s="550">
        <v>9.92</v>
      </c>
      <c r="AO47" s="551">
        <v>8.73</v>
      </c>
      <c r="AP47" s="551">
        <v>9.16</v>
      </c>
      <c r="AQ47" s="562">
        <v>8.75</v>
      </c>
      <c r="AR47" s="942">
        <v>8.84</v>
      </c>
      <c r="AS47" s="304">
        <v>8.82</v>
      </c>
      <c r="AT47" s="1652">
        <v>8.94</v>
      </c>
      <c r="AU47" s="319"/>
      <c r="AV47" s="318">
        <v>9.07</v>
      </c>
      <c r="AW47" s="304">
        <v>8.99</v>
      </c>
      <c r="AX47" s="387" t="s">
        <v>109</v>
      </c>
      <c r="AY47" s="381"/>
      <c r="AZ47" s="304">
        <v>9.02</v>
      </c>
      <c r="BA47" s="304">
        <v>9.0399999999999991</v>
      </c>
      <c r="BB47" s="304">
        <v>9.24</v>
      </c>
      <c r="BC47" s="304"/>
      <c r="BD47" s="304">
        <v>9.2799999999999994</v>
      </c>
      <c r="BE47" s="304">
        <v>8.19</v>
      </c>
      <c r="BF47" s="304">
        <v>6.81</v>
      </c>
      <c r="BG47" s="304">
        <v>6.96</v>
      </c>
      <c r="BH47" s="304">
        <v>8.1999999999999993</v>
      </c>
      <c r="BI47" s="304"/>
      <c r="BJ47" s="304"/>
      <c r="BK47" s="304"/>
      <c r="BL47" s="107"/>
      <c r="BM47" s="390"/>
      <c r="BN47" s="3737" t="s">
        <v>172</v>
      </c>
      <c r="BO47" s="3738"/>
      <c r="BP47" s="41" t="s">
        <v>82</v>
      </c>
      <c r="BQ47" s="560" t="s">
        <v>82</v>
      </c>
      <c r="BR47" s="560" t="s">
        <v>82</v>
      </c>
      <c r="BS47" s="561" t="s">
        <v>82</v>
      </c>
      <c r="BT47" s="550">
        <v>0.28499999999999998</v>
      </c>
      <c r="BU47" s="551">
        <v>0.58699999999999997</v>
      </c>
      <c r="BV47" s="551">
        <v>0.73499999999999999</v>
      </c>
      <c r="BW47" s="910"/>
      <c r="BX47" s="318"/>
      <c r="BY47" s="304">
        <v>1.0960000000000001</v>
      </c>
      <c r="BZ47" s="304"/>
      <c r="CA47" s="319"/>
      <c r="CB47" s="318">
        <v>0.28999999999999998</v>
      </c>
      <c r="CC47" s="304"/>
      <c r="CD47" s="304"/>
      <c r="CE47" s="319"/>
      <c r="CF47" s="318"/>
      <c r="CG47" s="304">
        <v>0.30599999999999999</v>
      </c>
      <c r="CH47" s="304"/>
      <c r="CI47" s="319"/>
      <c r="CJ47" s="318"/>
      <c r="CK47" s="304"/>
      <c r="CL47" s="304"/>
      <c r="CM47" s="319"/>
      <c r="CN47" s="318">
        <v>2.1999999999999999E-2</v>
      </c>
      <c r="CO47" s="304"/>
      <c r="CP47" s="304"/>
      <c r="CQ47" s="319"/>
      <c r="CR47" s="107"/>
      <c r="CS47" s="107"/>
      <c r="CT47" s="390"/>
      <c r="CU47" s="3737" t="s">
        <v>172</v>
      </c>
      <c r="CV47" s="3738"/>
      <c r="CW47" s="41"/>
      <c r="CX47" s="560"/>
      <c r="CY47" s="560"/>
      <c r="CZ47" s="561">
        <v>2.6</v>
      </c>
      <c r="DA47" s="550">
        <v>2.56</v>
      </c>
      <c r="DB47" s="551">
        <v>2.4900000000000002</v>
      </c>
      <c r="DC47" s="551">
        <v>2.39</v>
      </c>
      <c r="DD47" s="562"/>
      <c r="DE47" s="942">
        <v>2.59</v>
      </c>
      <c r="DF47" s="304">
        <v>2.67</v>
      </c>
      <c r="DG47" s="1651">
        <v>2.44</v>
      </c>
      <c r="DH47" s="319"/>
      <c r="DI47" s="318">
        <v>2.52</v>
      </c>
      <c r="DJ47" s="304">
        <v>2.56</v>
      </c>
      <c r="DK47" s="387" t="s">
        <v>109</v>
      </c>
      <c r="DL47" s="381"/>
      <c r="DM47" s="318">
        <v>2.46</v>
      </c>
      <c r="DN47" s="304">
        <v>2.57</v>
      </c>
      <c r="DO47" s="304">
        <v>2.48</v>
      </c>
      <c r="DP47" s="319"/>
      <c r="DQ47" s="318">
        <v>2.5499999999999998</v>
      </c>
      <c r="DR47" s="304">
        <v>2.57</v>
      </c>
      <c r="DS47" s="304">
        <v>2.48</v>
      </c>
      <c r="DT47" s="319">
        <v>2.4900000000000002</v>
      </c>
      <c r="DU47" s="318">
        <v>2.5099999999999998</v>
      </c>
      <c r="DV47" s="304"/>
      <c r="DW47" s="304"/>
      <c r="DX47" s="319"/>
      <c r="DY47" s="107"/>
      <c r="DZ47" s="107"/>
      <c r="EA47" s="390"/>
      <c r="EB47" s="3737" t="s">
        <v>172</v>
      </c>
      <c r="EC47" s="3738"/>
      <c r="ED47" s="41"/>
      <c r="EE47" s="560"/>
      <c r="EF47" s="560"/>
      <c r="EG47" s="561">
        <v>40.4</v>
      </c>
      <c r="EH47" s="550">
        <v>39.9</v>
      </c>
      <c r="EI47" s="551">
        <v>38.799999999999997</v>
      </c>
      <c r="EJ47" s="551">
        <v>37.6</v>
      </c>
      <c r="EK47" s="562"/>
      <c r="EL47" s="942">
        <v>40.200000000000003</v>
      </c>
      <c r="EM47" s="304">
        <v>41.3</v>
      </c>
      <c r="EN47" s="1651">
        <v>37.9</v>
      </c>
      <c r="EO47" s="319"/>
      <c r="EP47" s="318">
        <v>39.299999999999997</v>
      </c>
      <c r="EQ47" s="304">
        <v>40</v>
      </c>
      <c r="ER47" s="387" t="s">
        <v>109</v>
      </c>
      <c r="ES47" s="381"/>
      <c r="ET47" s="318">
        <v>38.5</v>
      </c>
      <c r="EU47" s="304">
        <v>40</v>
      </c>
      <c r="EV47" s="304">
        <v>38.700000000000003</v>
      </c>
      <c r="EW47" s="319"/>
      <c r="EX47" s="370">
        <v>39.700000000000003</v>
      </c>
      <c r="EY47" s="304">
        <v>40</v>
      </c>
      <c r="EZ47" s="304">
        <v>38.700000000000003</v>
      </c>
      <c r="FA47" s="319">
        <v>38.799999999999997</v>
      </c>
      <c r="FB47" s="319">
        <v>39.1</v>
      </c>
      <c r="FC47" s="319"/>
      <c r="FD47" s="319"/>
      <c r="FE47" s="319"/>
    </row>
    <row r="48" spans="1:161" ht="16.5" thickBot="1">
      <c r="A48" s="307"/>
      <c r="B48" s="3730" t="s">
        <v>171</v>
      </c>
      <c r="C48" s="3731"/>
      <c r="D48" s="62">
        <v>6.36</v>
      </c>
      <c r="E48" s="563" t="s">
        <v>82</v>
      </c>
      <c r="F48" s="563">
        <v>4.22</v>
      </c>
      <c r="G48" s="564">
        <v>4.66</v>
      </c>
      <c r="H48" s="436">
        <v>2.71</v>
      </c>
      <c r="I48" s="62">
        <v>4.4000000000000004</v>
      </c>
      <c r="J48" s="62">
        <v>2.1800000000000002</v>
      </c>
      <c r="K48" s="565">
        <v>3.02</v>
      </c>
      <c r="L48" s="943">
        <v>4.74</v>
      </c>
      <c r="M48" s="382">
        <v>6.5</v>
      </c>
      <c r="N48" s="1663">
        <v>7.48</v>
      </c>
      <c r="O48" s="1658"/>
      <c r="P48" s="320">
        <v>6.12</v>
      </c>
      <c r="Q48" s="321">
        <v>4.75</v>
      </c>
      <c r="R48" s="387" t="s">
        <v>109</v>
      </c>
      <c r="S48" s="322"/>
      <c r="T48" s="320"/>
      <c r="U48" s="321">
        <v>1.96</v>
      </c>
      <c r="V48" s="387">
        <v>1.66</v>
      </c>
      <c r="W48" s="322"/>
      <c r="X48" s="322">
        <v>5.92</v>
      </c>
      <c r="Y48" s="322">
        <v>4.4800000000000004</v>
      </c>
      <c r="Z48" s="322">
        <v>2.19</v>
      </c>
      <c r="AA48" s="322">
        <v>4.24</v>
      </c>
      <c r="AB48" s="322">
        <v>5.37</v>
      </c>
      <c r="AC48" s="322"/>
      <c r="AD48" s="322"/>
      <c r="AE48" s="322"/>
      <c r="AF48" s="107"/>
      <c r="AG48" s="307"/>
      <c r="AH48" s="3730" t="s">
        <v>171</v>
      </c>
      <c r="AI48" s="3731"/>
      <c r="AJ48" s="62" t="s">
        <v>82</v>
      </c>
      <c r="AK48" s="563" t="s">
        <v>82</v>
      </c>
      <c r="AL48" s="563" t="s">
        <v>82</v>
      </c>
      <c r="AM48" s="564">
        <v>9.68</v>
      </c>
      <c r="AN48" s="552">
        <v>9.8800000000000008</v>
      </c>
      <c r="AO48" s="553">
        <v>8.82</v>
      </c>
      <c r="AP48" s="572">
        <v>8.8699999999999992</v>
      </c>
      <c r="AQ48" s="565">
        <v>8.81</v>
      </c>
      <c r="AR48" s="943">
        <v>8.83</v>
      </c>
      <c r="AS48" s="321">
        <v>8.83</v>
      </c>
      <c r="AT48" s="1671">
        <v>8.9499999999999993</v>
      </c>
      <c r="AU48" s="322"/>
      <c r="AV48" s="320">
        <v>8.9700000000000006</v>
      </c>
      <c r="AW48" s="321">
        <v>8.8800000000000008</v>
      </c>
      <c r="AX48" s="387" t="s">
        <v>109</v>
      </c>
      <c r="AY48" s="382"/>
      <c r="AZ48" s="304">
        <v>8.8800000000000008</v>
      </c>
      <c r="BA48" s="304">
        <v>8.61</v>
      </c>
      <c r="BB48" s="304">
        <v>9.14</v>
      </c>
      <c r="BC48" s="304"/>
      <c r="BD48" s="304">
        <v>9.3000000000000007</v>
      </c>
      <c r="BE48" s="304">
        <v>8.15</v>
      </c>
      <c r="BF48" s="304">
        <v>6.81</v>
      </c>
      <c r="BG48" s="304">
        <v>7</v>
      </c>
      <c r="BH48" s="304">
        <v>8.14</v>
      </c>
      <c r="BI48" s="304"/>
      <c r="BJ48" s="304"/>
      <c r="BK48" s="304"/>
      <c r="BL48" s="107"/>
      <c r="BM48" s="307"/>
      <c r="BN48" s="3730" t="s">
        <v>171</v>
      </c>
      <c r="BO48" s="3731"/>
      <c r="BP48" s="62" t="s">
        <v>82</v>
      </c>
      <c r="BQ48" s="563" t="s">
        <v>82</v>
      </c>
      <c r="BR48" s="563" t="s">
        <v>82</v>
      </c>
      <c r="BS48" s="564" t="s">
        <v>82</v>
      </c>
      <c r="BT48" s="552">
        <v>0.53700000000000003</v>
      </c>
      <c r="BU48" s="553">
        <v>0.54200000000000004</v>
      </c>
      <c r="BV48" s="553">
        <v>1.0629999999999999</v>
      </c>
      <c r="BW48" s="911"/>
      <c r="BX48" s="320"/>
      <c r="BY48" s="321">
        <v>1.121</v>
      </c>
      <c r="BZ48" s="321"/>
      <c r="CA48" s="322"/>
      <c r="CB48" s="320">
        <v>0.45</v>
      </c>
      <c r="CC48" s="321"/>
      <c r="CD48" s="321"/>
      <c r="CE48" s="322"/>
      <c r="CF48" s="320"/>
      <c r="CG48" s="321">
        <v>0.311</v>
      </c>
      <c r="CH48" s="321"/>
      <c r="CI48" s="322"/>
      <c r="CJ48" s="320"/>
      <c r="CK48" s="321"/>
      <c r="CL48" s="321"/>
      <c r="CM48" s="322"/>
      <c r="CN48" s="320">
        <v>0.02</v>
      </c>
      <c r="CO48" s="321"/>
      <c r="CP48" s="321"/>
      <c r="CQ48" s="322"/>
      <c r="CR48" s="107"/>
      <c r="CS48" s="107"/>
      <c r="CT48" s="307"/>
      <c r="CU48" s="3730" t="s">
        <v>171</v>
      </c>
      <c r="CV48" s="3731"/>
      <c r="CW48" s="62"/>
      <c r="CX48" s="563"/>
      <c r="CY48" s="563"/>
      <c r="CZ48" s="564">
        <v>2.6</v>
      </c>
      <c r="DA48" s="552">
        <v>2.61</v>
      </c>
      <c r="DB48" s="553">
        <v>2.52</v>
      </c>
      <c r="DC48" s="553">
        <v>2.46</v>
      </c>
      <c r="DD48" s="565"/>
      <c r="DE48" s="943">
        <v>2.62</v>
      </c>
      <c r="DF48" s="321">
        <v>2.65</v>
      </c>
      <c r="DG48" s="1676">
        <v>2.46</v>
      </c>
      <c r="DH48" s="322"/>
      <c r="DI48" s="320">
        <v>2.5499999999999998</v>
      </c>
      <c r="DJ48" s="321">
        <v>2.6</v>
      </c>
      <c r="DK48" s="387" t="s">
        <v>109</v>
      </c>
      <c r="DL48" s="382"/>
      <c r="DM48" s="320">
        <v>2.4500000000000002</v>
      </c>
      <c r="DN48" s="321">
        <v>2.57</v>
      </c>
      <c r="DO48" s="321">
        <v>2.5299999999999998</v>
      </c>
      <c r="DP48" s="322"/>
      <c r="DQ48" s="320">
        <v>2.57</v>
      </c>
      <c r="DR48" s="321">
        <v>2.57</v>
      </c>
      <c r="DS48" s="321">
        <v>2.56</v>
      </c>
      <c r="DT48" s="322">
        <v>2.54</v>
      </c>
      <c r="DU48" s="320">
        <v>2.5299999999999998</v>
      </c>
      <c r="DV48" s="321"/>
      <c r="DW48" s="321"/>
      <c r="DX48" s="322"/>
      <c r="DY48" s="107"/>
      <c r="DZ48" s="107"/>
      <c r="EA48" s="307"/>
      <c r="EB48" s="3730" t="s">
        <v>171</v>
      </c>
      <c r="EC48" s="3731"/>
      <c r="ED48" s="62"/>
      <c r="EE48" s="563"/>
      <c r="EF48" s="563"/>
      <c r="EG48" s="564">
        <v>40.4</v>
      </c>
      <c r="EH48" s="552">
        <v>40.700000000000003</v>
      </c>
      <c r="EI48" s="553">
        <v>39.200000000000003</v>
      </c>
      <c r="EJ48" s="553">
        <v>38.5</v>
      </c>
      <c r="EK48" s="565"/>
      <c r="EL48" s="943">
        <v>40.799999999999997</v>
      </c>
      <c r="EM48" s="321">
        <v>40.9</v>
      </c>
      <c r="EN48" s="1676">
        <v>38.200000000000003</v>
      </c>
      <c r="EO48" s="322"/>
      <c r="EP48" s="320">
        <v>39.700000000000003</v>
      </c>
      <c r="EQ48" s="321">
        <v>40.5</v>
      </c>
      <c r="ER48" s="387" t="s">
        <v>109</v>
      </c>
      <c r="ES48" s="382"/>
      <c r="ET48" s="320">
        <v>38.9</v>
      </c>
      <c r="EU48" s="321">
        <v>40.1</v>
      </c>
      <c r="EV48" s="321">
        <v>39.5</v>
      </c>
      <c r="EW48" s="322"/>
      <c r="EX48" s="371">
        <v>40</v>
      </c>
      <c r="EY48" s="321">
        <v>40</v>
      </c>
      <c r="EZ48" s="321">
        <v>39.799999999999997</v>
      </c>
      <c r="FA48" s="322">
        <v>39.6</v>
      </c>
      <c r="FB48" s="322">
        <v>39.4</v>
      </c>
      <c r="FC48" s="322"/>
      <c r="FD48" s="322"/>
      <c r="FE48" s="322"/>
    </row>
    <row r="49" spans="1:161" ht="15.75" thickBot="1">
      <c r="A49" s="107"/>
      <c r="B49" s="196"/>
      <c r="C49" s="107"/>
      <c r="D49" s="108"/>
      <c r="E49" s="122"/>
      <c r="F49" s="122"/>
      <c r="G49" s="122"/>
      <c r="H49" s="108"/>
      <c r="I49" s="108"/>
      <c r="J49" s="108"/>
      <c r="K49" s="218"/>
      <c r="L49" s="107"/>
      <c r="M49" s="107"/>
      <c r="N49" s="1661"/>
      <c r="O49" s="107"/>
      <c r="P49" s="107"/>
      <c r="Q49" s="107"/>
      <c r="R49" s="107"/>
      <c r="S49" s="107"/>
      <c r="T49" s="107"/>
      <c r="U49" s="107"/>
      <c r="V49" s="107"/>
      <c r="W49" s="107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96"/>
      <c r="AI49" s="107"/>
      <c r="AJ49" s="108"/>
      <c r="AK49" s="122"/>
      <c r="AL49" s="122"/>
      <c r="AM49" s="122"/>
      <c r="AN49" s="554"/>
      <c r="AO49" s="554"/>
      <c r="AP49" s="218"/>
      <c r="AQ49" s="218"/>
      <c r="AR49" s="107"/>
      <c r="AS49" s="107"/>
      <c r="AT49" s="580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20"/>
      <c r="BM49" s="120"/>
      <c r="BN49" s="196"/>
      <c r="BO49" s="107"/>
      <c r="BP49" s="108"/>
      <c r="BQ49" s="122"/>
      <c r="BR49" s="122"/>
      <c r="BS49" s="122"/>
      <c r="BT49" s="554"/>
      <c r="BU49" s="554"/>
      <c r="BV49" s="554"/>
      <c r="BW49" s="56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20"/>
      <c r="CT49" s="120"/>
      <c r="CU49" s="196"/>
      <c r="CV49" s="107"/>
      <c r="CW49" s="108"/>
      <c r="CX49" s="122"/>
      <c r="CY49" s="122"/>
      <c r="CZ49" s="122"/>
      <c r="DA49" s="554"/>
      <c r="DB49" s="554"/>
      <c r="DC49" s="554"/>
      <c r="DD49" s="218"/>
      <c r="DE49" s="107"/>
      <c r="DF49" s="107"/>
      <c r="DG49" s="1021"/>
      <c r="DH49" s="107"/>
      <c r="DI49" s="107"/>
      <c r="DJ49" s="107"/>
      <c r="DK49" s="107"/>
      <c r="DL49" s="107"/>
      <c r="DM49" s="107"/>
      <c r="DN49" s="107"/>
      <c r="DO49" s="107"/>
      <c r="DP49" s="107"/>
      <c r="DQ49" s="107"/>
      <c r="DR49" s="107"/>
      <c r="DS49" s="107"/>
      <c r="DT49" s="107"/>
      <c r="DU49" s="107"/>
      <c r="DV49" s="107"/>
      <c r="DW49" s="107"/>
      <c r="DX49" s="107"/>
      <c r="DY49" s="107"/>
      <c r="DZ49" s="120"/>
      <c r="EA49" s="120"/>
      <c r="EB49" s="196"/>
      <c r="EC49" s="107"/>
      <c r="ED49" s="108"/>
      <c r="EE49" s="122"/>
      <c r="EF49" s="122"/>
      <c r="EG49" s="122"/>
      <c r="EH49" s="554"/>
      <c r="EI49" s="554"/>
      <c r="EJ49" s="554"/>
      <c r="EK49" s="218"/>
      <c r="EL49" s="107"/>
      <c r="EM49" s="107"/>
      <c r="EN49" s="1021"/>
      <c r="EO49" s="107"/>
      <c r="EP49" s="107"/>
      <c r="EQ49" s="107"/>
      <c r="ER49" s="107"/>
      <c r="ES49" s="107"/>
      <c r="ET49" s="107"/>
      <c r="EU49" s="107"/>
      <c r="EV49" s="107"/>
      <c r="EW49" s="107"/>
      <c r="EX49" s="107"/>
      <c r="EY49" s="107"/>
      <c r="EZ49" s="107"/>
      <c r="FA49" s="107"/>
    </row>
    <row r="50" spans="1:161" ht="15.75" thickBot="1">
      <c r="A50" s="597">
        <v>9</v>
      </c>
      <c r="B50" s="3732"/>
      <c r="C50" s="3732"/>
      <c r="D50" s="441"/>
      <c r="E50" s="441"/>
      <c r="F50" s="441"/>
      <c r="G50" s="441"/>
      <c r="H50" s="440"/>
      <c r="I50" s="441"/>
      <c r="J50" s="441"/>
      <c r="K50" s="556"/>
      <c r="L50" s="438"/>
      <c r="M50" s="438"/>
      <c r="N50" s="1662"/>
      <c r="O50" s="438"/>
      <c r="P50" s="438"/>
      <c r="Q50" s="438"/>
      <c r="R50" s="438"/>
      <c r="S50" s="439"/>
      <c r="T50" s="438"/>
      <c r="U50" s="438"/>
      <c r="V50" s="438"/>
      <c r="W50" s="439"/>
      <c r="X50" s="3724"/>
      <c r="Y50" s="3725"/>
      <c r="Z50" s="3725"/>
      <c r="AA50" s="3726"/>
      <c r="AB50" s="3724"/>
      <c r="AC50" s="3725"/>
      <c r="AD50" s="3725"/>
      <c r="AE50" s="3726"/>
      <c r="AF50" s="107"/>
      <c r="AG50" s="597">
        <v>9</v>
      </c>
      <c r="AH50" s="3732"/>
      <c r="AI50" s="3732"/>
      <c r="AJ50" s="441"/>
      <c r="AK50" s="441"/>
      <c r="AL50" s="441"/>
      <c r="AM50" s="441"/>
      <c r="AN50" s="555"/>
      <c r="AO50" s="556"/>
      <c r="AP50" s="441"/>
      <c r="AQ50" s="556"/>
      <c r="AR50" s="438"/>
      <c r="AS50" s="438"/>
      <c r="AT50" s="556"/>
      <c r="AU50" s="438"/>
      <c r="AV50" s="438"/>
      <c r="AW50" s="438"/>
      <c r="AX50" s="438"/>
      <c r="AY50" s="439"/>
      <c r="AZ50" s="3724"/>
      <c r="BA50" s="3725"/>
      <c r="BB50" s="3725"/>
      <c r="BC50" s="3726"/>
      <c r="BD50" s="3724"/>
      <c r="BE50" s="3725"/>
      <c r="BF50" s="3725"/>
      <c r="BG50" s="3726"/>
      <c r="BH50" s="3724"/>
      <c r="BI50" s="3725"/>
      <c r="BJ50" s="3725"/>
      <c r="BK50" s="3726"/>
      <c r="BL50" s="107"/>
      <c r="BM50" s="597">
        <v>9</v>
      </c>
      <c r="BN50" s="3732"/>
      <c r="BO50" s="3732"/>
      <c r="BP50" s="441"/>
      <c r="BQ50" s="441"/>
      <c r="BR50" s="441"/>
      <c r="BS50" s="441"/>
      <c r="BT50" s="556"/>
      <c r="BU50" s="556"/>
      <c r="BV50" s="441"/>
      <c r="BW50" s="576"/>
      <c r="BX50" s="438"/>
      <c r="BY50" s="438"/>
      <c r="BZ50" s="438"/>
      <c r="CA50" s="438"/>
      <c r="CB50" s="438"/>
      <c r="CC50" s="438"/>
      <c r="CD50" s="438"/>
      <c r="CE50" s="439"/>
      <c r="CF50" s="438"/>
      <c r="CG50" s="438"/>
      <c r="CH50" s="438"/>
      <c r="CI50" s="439"/>
      <c r="CJ50" s="438"/>
      <c r="CK50" s="438"/>
      <c r="CL50" s="438"/>
      <c r="CM50" s="439"/>
      <c r="CN50" s="438"/>
      <c r="CO50" s="438"/>
      <c r="CP50" s="438"/>
      <c r="CQ50" s="439"/>
      <c r="CR50" s="107"/>
      <c r="CS50" s="107"/>
      <c r="CT50" s="597">
        <v>9</v>
      </c>
      <c r="CU50" s="3732"/>
      <c r="CV50" s="3732"/>
      <c r="CW50" s="441"/>
      <c r="CX50" s="441"/>
      <c r="CY50" s="441"/>
      <c r="CZ50" s="441"/>
      <c r="DA50" s="556"/>
      <c r="DB50" s="556"/>
      <c r="DC50" s="441"/>
      <c r="DD50" s="556"/>
      <c r="DE50" s="438"/>
      <c r="DF50" s="438"/>
      <c r="DG50" s="1675"/>
      <c r="DH50" s="438"/>
      <c r="DI50" s="3725"/>
      <c r="DJ50" s="3725"/>
      <c r="DK50" s="3725"/>
      <c r="DL50" s="3726"/>
      <c r="DM50" s="3724"/>
      <c r="DN50" s="3725"/>
      <c r="DO50" s="3725"/>
      <c r="DP50" s="3726"/>
      <c r="DQ50" s="3725"/>
      <c r="DR50" s="3725"/>
      <c r="DS50" s="3725"/>
      <c r="DT50" s="3726"/>
      <c r="DU50" s="3725"/>
      <c r="DV50" s="3725"/>
      <c r="DW50" s="3725"/>
      <c r="DX50" s="3726"/>
      <c r="DY50" s="107"/>
      <c r="DZ50" s="107"/>
      <c r="EA50" s="597">
        <v>9</v>
      </c>
      <c r="EB50" s="3732"/>
      <c r="EC50" s="3732"/>
      <c r="ED50" s="441"/>
      <c r="EE50" s="441"/>
      <c r="EF50" s="441"/>
      <c r="EG50" s="441"/>
      <c r="EH50" s="556"/>
      <c r="EI50" s="556"/>
      <c r="EJ50" s="441"/>
      <c r="EK50" s="556"/>
      <c r="EL50" s="438"/>
      <c r="EM50" s="438"/>
      <c r="EN50" s="1675"/>
      <c r="EO50" s="438"/>
      <c r="EP50" s="438"/>
      <c r="EQ50" s="438"/>
      <c r="ER50" s="438"/>
      <c r="ES50" s="438"/>
      <c r="ET50" s="3297"/>
      <c r="EU50" s="1659"/>
      <c r="EV50" s="1659"/>
      <c r="EW50" s="3298"/>
      <c r="EX50" s="1659"/>
      <c r="EY50" s="1659"/>
      <c r="EZ50" s="1659"/>
      <c r="FA50" s="3298"/>
      <c r="FB50" s="1659"/>
      <c r="FC50" s="1659"/>
      <c r="FD50" s="1659"/>
      <c r="FE50" s="3298"/>
    </row>
    <row r="51" spans="1:161" ht="15.75">
      <c r="A51" s="332"/>
      <c r="B51" s="3735" t="s">
        <v>173</v>
      </c>
      <c r="C51" s="3736"/>
      <c r="D51" s="251">
        <v>5.52</v>
      </c>
      <c r="E51" s="566" t="s">
        <v>82</v>
      </c>
      <c r="F51" s="566">
        <v>5.28</v>
      </c>
      <c r="G51" s="578">
        <v>5.59</v>
      </c>
      <c r="H51" s="437">
        <v>7.48</v>
      </c>
      <c r="I51" s="254">
        <v>11.26</v>
      </c>
      <c r="J51" s="254">
        <v>9.4600000000000009</v>
      </c>
      <c r="K51" s="559">
        <v>9.6999999999999993</v>
      </c>
      <c r="L51" s="941">
        <v>7.52</v>
      </c>
      <c r="M51" s="389">
        <v>6.42</v>
      </c>
      <c r="N51" s="1660">
        <v>7.82</v>
      </c>
      <c r="O51" s="1656"/>
      <c r="P51" s="380">
        <v>7.35</v>
      </c>
      <c r="Q51" s="387">
        <v>7.33</v>
      </c>
      <c r="R51" s="387" t="s">
        <v>109</v>
      </c>
      <c r="S51" s="388"/>
      <c r="T51" s="380"/>
      <c r="U51" s="387">
        <v>7.26</v>
      </c>
      <c r="V51" s="387">
        <v>8.14</v>
      </c>
      <c r="W51" s="388"/>
      <c r="X51" s="388">
        <v>8.86</v>
      </c>
      <c r="Y51" s="388">
        <v>8.86</v>
      </c>
      <c r="Z51" s="388">
        <v>7.49</v>
      </c>
      <c r="AA51" s="388">
        <v>6.01</v>
      </c>
      <c r="AB51" s="388">
        <v>7.8</v>
      </c>
      <c r="AC51" s="388"/>
      <c r="AD51" s="388"/>
      <c r="AE51" s="388"/>
      <c r="AF51" s="107"/>
      <c r="AG51" s="332"/>
      <c r="AH51" s="3735" t="s">
        <v>173</v>
      </c>
      <c r="AI51" s="3736"/>
      <c r="AJ51" s="254" t="s">
        <v>82</v>
      </c>
      <c r="AK51" s="557" t="s">
        <v>82</v>
      </c>
      <c r="AL51" s="557" t="s">
        <v>82</v>
      </c>
      <c r="AM51" s="558">
        <v>9.51</v>
      </c>
      <c r="AN51" s="548">
        <v>9.1300000000000008</v>
      </c>
      <c r="AO51" s="549">
        <v>9.2799999999999994</v>
      </c>
      <c r="AP51" s="549">
        <v>9.91</v>
      </c>
      <c r="AQ51" s="559">
        <v>8.89</v>
      </c>
      <c r="AR51" s="941">
        <v>8.84</v>
      </c>
      <c r="AS51" s="387">
        <v>8.69</v>
      </c>
      <c r="AT51" s="1652">
        <v>8.6999999999999993</v>
      </c>
      <c r="AU51" s="388"/>
      <c r="AV51" s="380">
        <v>9.42</v>
      </c>
      <c r="AW51" s="387">
        <v>9.14</v>
      </c>
      <c r="AX51" s="387" t="s">
        <v>109</v>
      </c>
      <c r="AY51" s="389"/>
      <c r="AZ51" s="387">
        <v>9.57</v>
      </c>
      <c r="BA51" s="387">
        <v>9.2289999999999992</v>
      </c>
      <c r="BB51" s="387">
        <v>9.59</v>
      </c>
      <c r="BC51" s="387"/>
      <c r="BD51" s="387">
        <v>9.64</v>
      </c>
      <c r="BE51" s="387">
        <v>8.6</v>
      </c>
      <c r="BF51" s="387">
        <v>6.49</v>
      </c>
      <c r="BG51" s="387">
        <v>6.85</v>
      </c>
      <c r="BH51" s="387">
        <v>8.08</v>
      </c>
      <c r="BI51" s="387"/>
      <c r="BJ51" s="387"/>
      <c r="BK51" s="387"/>
      <c r="BL51" s="107"/>
      <c r="BM51" s="332"/>
      <c r="BN51" s="3735" t="s">
        <v>173</v>
      </c>
      <c r="BO51" s="3736"/>
      <c r="BP51" s="254" t="s">
        <v>82</v>
      </c>
      <c r="BQ51" s="557" t="s">
        <v>82</v>
      </c>
      <c r="BR51" s="557" t="s">
        <v>82</v>
      </c>
      <c r="BS51" s="558" t="s">
        <v>82</v>
      </c>
      <c r="BT51" s="548">
        <v>0.27</v>
      </c>
      <c r="BU51" s="549">
        <v>0.81200000000000006</v>
      </c>
      <c r="BV51" s="549">
        <v>1.032</v>
      </c>
      <c r="BW51" s="909"/>
      <c r="BX51" s="380"/>
      <c r="BY51" s="387">
        <v>0.86099999999999999</v>
      </c>
      <c r="BZ51" s="387"/>
      <c r="CA51" s="388"/>
      <c r="CB51" s="380">
        <v>0.24</v>
      </c>
      <c r="CC51" s="387"/>
      <c r="CD51" s="387"/>
      <c r="CE51" s="388"/>
      <c r="CF51" s="380"/>
      <c r="CG51" s="387">
        <v>0.10100000000000001</v>
      </c>
      <c r="CH51" s="387"/>
      <c r="CI51" s="388"/>
      <c r="CJ51" s="380"/>
      <c r="CK51" s="387"/>
      <c r="CL51" s="387"/>
      <c r="CM51" s="388"/>
      <c r="CN51" s="380">
        <v>7.5999999999999998E-2</v>
      </c>
      <c r="CO51" s="387"/>
      <c r="CP51" s="387"/>
      <c r="CQ51" s="388"/>
      <c r="CR51" s="107"/>
      <c r="CS51" s="107"/>
      <c r="CT51" s="332"/>
      <c r="CU51" s="3735" t="s">
        <v>173</v>
      </c>
      <c r="CV51" s="3736"/>
      <c r="CW51" s="254"/>
      <c r="CX51" s="557"/>
      <c r="CY51" s="557"/>
      <c r="CZ51" s="558">
        <v>1.88</v>
      </c>
      <c r="DA51" s="548">
        <v>2.2200000000000002</v>
      </c>
      <c r="DB51" s="549">
        <v>2.35</v>
      </c>
      <c r="DC51" s="549">
        <v>0.87</v>
      </c>
      <c r="DD51" s="559"/>
      <c r="DE51" s="941">
        <v>2.35</v>
      </c>
      <c r="DF51" s="387">
        <v>2.5299999999999998</v>
      </c>
      <c r="DG51" s="1651">
        <v>1.63</v>
      </c>
      <c r="DH51" s="388"/>
      <c r="DI51" s="380">
        <v>2.48</v>
      </c>
      <c r="DJ51" s="387">
        <v>2.59</v>
      </c>
      <c r="DK51" s="387" t="s">
        <v>109</v>
      </c>
      <c r="DL51" s="389"/>
      <c r="DM51" s="357">
        <v>2.27</v>
      </c>
      <c r="DN51" s="358">
        <v>2.59</v>
      </c>
      <c r="DO51" s="358">
        <v>1.98</v>
      </c>
      <c r="DP51" s="354"/>
      <c r="DQ51" s="357">
        <v>2.52</v>
      </c>
      <c r="DR51" s="358">
        <v>2.5499999999999998</v>
      </c>
      <c r="DS51" s="358">
        <v>1.62</v>
      </c>
      <c r="DT51" s="354">
        <v>2.4300000000000002</v>
      </c>
      <c r="DU51" s="357">
        <v>2.2799999999999998</v>
      </c>
      <c r="DV51" s="358"/>
      <c r="DW51" s="358"/>
      <c r="DX51" s="354"/>
      <c r="DY51" s="107"/>
      <c r="DZ51" s="107"/>
      <c r="EA51" s="332"/>
      <c r="EB51" s="3735" t="s">
        <v>173</v>
      </c>
      <c r="EC51" s="3736"/>
      <c r="ED51" s="254"/>
      <c r="EE51" s="557"/>
      <c r="EF51" s="557"/>
      <c r="EG51" s="558">
        <v>30.1</v>
      </c>
      <c r="EH51" s="548">
        <v>35</v>
      </c>
      <c r="EI51" s="549">
        <v>36.5</v>
      </c>
      <c r="EJ51" s="549">
        <v>14.9</v>
      </c>
      <c r="EK51" s="559"/>
      <c r="EL51" s="941">
        <v>36.9</v>
      </c>
      <c r="EM51" s="387">
        <v>39.5</v>
      </c>
      <c r="EN51" s="1651">
        <v>25.9</v>
      </c>
      <c r="EO51" s="388"/>
      <c r="EP51" s="380">
        <v>38.700000000000003</v>
      </c>
      <c r="EQ51" s="387">
        <v>40.299999999999997</v>
      </c>
      <c r="ER51" s="387" t="s">
        <v>109</v>
      </c>
      <c r="ES51" s="389"/>
      <c r="ET51" s="318">
        <v>35.9</v>
      </c>
      <c r="EU51" s="304">
        <v>40.299999999999997</v>
      </c>
      <c r="EV51" s="304">
        <v>27.1</v>
      </c>
      <c r="EW51" s="319"/>
      <c r="EX51" s="370">
        <v>39.299999999999997</v>
      </c>
      <c r="EY51" s="304">
        <v>39.5</v>
      </c>
      <c r="EZ51" s="304">
        <v>26.2</v>
      </c>
      <c r="FA51" s="319">
        <v>38.1</v>
      </c>
      <c r="FB51" s="319">
        <v>36.1</v>
      </c>
      <c r="FC51" s="319"/>
      <c r="FD51" s="319"/>
      <c r="FE51" s="319"/>
    </row>
    <row r="52" spans="1:161" ht="15.75">
      <c r="A52" s="390"/>
      <c r="B52" s="3737" t="s">
        <v>172</v>
      </c>
      <c r="C52" s="3738"/>
      <c r="D52" s="41">
        <v>4.71</v>
      </c>
      <c r="E52" s="560" t="s">
        <v>82</v>
      </c>
      <c r="F52" s="560">
        <v>5.75</v>
      </c>
      <c r="G52" s="574">
        <v>5.49</v>
      </c>
      <c r="H52" s="435">
        <v>2.87</v>
      </c>
      <c r="I52" s="41">
        <v>5.31</v>
      </c>
      <c r="J52" s="41">
        <v>2.15</v>
      </c>
      <c r="K52" s="562">
        <v>5.03</v>
      </c>
      <c r="L52" s="942">
        <v>5.4</v>
      </c>
      <c r="M52" s="381">
        <v>5.4</v>
      </c>
      <c r="N52" s="1660">
        <v>5.71</v>
      </c>
      <c r="O52" s="1657"/>
      <c r="P52" s="318">
        <v>5.61</v>
      </c>
      <c r="Q52" s="304">
        <v>5.45</v>
      </c>
      <c r="R52" s="387" t="s">
        <v>109</v>
      </c>
      <c r="S52" s="319"/>
      <c r="T52" s="318"/>
      <c r="U52" s="304">
        <v>6.11</v>
      </c>
      <c r="V52" s="387">
        <v>5.12</v>
      </c>
      <c r="W52" s="319"/>
      <c r="X52" s="319">
        <v>5.7</v>
      </c>
      <c r="Y52" s="319">
        <v>6.38</v>
      </c>
      <c r="Z52" s="319">
        <v>2.37</v>
      </c>
      <c r="AA52" s="319">
        <v>3.03</v>
      </c>
      <c r="AB52" s="319">
        <v>5.99</v>
      </c>
      <c r="AC52" s="319"/>
      <c r="AD52" s="319"/>
      <c r="AE52" s="319"/>
      <c r="AF52" s="107"/>
      <c r="AG52" s="390"/>
      <c r="AH52" s="3737" t="s">
        <v>172</v>
      </c>
      <c r="AI52" s="3738"/>
      <c r="AJ52" s="41" t="s">
        <v>82</v>
      </c>
      <c r="AK52" s="560" t="s">
        <v>82</v>
      </c>
      <c r="AL52" s="560" t="s">
        <v>82</v>
      </c>
      <c r="AM52" s="561">
        <v>9.51</v>
      </c>
      <c r="AN52" s="550">
        <v>9.64</v>
      </c>
      <c r="AO52" s="551">
        <v>8.6999999999999993</v>
      </c>
      <c r="AP52" s="551">
        <v>8.85</v>
      </c>
      <c r="AQ52" s="562">
        <v>8.58</v>
      </c>
      <c r="AR52" s="942">
        <v>8.6300000000000008</v>
      </c>
      <c r="AS52" s="304">
        <v>8.65</v>
      </c>
      <c r="AT52" s="1652">
        <v>8.6999999999999993</v>
      </c>
      <c r="AU52" s="319"/>
      <c r="AV52" s="318">
        <v>8.92</v>
      </c>
      <c r="AW52" s="304">
        <v>9</v>
      </c>
      <c r="AX52" s="387" t="s">
        <v>109</v>
      </c>
      <c r="AY52" s="381"/>
      <c r="AZ52" s="304">
        <v>8.7899999999999991</v>
      </c>
      <c r="BA52" s="304">
        <v>9.19</v>
      </c>
      <c r="BB52" s="304">
        <v>9.49</v>
      </c>
      <c r="BC52" s="304"/>
      <c r="BD52" s="304">
        <v>9.4</v>
      </c>
      <c r="BE52" s="304">
        <v>8.27</v>
      </c>
      <c r="BF52" s="304">
        <v>6.57</v>
      </c>
      <c r="BG52" s="304">
        <v>6.92</v>
      </c>
      <c r="BH52" s="304">
        <v>8.18</v>
      </c>
      <c r="BI52" s="304"/>
      <c r="BJ52" s="304"/>
      <c r="BK52" s="304"/>
      <c r="BL52" s="107"/>
      <c r="BM52" s="390"/>
      <c r="BN52" s="3737" t="s">
        <v>172</v>
      </c>
      <c r="BO52" s="3738"/>
      <c r="BP52" s="41" t="s">
        <v>82</v>
      </c>
      <c r="BQ52" s="560" t="s">
        <v>82</v>
      </c>
      <c r="BR52" s="560" t="s">
        <v>82</v>
      </c>
      <c r="BS52" s="561" t="s">
        <v>82</v>
      </c>
      <c r="BT52" s="550">
        <v>0.24</v>
      </c>
      <c r="BU52" s="551">
        <v>0.80500000000000005</v>
      </c>
      <c r="BV52" s="551">
        <v>0.82399999999999995</v>
      </c>
      <c r="BW52" s="910"/>
      <c r="BX52" s="318"/>
      <c r="BY52" s="304">
        <v>0.81399999999999995</v>
      </c>
      <c r="BZ52" s="304"/>
      <c r="CA52" s="319"/>
      <c r="CB52" s="318">
        <v>0.4</v>
      </c>
      <c r="CC52" s="304"/>
      <c r="CD52" s="304"/>
      <c r="CE52" s="319"/>
      <c r="CF52" s="318"/>
      <c r="CG52" s="304">
        <v>0.109</v>
      </c>
      <c r="CH52" s="304"/>
      <c r="CI52" s="319"/>
      <c r="CJ52" s="318"/>
      <c r="CK52" s="304"/>
      <c r="CL52" s="304"/>
      <c r="CM52" s="319"/>
      <c r="CN52" s="318" t="s">
        <v>449</v>
      </c>
      <c r="CO52" s="304"/>
      <c r="CP52" s="304"/>
      <c r="CQ52" s="319"/>
      <c r="CR52" s="107"/>
      <c r="CS52" s="107"/>
      <c r="CT52" s="390"/>
      <c r="CU52" s="3737" t="s">
        <v>172</v>
      </c>
      <c r="CV52" s="3738"/>
      <c r="CW52" s="41"/>
      <c r="CX52" s="560"/>
      <c r="CY52" s="560"/>
      <c r="CZ52" s="561">
        <v>2.58</v>
      </c>
      <c r="DA52" s="550">
        <v>2.57</v>
      </c>
      <c r="DB52" s="551">
        <v>2.46</v>
      </c>
      <c r="DC52" s="551">
        <v>2.37</v>
      </c>
      <c r="DD52" s="562"/>
      <c r="DE52" s="942">
        <v>2.59</v>
      </c>
      <c r="DF52" s="304">
        <v>2.66</v>
      </c>
      <c r="DG52" s="1651">
        <v>2.4700000000000002</v>
      </c>
      <c r="DH52" s="319"/>
      <c r="DI52" s="318">
        <v>2.5299999999999998</v>
      </c>
      <c r="DJ52" s="304">
        <v>2.58</v>
      </c>
      <c r="DK52" s="387" t="s">
        <v>109</v>
      </c>
      <c r="DL52" s="381"/>
      <c r="DM52" s="318">
        <v>2.4500000000000002</v>
      </c>
      <c r="DN52" s="304">
        <v>2.58</v>
      </c>
      <c r="DO52" s="304">
        <v>2.29</v>
      </c>
      <c r="DP52" s="319"/>
      <c r="DQ52" s="318">
        <v>2.58</v>
      </c>
      <c r="DR52" s="304">
        <v>2.57</v>
      </c>
      <c r="DS52" s="304">
        <v>2.4300000000000002</v>
      </c>
      <c r="DT52" s="319">
        <v>2.58</v>
      </c>
      <c r="DU52" s="318">
        <v>2.4900000000000002</v>
      </c>
      <c r="DV52" s="304"/>
      <c r="DW52" s="304"/>
      <c r="DX52" s="319"/>
      <c r="DY52" s="107"/>
      <c r="DZ52" s="107"/>
      <c r="EA52" s="390"/>
      <c r="EB52" s="3737" t="s">
        <v>172</v>
      </c>
      <c r="EC52" s="3738"/>
      <c r="ED52" s="41"/>
      <c r="EE52" s="560"/>
      <c r="EF52" s="560"/>
      <c r="EG52" s="561">
        <v>40.1</v>
      </c>
      <c r="EH52" s="550">
        <v>40.200000000000003</v>
      </c>
      <c r="EI52" s="551">
        <v>38.1</v>
      </c>
      <c r="EJ52" s="551">
        <v>37.1</v>
      </c>
      <c r="EK52" s="562"/>
      <c r="EL52" s="942">
        <v>40.299999999999997</v>
      </c>
      <c r="EM52" s="304">
        <v>41.2</v>
      </c>
      <c r="EN52" s="1651">
        <v>38.6</v>
      </c>
      <c r="EO52" s="319"/>
      <c r="EP52" s="318">
        <v>39.5</v>
      </c>
      <c r="EQ52" s="304">
        <v>40</v>
      </c>
      <c r="ER52" s="387" t="s">
        <v>109</v>
      </c>
      <c r="ES52" s="381"/>
      <c r="ET52" s="318">
        <v>38.299999999999997</v>
      </c>
      <c r="EU52" s="304">
        <v>40.1</v>
      </c>
      <c r="EV52" s="304">
        <v>36</v>
      </c>
      <c r="EW52" s="319"/>
      <c r="EX52" s="370">
        <v>40.1</v>
      </c>
      <c r="EY52" s="304">
        <v>40</v>
      </c>
      <c r="EZ52" s="304">
        <v>37.9</v>
      </c>
      <c r="FA52" s="319">
        <v>40.1</v>
      </c>
      <c r="FB52" s="319">
        <v>38.799999999999997</v>
      </c>
      <c r="FC52" s="319"/>
      <c r="FD52" s="319"/>
      <c r="FE52" s="319"/>
    </row>
    <row r="53" spans="1:161" ht="16.5" thickBot="1">
      <c r="A53" s="307"/>
      <c r="B53" s="3730" t="s">
        <v>171</v>
      </c>
      <c r="C53" s="3731"/>
      <c r="D53" s="62">
        <v>3.37</v>
      </c>
      <c r="E53" s="563" t="s">
        <v>82</v>
      </c>
      <c r="F53" s="563">
        <v>5.0599999999999996</v>
      </c>
      <c r="G53" s="575">
        <v>6.42</v>
      </c>
      <c r="H53" s="436">
        <v>2.99</v>
      </c>
      <c r="I53" s="62">
        <v>4.6100000000000003</v>
      </c>
      <c r="J53" s="563">
        <v>1.71</v>
      </c>
      <c r="K53" s="565">
        <v>3.67</v>
      </c>
      <c r="L53" s="943">
        <v>3.81</v>
      </c>
      <c r="M53" s="382">
        <v>4.07</v>
      </c>
      <c r="N53" s="1663">
        <v>4.6399999999999997</v>
      </c>
      <c r="O53" s="1658"/>
      <c r="P53" s="320">
        <v>4.75</v>
      </c>
      <c r="Q53" s="321">
        <v>4.79</v>
      </c>
      <c r="R53" s="387" t="s">
        <v>109</v>
      </c>
      <c r="S53" s="322"/>
      <c r="T53" s="320"/>
      <c r="U53" s="321">
        <v>2.84</v>
      </c>
      <c r="V53" s="387">
        <v>2.64</v>
      </c>
      <c r="W53" s="322"/>
      <c r="X53" s="322">
        <v>5.88</v>
      </c>
      <c r="Y53" s="322">
        <v>4.46</v>
      </c>
      <c r="Z53" s="322">
        <v>1.74</v>
      </c>
      <c r="AA53" s="322">
        <v>2.4900000000000002</v>
      </c>
      <c r="AB53" s="322">
        <v>3.51</v>
      </c>
      <c r="AC53" s="322"/>
      <c r="AD53" s="322"/>
      <c r="AE53" s="322"/>
      <c r="AF53" s="107"/>
      <c r="AG53" s="307"/>
      <c r="AH53" s="3730" t="s">
        <v>171</v>
      </c>
      <c r="AI53" s="3731"/>
      <c r="AJ53" s="62" t="s">
        <v>82</v>
      </c>
      <c r="AK53" s="563" t="s">
        <v>82</v>
      </c>
      <c r="AL53" s="563" t="s">
        <v>82</v>
      </c>
      <c r="AM53" s="564">
        <v>8.0299999999999994</v>
      </c>
      <c r="AN53" s="552">
        <v>9.7100000000000009</v>
      </c>
      <c r="AO53" s="553">
        <v>8.35</v>
      </c>
      <c r="AP53" s="572">
        <v>9.08</v>
      </c>
      <c r="AQ53" s="565">
        <v>8.75</v>
      </c>
      <c r="AR53" s="943">
        <v>8.5399999999999991</v>
      </c>
      <c r="AS53" s="321">
        <v>8.36</v>
      </c>
      <c r="AT53" s="1671">
        <v>8.59</v>
      </c>
      <c r="AU53" s="322"/>
      <c r="AV53" s="320">
        <v>9.0399999999999991</v>
      </c>
      <c r="AW53" s="321">
        <v>8.8800000000000008</v>
      </c>
      <c r="AX53" s="387" t="s">
        <v>109</v>
      </c>
      <c r="AY53" s="382"/>
      <c r="AZ53" s="304">
        <v>8.92</v>
      </c>
      <c r="BA53" s="304">
        <v>8.84</v>
      </c>
      <c r="BB53" s="304">
        <v>9.25</v>
      </c>
      <c r="BC53" s="304"/>
      <c r="BD53" s="304">
        <v>9.43</v>
      </c>
      <c r="BE53" s="304">
        <v>8.25</v>
      </c>
      <c r="BF53" s="304">
        <v>6.61</v>
      </c>
      <c r="BG53" s="304">
        <v>6.94</v>
      </c>
      <c r="BH53" s="304">
        <v>7.94</v>
      </c>
      <c r="BI53" s="304"/>
      <c r="BJ53" s="304"/>
      <c r="BK53" s="304"/>
      <c r="BL53" s="107"/>
      <c r="BM53" s="307"/>
      <c r="BN53" s="3730" t="s">
        <v>171</v>
      </c>
      <c r="BO53" s="3731"/>
      <c r="BP53" s="62" t="s">
        <v>82</v>
      </c>
      <c r="BQ53" s="563" t="s">
        <v>82</v>
      </c>
      <c r="BR53" s="563" t="s">
        <v>82</v>
      </c>
      <c r="BS53" s="564" t="s">
        <v>82</v>
      </c>
      <c r="BT53" s="552">
        <v>0.38900000000000001</v>
      </c>
      <c r="BU53" s="553">
        <v>0.61499999999999999</v>
      </c>
      <c r="BV53" s="572">
        <v>1.151</v>
      </c>
      <c r="BW53" s="911"/>
      <c r="BX53" s="320"/>
      <c r="BY53" s="321">
        <v>1.0109999999999999</v>
      </c>
      <c r="BZ53" s="321"/>
      <c r="CA53" s="322"/>
      <c r="CB53" s="320">
        <v>0.25</v>
      </c>
      <c r="CC53" s="321"/>
      <c r="CD53" s="321"/>
      <c r="CE53" s="322"/>
      <c r="CF53" s="320"/>
      <c r="CG53" s="321">
        <v>0.11600000000000001</v>
      </c>
      <c r="CH53" s="321"/>
      <c r="CI53" s="322"/>
      <c r="CJ53" s="320"/>
      <c r="CK53" s="321"/>
      <c r="CL53" s="321"/>
      <c r="CM53" s="322"/>
      <c r="CN53" s="320">
        <v>1.2999999999999999E-2</v>
      </c>
      <c r="CO53" s="321"/>
      <c r="CP53" s="321"/>
      <c r="CQ53" s="322"/>
      <c r="CR53" s="107"/>
      <c r="CS53" s="107"/>
      <c r="CT53" s="307"/>
      <c r="CU53" s="3730" t="s">
        <v>171</v>
      </c>
      <c r="CV53" s="3731"/>
      <c r="CW53" s="62"/>
      <c r="CX53" s="563"/>
      <c r="CY53" s="563"/>
      <c r="CZ53" s="564">
        <v>2.57</v>
      </c>
      <c r="DA53" s="552">
        <v>2.59</v>
      </c>
      <c r="DB53" s="553">
        <v>2.4900000000000002</v>
      </c>
      <c r="DC53" s="572">
        <v>2.4300000000000002</v>
      </c>
      <c r="DD53" s="565"/>
      <c r="DE53" s="943">
        <v>2.63</v>
      </c>
      <c r="DF53" s="321">
        <v>2.67</v>
      </c>
      <c r="DG53" s="1676">
        <v>2.46</v>
      </c>
      <c r="DH53" s="322"/>
      <c r="DI53" s="320">
        <v>2.58</v>
      </c>
      <c r="DJ53" s="321">
        <v>2.6</v>
      </c>
      <c r="DK53" s="387" t="s">
        <v>109</v>
      </c>
      <c r="DL53" s="382"/>
      <c r="DM53" s="320">
        <v>2.4900000000000002</v>
      </c>
      <c r="DN53" s="321">
        <v>2.58</v>
      </c>
      <c r="DO53" s="321">
        <v>2.48</v>
      </c>
      <c r="DP53" s="322"/>
      <c r="DQ53" s="320">
        <v>2.58</v>
      </c>
      <c r="DR53" s="321">
        <v>2.56</v>
      </c>
      <c r="DS53" s="321">
        <v>2.52</v>
      </c>
      <c r="DT53" s="322">
        <v>2.6</v>
      </c>
      <c r="DU53" s="320">
        <v>2.54</v>
      </c>
      <c r="DV53" s="321"/>
      <c r="DW53" s="321"/>
      <c r="DX53" s="322"/>
      <c r="DY53" s="107"/>
      <c r="DZ53" s="107"/>
      <c r="EA53" s="307"/>
      <c r="EB53" s="3730" t="s">
        <v>171</v>
      </c>
      <c r="EC53" s="3731"/>
      <c r="ED53" s="62"/>
      <c r="EE53" s="563"/>
      <c r="EF53" s="563"/>
      <c r="EG53" s="564">
        <v>40</v>
      </c>
      <c r="EH53" s="552">
        <v>40.6</v>
      </c>
      <c r="EI53" s="553">
        <v>38.799999999999997</v>
      </c>
      <c r="EJ53" s="572">
        <v>37.9</v>
      </c>
      <c r="EK53" s="565"/>
      <c r="EL53" s="943">
        <v>40.799999999999997</v>
      </c>
      <c r="EM53" s="321">
        <v>41.1</v>
      </c>
      <c r="EN53" s="1651">
        <v>38.4</v>
      </c>
      <c r="EO53" s="322"/>
      <c r="EP53" s="320">
        <v>40.200000000000003</v>
      </c>
      <c r="EQ53" s="321">
        <v>40.5</v>
      </c>
      <c r="ER53" s="387" t="s">
        <v>109</v>
      </c>
      <c r="ES53" s="382"/>
      <c r="ET53" s="320">
        <v>38.799999999999997</v>
      </c>
      <c r="EU53" s="321">
        <v>40.299999999999997</v>
      </c>
      <c r="EV53" s="321">
        <v>38.700000000000003</v>
      </c>
      <c r="EW53" s="322"/>
      <c r="EX53" s="371">
        <v>40.1</v>
      </c>
      <c r="EY53" s="321">
        <v>39.799999999999997</v>
      </c>
      <c r="EZ53" s="321">
        <v>39.299999999999997</v>
      </c>
      <c r="FA53" s="322">
        <v>40.4</v>
      </c>
      <c r="FB53" s="322">
        <v>39.6</v>
      </c>
      <c r="FC53" s="322"/>
      <c r="FD53" s="322"/>
      <c r="FE53" s="322"/>
    </row>
    <row r="54" spans="1:161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107"/>
      <c r="BA54" s="107"/>
      <c r="BB54" s="107"/>
      <c r="BC54" s="107"/>
      <c r="BD54" s="107"/>
      <c r="BE54" s="107"/>
      <c r="BF54" s="107"/>
      <c r="BG54" s="107"/>
      <c r="BH54" s="107"/>
      <c r="BI54" s="107"/>
      <c r="BJ54" s="107"/>
      <c r="BK54" s="107"/>
      <c r="BL54" s="107"/>
      <c r="BM54" s="107"/>
      <c r="BN54" s="107"/>
      <c r="BO54" s="107"/>
      <c r="BP54" s="577"/>
      <c r="BQ54" s="577"/>
      <c r="BR54" s="577"/>
      <c r="BS54" s="577"/>
      <c r="BT54" s="577"/>
      <c r="BU54" s="577"/>
      <c r="BV54" s="577"/>
      <c r="BW54" s="577"/>
      <c r="BX54" s="107"/>
      <c r="BY54" s="107"/>
      <c r="BZ54" s="107"/>
      <c r="CA54" s="107"/>
      <c r="CB54" s="107"/>
      <c r="CC54" s="107"/>
      <c r="CD54" s="107"/>
      <c r="CE54" s="107"/>
      <c r="CF54" s="107"/>
      <c r="CG54" s="107"/>
      <c r="CH54" s="107"/>
      <c r="CI54" s="107"/>
      <c r="CJ54" s="107"/>
      <c r="CK54" s="107"/>
      <c r="CL54" s="107"/>
      <c r="CM54" s="107"/>
      <c r="CN54" s="107"/>
      <c r="CO54" s="107"/>
      <c r="CP54" s="107"/>
      <c r="CQ54" s="107"/>
      <c r="CR54" s="107"/>
      <c r="CS54" s="107"/>
      <c r="CT54" s="107"/>
      <c r="CU54" s="107"/>
      <c r="CV54" s="107"/>
      <c r="CW54" s="580"/>
      <c r="CX54" s="580"/>
      <c r="CY54" s="580"/>
      <c r="CZ54" s="580"/>
      <c r="DA54" s="580"/>
      <c r="DB54" s="580"/>
      <c r="DC54" s="580"/>
      <c r="DD54" s="580"/>
      <c r="DE54" s="107"/>
      <c r="DF54" s="107"/>
      <c r="DG54" s="107"/>
      <c r="DH54" s="107"/>
      <c r="DI54" s="107"/>
      <c r="DJ54" s="107"/>
      <c r="DK54" s="107"/>
      <c r="DL54" s="107"/>
      <c r="DM54" s="107"/>
      <c r="DN54" s="107"/>
      <c r="DO54" s="107"/>
      <c r="DP54" s="107"/>
      <c r="DQ54" s="107"/>
      <c r="DR54" s="107"/>
      <c r="DS54" s="107"/>
      <c r="DT54" s="107"/>
      <c r="DU54" s="107"/>
      <c r="DV54" s="107"/>
      <c r="DW54" s="107"/>
      <c r="DX54" s="107"/>
      <c r="DY54" s="107"/>
      <c r="DZ54" s="107"/>
      <c r="EA54" s="107"/>
      <c r="EB54" s="107"/>
      <c r="EC54" s="107"/>
      <c r="ED54" s="580"/>
      <c r="EE54" s="580"/>
      <c r="EF54" s="580"/>
      <c r="EG54" s="580"/>
      <c r="EH54" s="580"/>
      <c r="EI54" s="580"/>
      <c r="EJ54" s="580"/>
      <c r="EK54" s="580"/>
      <c r="EL54" s="107"/>
      <c r="EM54" s="107"/>
      <c r="EN54" s="107"/>
      <c r="EO54" s="107"/>
      <c r="EP54" s="107"/>
      <c r="EQ54" s="107"/>
      <c r="ER54" s="107"/>
      <c r="ES54" s="107"/>
      <c r="ET54" s="107"/>
      <c r="EU54" s="107"/>
      <c r="EV54" s="107"/>
      <c r="EW54" s="107"/>
      <c r="EX54" s="767"/>
    </row>
    <row r="55" spans="1:161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  <c r="BH55" s="107"/>
      <c r="BI55" s="107"/>
      <c r="BJ55" s="107"/>
      <c r="BK55" s="107"/>
      <c r="BL55" s="107"/>
      <c r="BM55" s="107"/>
      <c r="BN55" s="107"/>
      <c r="BO55" s="107"/>
      <c r="BP55" s="577"/>
      <c r="BQ55" s="577"/>
      <c r="BR55" s="577"/>
      <c r="BS55" s="577"/>
      <c r="BT55" s="577"/>
      <c r="BU55" s="577"/>
      <c r="BV55" s="577"/>
      <c r="BW55" s="577"/>
      <c r="BX55" s="107"/>
      <c r="BY55" s="107"/>
      <c r="BZ55" s="107"/>
      <c r="CA55" s="107"/>
      <c r="CB55" s="107"/>
      <c r="CC55" s="107"/>
      <c r="CD55" s="107"/>
      <c r="CE55" s="107"/>
      <c r="CF55" s="107"/>
      <c r="CG55" s="107"/>
      <c r="CH55" s="107"/>
      <c r="CI55" s="107"/>
      <c r="CJ55" s="107"/>
      <c r="CK55" s="107"/>
      <c r="CL55" s="107"/>
      <c r="CM55" s="107"/>
      <c r="CN55" s="107"/>
      <c r="CO55" s="107"/>
      <c r="CP55" s="107"/>
      <c r="CQ55" s="107"/>
      <c r="CR55" s="107"/>
      <c r="CS55" s="107"/>
      <c r="CT55" s="107"/>
      <c r="CU55" s="107"/>
      <c r="CV55" s="107"/>
      <c r="CW55" s="580"/>
      <c r="CX55" s="580"/>
      <c r="CY55" s="580"/>
      <c r="CZ55" s="580"/>
      <c r="DA55" s="580"/>
      <c r="DB55" s="580"/>
      <c r="DC55" s="580"/>
      <c r="DD55" s="580"/>
      <c r="DE55" s="107"/>
      <c r="DF55" s="107"/>
      <c r="DG55" s="107"/>
      <c r="DH55" s="107"/>
      <c r="DI55" s="107"/>
      <c r="DJ55" s="107"/>
      <c r="DK55" s="107"/>
      <c r="DL55" s="107"/>
      <c r="DM55" s="107"/>
      <c r="DN55" s="107"/>
      <c r="DO55" s="107"/>
      <c r="DP55" s="107"/>
      <c r="DQ55" s="107"/>
      <c r="DR55" s="107"/>
      <c r="DS55" s="107"/>
      <c r="DT55" s="107"/>
      <c r="DU55" s="107"/>
      <c r="DV55" s="107"/>
      <c r="DW55" s="107"/>
      <c r="DX55" s="107"/>
      <c r="DY55" s="107"/>
      <c r="DZ55" s="107"/>
      <c r="EA55" s="107"/>
      <c r="EB55" s="107"/>
      <c r="EC55" s="107"/>
      <c r="ED55" s="580"/>
      <c r="EE55" s="580"/>
      <c r="EF55" s="580"/>
      <c r="EG55" s="580"/>
      <c r="EH55" s="580"/>
      <c r="EI55" s="580"/>
      <c r="EJ55" s="580"/>
      <c r="EK55" s="580"/>
      <c r="EL55" s="107"/>
      <c r="EM55" s="107"/>
      <c r="EN55" s="107"/>
      <c r="EO55" s="107"/>
      <c r="EP55" s="107"/>
      <c r="EQ55" s="107"/>
      <c r="ER55" s="107"/>
      <c r="ES55" s="107"/>
      <c r="ET55" s="107"/>
      <c r="EU55" s="107"/>
      <c r="EV55" s="107"/>
      <c r="EW55" s="107"/>
      <c r="EX55" s="767"/>
    </row>
    <row r="56" spans="1:161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07"/>
      <c r="BE56" s="107"/>
      <c r="BF56" s="107"/>
      <c r="BG56" s="107"/>
      <c r="BH56" s="107"/>
      <c r="BI56" s="107"/>
      <c r="BJ56" s="107"/>
      <c r="BK56" s="107"/>
      <c r="BL56" s="107"/>
      <c r="BM56" s="107"/>
      <c r="BN56" s="107"/>
      <c r="BO56" s="107"/>
      <c r="BP56" s="577"/>
      <c r="BQ56" s="577"/>
      <c r="BR56" s="577"/>
      <c r="BS56" s="577"/>
      <c r="BT56" s="577"/>
      <c r="BU56" s="577"/>
      <c r="BV56" s="577"/>
      <c r="BW56" s="577"/>
      <c r="BX56" s="107"/>
      <c r="BY56" s="107"/>
      <c r="BZ56" s="107"/>
      <c r="CA56" s="107"/>
      <c r="CB56" s="107"/>
      <c r="CC56" s="107"/>
      <c r="CD56" s="107"/>
      <c r="CE56" s="107"/>
      <c r="CF56" s="107"/>
      <c r="CG56" s="107"/>
      <c r="CH56" s="107"/>
      <c r="CI56" s="107"/>
      <c r="CJ56" s="107"/>
      <c r="CK56" s="107"/>
      <c r="CL56" s="107"/>
      <c r="CM56" s="107"/>
      <c r="CN56" s="107"/>
      <c r="CO56" s="107"/>
      <c r="CP56" s="107"/>
      <c r="CQ56" s="107"/>
      <c r="CR56" s="107"/>
      <c r="CS56" s="107"/>
      <c r="CT56" s="107"/>
      <c r="CU56" s="107"/>
      <c r="CV56" s="107"/>
      <c r="CW56" s="580"/>
      <c r="CX56" s="580"/>
      <c r="CY56" s="580"/>
      <c r="CZ56" s="580"/>
      <c r="DA56" s="580"/>
      <c r="DB56" s="580"/>
      <c r="DC56" s="580"/>
      <c r="DD56" s="580"/>
      <c r="DE56" s="107"/>
      <c r="DF56" s="107"/>
      <c r="DG56" s="107"/>
      <c r="DH56" s="107"/>
      <c r="DI56" s="107"/>
      <c r="DJ56" s="107"/>
      <c r="DK56" s="107"/>
      <c r="DL56" s="107"/>
      <c r="DM56" s="107"/>
      <c r="DN56" s="107"/>
      <c r="DO56" s="107"/>
      <c r="DP56" s="107"/>
      <c r="DQ56" s="107"/>
      <c r="DR56" s="107"/>
      <c r="DS56" s="107"/>
      <c r="DT56" s="107"/>
      <c r="DU56" s="107"/>
      <c r="DV56" s="107"/>
      <c r="DW56" s="107"/>
      <c r="DX56" s="107"/>
      <c r="DY56" s="107"/>
      <c r="DZ56" s="107"/>
      <c r="EA56" s="107"/>
      <c r="EB56" s="107"/>
      <c r="EC56" s="107"/>
      <c r="ED56" s="580"/>
      <c r="EE56" s="580"/>
      <c r="EF56" s="580"/>
      <c r="EG56" s="580"/>
      <c r="EH56" s="580"/>
      <c r="EI56" s="580"/>
      <c r="EJ56" s="580"/>
      <c r="EK56" s="580"/>
      <c r="EL56" s="107"/>
      <c r="EM56" s="107"/>
      <c r="EN56" s="107"/>
      <c r="EO56" s="107"/>
      <c r="EP56" s="107"/>
      <c r="EQ56" s="107"/>
      <c r="ER56" s="107"/>
      <c r="ES56" s="107"/>
      <c r="ET56" s="107"/>
      <c r="EU56" s="107"/>
      <c r="EV56" s="107"/>
      <c r="EW56" s="107"/>
      <c r="EX56" s="767"/>
    </row>
    <row r="57" spans="1:161" ht="15.75" thickBot="1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  <c r="AX57" s="107"/>
      <c r="AY57" s="107"/>
      <c r="AZ57" s="107"/>
      <c r="BA57" s="107"/>
      <c r="BB57" s="107"/>
      <c r="BC57" s="107"/>
      <c r="BD57" s="107"/>
      <c r="BE57" s="107"/>
      <c r="BF57" s="107"/>
      <c r="BG57" s="107"/>
      <c r="BH57" s="107"/>
      <c r="BI57" s="107"/>
      <c r="BJ57" s="107"/>
      <c r="BK57" s="107"/>
      <c r="BL57" s="107"/>
      <c r="BM57" s="107"/>
      <c r="BN57" s="107"/>
      <c r="BO57" s="107"/>
      <c r="BP57" s="577"/>
      <c r="BQ57" s="577"/>
      <c r="BR57" s="577"/>
      <c r="BS57" s="577"/>
      <c r="BT57" s="577"/>
      <c r="BU57" s="577"/>
      <c r="BV57" s="577"/>
      <c r="BW57" s="577"/>
      <c r="BX57" s="107"/>
      <c r="BY57" s="107"/>
      <c r="BZ57" s="107"/>
      <c r="CA57" s="107"/>
      <c r="CB57" s="107"/>
      <c r="CC57" s="107"/>
      <c r="CD57" s="107"/>
      <c r="CE57" s="107"/>
      <c r="CF57" s="107"/>
      <c r="CG57" s="107"/>
      <c r="CH57" s="107"/>
      <c r="CI57" s="107"/>
      <c r="CJ57" s="107"/>
      <c r="CK57" s="107"/>
      <c r="CL57" s="107"/>
      <c r="CM57" s="107"/>
      <c r="CN57" s="107"/>
      <c r="CO57" s="107"/>
      <c r="CP57" s="107"/>
      <c r="CQ57" s="107"/>
      <c r="CR57" s="107"/>
      <c r="CS57" s="107"/>
      <c r="CT57" s="107"/>
      <c r="CU57" s="107"/>
      <c r="CV57" s="107"/>
      <c r="CW57" s="580"/>
      <c r="CX57" s="580"/>
      <c r="CY57" s="580"/>
      <c r="CZ57" s="580"/>
      <c r="DA57" s="580"/>
      <c r="DB57" s="580"/>
      <c r="DC57" s="580"/>
      <c r="DD57" s="580"/>
      <c r="DE57" s="107"/>
      <c r="DF57" s="107"/>
      <c r="DG57" s="107"/>
      <c r="DH57" s="107"/>
      <c r="DI57" s="107"/>
      <c r="DJ57" s="107"/>
      <c r="DK57" s="107"/>
      <c r="DL57" s="107"/>
      <c r="DM57" s="107"/>
      <c r="DN57" s="107"/>
      <c r="DO57" s="107"/>
      <c r="DP57" s="107"/>
      <c r="DQ57" s="107"/>
      <c r="DR57" s="107"/>
      <c r="DS57" s="107"/>
      <c r="DT57" s="107"/>
      <c r="DU57" s="107"/>
      <c r="DV57" s="107"/>
      <c r="DW57" s="107"/>
      <c r="DX57" s="107"/>
      <c r="DY57" s="107"/>
      <c r="DZ57" s="107"/>
      <c r="EA57" s="107"/>
      <c r="EB57" s="107"/>
      <c r="EC57" s="107"/>
      <c r="ED57" s="580"/>
      <c r="EE57" s="580"/>
      <c r="EF57" s="580"/>
      <c r="EG57" s="580"/>
      <c r="EH57" s="580"/>
      <c r="EI57" s="580"/>
      <c r="EJ57" s="580"/>
      <c r="EK57" s="580"/>
      <c r="EL57" s="107"/>
      <c r="EM57" s="107"/>
      <c r="EN57" s="107"/>
      <c r="EO57" s="107"/>
      <c r="EP57" s="107"/>
      <c r="EQ57" s="107"/>
      <c r="ER57" s="107"/>
      <c r="ES57" s="107"/>
      <c r="ET57" s="107"/>
      <c r="EU57" s="107"/>
      <c r="EV57" s="107"/>
      <c r="EW57" s="107"/>
      <c r="EX57" s="767"/>
    </row>
    <row r="58" spans="1:161" ht="15.75" thickBot="1">
      <c r="A58" s="107"/>
      <c r="B58" s="257"/>
      <c r="C58" s="3753"/>
      <c r="D58" s="3747"/>
      <c r="E58" s="606"/>
      <c r="F58" s="606"/>
      <c r="G58" s="606"/>
      <c r="H58" s="606"/>
      <c r="I58" s="606"/>
      <c r="J58" s="606"/>
      <c r="K58" s="606"/>
      <c r="L58" s="606"/>
      <c r="M58" s="606"/>
      <c r="N58" s="606"/>
      <c r="O58" s="606"/>
      <c r="P58" s="258"/>
      <c r="Q58" s="258"/>
      <c r="R58" s="258"/>
      <c r="S58" s="259"/>
      <c r="T58" s="258"/>
      <c r="U58" s="258"/>
      <c r="V58" s="258"/>
      <c r="W58" s="259"/>
      <c r="X58" s="258"/>
      <c r="Y58" s="258"/>
      <c r="Z58" s="258"/>
      <c r="AA58" s="259"/>
      <c r="AB58" s="258"/>
      <c r="AC58" s="258"/>
      <c r="AD58" s="258"/>
      <c r="AE58" s="259"/>
      <c r="AF58" s="107"/>
      <c r="AG58" s="107"/>
      <c r="AH58" s="257"/>
      <c r="AI58" s="258"/>
      <c r="AJ58" s="258"/>
      <c r="AK58" s="258"/>
      <c r="AL58" s="258"/>
      <c r="AM58" s="258"/>
      <c r="AN58" s="258"/>
      <c r="AO58" s="258"/>
      <c r="AP58" s="258"/>
      <c r="AQ58" s="258"/>
      <c r="AR58" s="258"/>
      <c r="AS58" s="258"/>
      <c r="AT58" s="258"/>
      <c r="AU58" s="258"/>
      <c r="AV58" s="258"/>
      <c r="AW58" s="258"/>
      <c r="AX58" s="258"/>
      <c r="AY58" s="259"/>
      <c r="AZ58" s="3746"/>
      <c r="BA58" s="3747"/>
      <c r="BB58" s="3747"/>
      <c r="BC58" s="3748"/>
      <c r="BD58" s="3746"/>
      <c r="BE58" s="3747"/>
      <c r="BF58" s="3747"/>
      <c r="BG58" s="3748"/>
      <c r="BH58" s="3746"/>
      <c r="BI58" s="3747"/>
      <c r="BJ58" s="3747"/>
      <c r="BK58" s="3748"/>
      <c r="BL58" s="107"/>
      <c r="BM58" s="107"/>
      <c r="BN58" s="640"/>
      <c r="BO58" s="606"/>
      <c r="BP58" s="908"/>
      <c r="BQ58" s="908"/>
      <c r="BR58" s="908"/>
      <c r="BS58" s="908"/>
      <c r="BT58" s="908"/>
      <c r="BU58" s="908"/>
      <c r="BV58" s="908"/>
      <c r="BW58" s="908"/>
      <c r="BX58" s="606"/>
      <c r="BY58" s="606"/>
      <c r="BZ58" s="606"/>
      <c r="CA58" s="606"/>
      <c r="CB58" s="606"/>
      <c r="CC58" s="606"/>
      <c r="CD58" s="606"/>
      <c r="CE58" s="635"/>
      <c r="CF58" s="606"/>
      <c r="CG58" s="606"/>
      <c r="CH58" s="606"/>
      <c r="CI58" s="635"/>
      <c r="CJ58" s="606"/>
      <c r="CK58" s="606"/>
      <c r="CL58" s="606"/>
      <c r="CM58" s="635"/>
      <c r="CN58" s="606"/>
      <c r="CO58" s="606"/>
      <c r="CP58" s="606"/>
      <c r="CQ58" s="635"/>
      <c r="CR58" s="107"/>
      <c r="CS58" s="107"/>
      <c r="CT58" s="107"/>
      <c r="CU58" s="257"/>
      <c r="CV58" s="258"/>
      <c r="CW58" s="581"/>
      <c r="CX58" s="581"/>
      <c r="CY58" s="581"/>
      <c r="CZ58" s="581"/>
      <c r="DA58" s="581"/>
      <c r="DB58" s="581"/>
      <c r="DC58" s="581"/>
      <c r="DD58" s="581"/>
      <c r="DE58" s="258"/>
      <c r="DF58" s="258"/>
      <c r="DG58" s="258"/>
      <c r="DH58" s="258"/>
      <c r="DI58" s="606"/>
      <c r="DJ58" s="606"/>
      <c r="DK58" s="606"/>
      <c r="DL58" s="635"/>
      <c r="DM58" s="3763"/>
      <c r="DN58" s="3753"/>
      <c r="DO58" s="3753"/>
      <c r="DP58" s="3764"/>
      <c r="DQ58" s="3763"/>
      <c r="DR58" s="3753"/>
      <c r="DS58" s="3753"/>
      <c r="DT58" s="3764"/>
      <c r="DU58" s="3763"/>
      <c r="DV58" s="3753"/>
      <c r="DW58" s="3753"/>
      <c r="DX58" s="3764"/>
      <c r="DY58" s="107"/>
      <c r="DZ58" s="107"/>
      <c r="EA58" s="107"/>
      <c r="EB58" s="640"/>
      <c r="EC58" s="606"/>
      <c r="ED58" s="628"/>
      <c r="EE58" s="628"/>
      <c r="EF58" s="628"/>
      <c r="EG58" s="628"/>
      <c r="EH58" s="628"/>
      <c r="EI58" s="628"/>
      <c r="EJ58" s="628"/>
      <c r="EK58" s="628"/>
      <c r="EL58" s="606"/>
      <c r="EM58" s="606"/>
      <c r="EN58" s="606"/>
      <c r="EO58" s="606"/>
      <c r="EP58" s="606"/>
      <c r="EQ58" s="606"/>
      <c r="ER58" s="606"/>
      <c r="ES58" s="635"/>
      <c r="ET58" s="635"/>
      <c r="EU58" s="635"/>
      <c r="EV58" s="635"/>
      <c r="EW58" s="635"/>
      <c r="EX58" s="635"/>
      <c r="EY58" s="635"/>
      <c r="EZ58" s="635"/>
      <c r="FA58" s="635"/>
    </row>
    <row r="59" spans="1:161">
      <c r="A59" s="107"/>
      <c r="B59" s="3749" t="s">
        <v>208</v>
      </c>
      <c r="C59" s="616">
        <v>1</v>
      </c>
      <c r="D59" s="434">
        <f>D11</f>
        <v>5.23</v>
      </c>
      <c r="E59" s="251" t="str">
        <f t="shared" ref="E59:O59" si="0">E11</f>
        <v>No Data</v>
      </c>
      <c r="F59" s="251">
        <f t="shared" si="0"/>
        <v>6.65</v>
      </c>
      <c r="G59" s="608">
        <f t="shared" si="0"/>
        <v>6.69</v>
      </c>
      <c r="H59" s="434">
        <f t="shared" si="0"/>
        <v>12.35</v>
      </c>
      <c r="I59" s="251">
        <f t="shared" si="0"/>
        <v>8.7200000000000006</v>
      </c>
      <c r="J59" s="251" t="str">
        <f t="shared" si="0"/>
        <v>No Data</v>
      </c>
      <c r="K59" s="608">
        <f t="shared" si="0"/>
        <v>9.52</v>
      </c>
      <c r="L59" s="569">
        <f t="shared" si="0"/>
        <v>7.85</v>
      </c>
      <c r="M59" s="251">
        <f t="shared" si="0"/>
        <v>8.57</v>
      </c>
      <c r="N59" s="251">
        <v>8.57</v>
      </c>
      <c r="O59" s="608">
        <f t="shared" si="0"/>
        <v>0</v>
      </c>
      <c r="P59" s="569">
        <f>P11</f>
        <v>7.52</v>
      </c>
      <c r="Q59" s="569">
        <f t="shared" ref="Q59:U59" si="1">Q11</f>
        <v>8.89</v>
      </c>
      <c r="R59" s="569" t="str">
        <f t="shared" si="1"/>
        <v>no data</v>
      </c>
      <c r="S59" s="569"/>
      <c r="T59" s="569"/>
      <c r="U59" s="569">
        <f t="shared" si="1"/>
        <v>8.83</v>
      </c>
      <c r="V59" s="569">
        <f t="shared" ref="V59:W59" si="2">V11</f>
        <v>15.82</v>
      </c>
      <c r="W59" s="569">
        <f t="shared" si="2"/>
        <v>0</v>
      </c>
      <c r="X59" s="569">
        <f>X11</f>
        <v>7.1660000000000004</v>
      </c>
      <c r="Y59" s="569">
        <f t="shared" ref="Y59:AE59" si="3">Y11</f>
        <v>11.03</v>
      </c>
      <c r="Z59" s="569">
        <f t="shared" si="3"/>
        <v>10.09</v>
      </c>
      <c r="AA59" s="569">
        <f t="shared" si="3"/>
        <v>7.54</v>
      </c>
      <c r="AB59" s="569">
        <f t="shared" si="3"/>
        <v>12.33</v>
      </c>
      <c r="AC59" s="569">
        <f t="shared" si="3"/>
        <v>0</v>
      </c>
      <c r="AD59" s="569">
        <f t="shared" si="3"/>
        <v>0</v>
      </c>
      <c r="AE59" s="569">
        <f t="shared" si="3"/>
        <v>0</v>
      </c>
      <c r="AF59" s="107"/>
      <c r="AG59" s="107"/>
      <c r="AH59" s="3749" t="s">
        <v>211</v>
      </c>
      <c r="AI59" s="616">
        <v>1</v>
      </c>
      <c r="AJ59" s="437" t="str">
        <f>AJ11</f>
        <v>No Data</v>
      </c>
      <c r="AK59" s="254" t="str">
        <f t="shared" ref="AK59:AU59" si="4">AK11</f>
        <v>No Data</v>
      </c>
      <c r="AL59" s="254" t="str">
        <f t="shared" si="4"/>
        <v>No Data</v>
      </c>
      <c r="AM59" s="610">
        <f t="shared" si="4"/>
        <v>9.89</v>
      </c>
      <c r="AN59" s="437">
        <f t="shared" si="4"/>
        <v>10.57</v>
      </c>
      <c r="AO59" s="254">
        <f t="shared" si="4"/>
        <v>9.18</v>
      </c>
      <c r="AP59" s="254" t="str">
        <f t="shared" si="4"/>
        <v>No Data</v>
      </c>
      <c r="AQ59" s="610">
        <f t="shared" si="4"/>
        <v>9.25</v>
      </c>
      <c r="AR59" s="437">
        <f t="shared" si="4"/>
        <v>9.1199999999999992</v>
      </c>
      <c r="AS59" s="254">
        <f t="shared" si="4"/>
        <v>9.0399999999999991</v>
      </c>
      <c r="AT59" s="254">
        <v>8.43</v>
      </c>
      <c r="AU59" s="610">
        <f t="shared" si="4"/>
        <v>0</v>
      </c>
      <c r="AV59" s="357"/>
      <c r="AW59" s="358"/>
      <c r="AX59" s="358"/>
      <c r="AY59" s="3294"/>
      <c r="AZ59" s="304">
        <f>AZ11</f>
        <v>9.34</v>
      </c>
      <c r="BA59" s="304">
        <f t="shared" ref="BA59:BC59" si="5">BA11</f>
        <v>8.6999999999999993</v>
      </c>
      <c r="BB59" s="304">
        <f t="shared" si="5"/>
        <v>10.029999999999999</v>
      </c>
      <c r="BC59" s="304">
        <f t="shared" si="5"/>
        <v>0</v>
      </c>
      <c r="BD59" s="304">
        <f>BD11</f>
        <v>9.8699999999999992</v>
      </c>
      <c r="BE59" s="304">
        <f t="shared" ref="BE59:BG59" si="6">BE11</f>
        <v>8.27</v>
      </c>
      <c r="BF59" s="304">
        <f t="shared" si="6"/>
        <v>7.29</v>
      </c>
      <c r="BG59" s="304">
        <f t="shared" si="6"/>
        <v>7.52</v>
      </c>
      <c r="BH59" s="304">
        <f t="shared" ref="BH59:BK59" si="7">BH11</f>
        <v>5.7</v>
      </c>
      <c r="BI59" s="304">
        <f t="shared" si="7"/>
        <v>0</v>
      </c>
      <c r="BJ59" s="304">
        <f t="shared" si="7"/>
        <v>0</v>
      </c>
      <c r="BK59" s="304">
        <f t="shared" si="7"/>
        <v>0</v>
      </c>
      <c r="BL59" s="107"/>
      <c r="BM59" s="107"/>
      <c r="BN59" s="3750" t="s">
        <v>214</v>
      </c>
      <c r="BO59" s="905">
        <v>1</v>
      </c>
      <c r="BP59" s="434" t="str">
        <f>BP11</f>
        <v>No Data</v>
      </c>
      <c r="BQ59" s="251" t="str">
        <f t="shared" ref="BQ59:BZ59" si="8">BQ11</f>
        <v>No Data</v>
      </c>
      <c r="BR59" s="251" t="str">
        <f t="shared" si="8"/>
        <v>No Data</v>
      </c>
      <c r="BS59" s="620" t="str">
        <f t="shared" si="8"/>
        <v>No Data</v>
      </c>
      <c r="BT59" s="434">
        <f t="shared" si="8"/>
        <v>0.53700000000000003</v>
      </c>
      <c r="BU59" s="251">
        <f t="shared" si="8"/>
        <v>0.81200000000000006</v>
      </c>
      <c r="BV59" s="251">
        <f t="shared" si="8"/>
        <v>0</v>
      </c>
      <c r="BW59" s="608">
        <f t="shared" si="8"/>
        <v>0</v>
      </c>
      <c r="BX59" s="434">
        <f t="shared" si="8"/>
        <v>0</v>
      </c>
      <c r="BY59" s="251">
        <f t="shared" si="8"/>
        <v>1.008</v>
      </c>
      <c r="BZ59" s="251">
        <f t="shared" si="8"/>
        <v>0</v>
      </c>
      <c r="CA59" s="608"/>
      <c r="CB59" s="608">
        <f t="shared" ref="CB59:CG59" si="9">CB11</f>
        <v>0.22</v>
      </c>
      <c r="CC59" s="608"/>
      <c r="CD59" s="608"/>
      <c r="CE59" s="608"/>
      <c r="CF59" s="608"/>
      <c r="CG59" s="608">
        <f t="shared" si="9"/>
        <v>0.40200000000000002</v>
      </c>
      <c r="CH59" s="608">
        <f t="shared" ref="CH59:CI59" si="10">CH11</f>
        <v>0</v>
      </c>
      <c r="CI59" s="608">
        <f t="shared" si="10"/>
        <v>0</v>
      </c>
      <c r="CJ59" s="608"/>
      <c r="CK59" s="608"/>
      <c r="CL59" s="608"/>
      <c r="CM59" s="608"/>
      <c r="CN59" s="608" t="str">
        <f>CN11</f>
        <v>&lt;0.013</v>
      </c>
      <c r="CO59" s="608">
        <f t="shared" ref="CO59:CQ59" si="11">CO11</f>
        <v>0</v>
      </c>
      <c r="CP59" s="608">
        <f t="shared" si="11"/>
        <v>0</v>
      </c>
      <c r="CQ59" s="608">
        <f t="shared" si="11"/>
        <v>0</v>
      </c>
      <c r="CR59" s="107"/>
      <c r="CS59" s="107"/>
      <c r="CT59" s="107"/>
      <c r="CU59" s="3760" t="s">
        <v>248</v>
      </c>
      <c r="CV59" s="616">
        <v>1</v>
      </c>
      <c r="CW59" s="434">
        <f>CW11</f>
        <v>0</v>
      </c>
      <c r="CX59" s="251">
        <f t="shared" ref="CX59:DF59" si="12">CX11</f>
        <v>0</v>
      </c>
      <c r="CY59" s="251">
        <f t="shared" si="12"/>
        <v>0</v>
      </c>
      <c r="CZ59" s="608">
        <f t="shared" si="12"/>
        <v>2.5</v>
      </c>
      <c r="DA59" s="434">
        <f t="shared" si="12"/>
        <v>2.34</v>
      </c>
      <c r="DB59" s="251">
        <f t="shared" si="12"/>
        <v>2.36</v>
      </c>
      <c r="DC59" s="251" t="str">
        <f t="shared" si="12"/>
        <v>No Data</v>
      </c>
      <c r="DD59" s="608">
        <f t="shared" si="12"/>
        <v>0</v>
      </c>
      <c r="DE59" s="434">
        <f t="shared" si="12"/>
        <v>2.59</v>
      </c>
      <c r="DF59" s="251">
        <f t="shared" si="12"/>
        <v>2.6</v>
      </c>
      <c r="DG59" s="251">
        <v>2</v>
      </c>
      <c r="DH59" s="608"/>
      <c r="DI59" s="608">
        <f t="shared" ref="DI59:DP59" si="13">DI11</f>
        <v>2.5</v>
      </c>
      <c r="DJ59" s="608">
        <f t="shared" si="13"/>
        <v>2.5499999999999998</v>
      </c>
      <c r="DK59" s="608">
        <f t="shared" si="13"/>
        <v>1.87</v>
      </c>
      <c r="DL59" s="608"/>
      <c r="DM59" s="608">
        <f t="shared" si="13"/>
        <v>2.27</v>
      </c>
      <c r="DN59" s="608">
        <f t="shared" si="13"/>
        <v>2.5099999999999998</v>
      </c>
      <c r="DO59" s="608">
        <f t="shared" si="13"/>
        <v>1.78</v>
      </c>
      <c r="DP59" s="608">
        <f t="shared" si="13"/>
        <v>0</v>
      </c>
      <c r="DQ59" s="608">
        <f>DQ11</f>
        <v>2.54</v>
      </c>
      <c r="DR59" s="608">
        <f t="shared" ref="DR59:DT59" si="14">DR11</f>
        <v>2.5099999999999998</v>
      </c>
      <c r="DS59" s="608">
        <f t="shared" si="14"/>
        <v>1.54</v>
      </c>
      <c r="DT59" s="608">
        <f t="shared" si="14"/>
        <v>2.44</v>
      </c>
      <c r="DU59" s="608">
        <f t="shared" ref="DU59:DX59" si="15">DU11</f>
        <v>2.38</v>
      </c>
      <c r="DV59" s="608">
        <f t="shared" si="15"/>
        <v>0</v>
      </c>
      <c r="DW59" s="608">
        <f t="shared" si="15"/>
        <v>0</v>
      </c>
      <c r="DX59" s="608">
        <f t="shared" si="15"/>
        <v>0</v>
      </c>
      <c r="DY59" s="107"/>
      <c r="DZ59" s="107"/>
      <c r="EA59" s="107"/>
      <c r="EB59" s="3750" t="s">
        <v>251</v>
      </c>
      <c r="EC59" s="617">
        <v>1</v>
      </c>
      <c r="ED59" s="434">
        <f>ED11</f>
        <v>0</v>
      </c>
      <c r="EE59" s="251">
        <f t="shared" ref="EE59:EO59" si="16">EE11</f>
        <v>0</v>
      </c>
      <c r="EF59" s="251">
        <f t="shared" si="16"/>
        <v>0</v>
      </c>
      <c r="EG59" s="608">
        <f t="shared" si="16"/>
        <v>39</v>
      </c>
      <c r="EH59" s="434">
        <f t="shared" si="16"/>
        <v>36.799999999999997</v>
      </c>
      <c r="EI59" s="251">
        <f t="shared" si="16"/>
        <v>37</v>
      </c>
      <c r="EJ59" s="251" t="str">
        <f t="shared" si="16"/>
        <v>No Data</v>
      </c>
      <c r="EK59" s="608">
        <f t="shared" si="16"/>
        <v>0</v>
      </c>
      <c r="EL59" s="434">
        <f t="shared" si="16"/>
        <v>40.200000000000003</v>
      </c>
      <c r="EM59" s="251">
        <f t="shared" si="16"/>
        <v>40.6</v>
      </c>
      <c r="EN59" s="251">
        <v>31.6</v>
      </c>
      <c r="EO59" s="608">
        <f t="shared" si="16"/>
        <v>0</v>
      </c>
      <c r="EP59" s="608">
        <f t="shared" ref="EP59:EW59" si="17">EP11</f>
        <v>39</v>
      </c>
      <c r="EQ59" s="608">
        <f t="shared" si="17"/>
        <v>39.700000000000003</v>
      </c>
      <c r="ER59" s="608">
        <f t="shared" si="17"/>
        <v>30.1</v>
      </c>
      <c r="ES59" s="620">
        <f t="shared" si="17"/>
        <v>0</v>
      </c>
      <c r="ET59" s="434">
        <f t="shared" si="17"/>
        <v>35.6</v>
      </c>
      <c r="EU59" s="251">
        <f t="shared" si="17"/>
        <v>39.4</v>
      </c>
      <c r="EV59" s="251">
        <f t="shared" si="17"/>
        <v>28.7</v>
      </c>
      <c r="EW59" s="620">
        <f t="shared" si="17"/>
        <v>0</v>
      </c>
      <c r="EX59" s="434">
        <f>EX11</f>
        <v>39.6</v>
      </c>
      <c r="EY59" s="434">
        <f t="shared" ref="EY59:FA59" si="18">EY11</f>
        <v>39.1</v>
      </c>
      <c r="EZ59" s="434">
        <f t="shared" si="18"/>
        <v>25.3</v>
      </c>
      <c r="FA59" s="434">
        <f t="shared" si="18"/>
        <v>38.1</v>
      </c>
      <c r="FB59" s="434">
        <f t="shared" ref="FB59:FE59" si="19">FB11</f>
        <v>37.299999999999997</v>
      </c>
      <c r="FC59" s="434">
        <f t="shared" si="19"/>
        <v>0</v>
      </c>
      <c r="FD59" s="434">
        <f t="shared" si="19"/>
        <v>0</v>
      </c>
      <c r="FE59" s="434">
        <f t="shared" si="19"/>
        <v>0</v>
      </c>
    </row>
    <row r="60" spans="1:161">
      <c r="A60" s="107"/>
      <c r="B60" s="3749"/>
      <c r="C60" s="615">
        <v>2</v>
      </c>
      <c r="D60" s="435">
        <f>D16</f>
        <v>6.28</v>
      </c>
      <c r="E60" s="41" t="str">
        <f t="shared" ref="E60:O60" si="20">E16</f>
        <v>No Data</v>
      </c>
      <c r="F60" s="41" t="str">
        <f t="shared" si="20"/>
        <v>No Data</v>
      </c>
      <c r="G60" s="609">
        <f t="shared" si="20"/>
        <v>6.63</v>
      </c>
      <c r="H60" s="435">
        <f t="shared" si="20"/>
        <v>6.95</v>
      </c>
      <c r="I60" s="41">
        <f t="shared" si="20"/>
        <v>8.25</v>
      </c>
      <c r="J60" s="41">
        <f t="shared" si="20"/>
        <v>8.0299999999999994</v>
      </c>
      <c r="K60" s="609">
        <f t="shared" si="20"/>
        <v>7.36</v>
      </c>
      <c r="L60" s="570">
        <f t="shared" si="20"/>
        <v>7.16</v>
      </c>
      <c r="M60" s="41">
        <f t="shared" si="20"/>
        <v>8.52</v>
      </c>
      <c r="N60" s="41">
        <v>8.7899999999999991</v>
      </c>
      <c r="O60" s="609">
        <f t="shared" si="20"/>
        <v>0</v>
      </c>
      <c r="P60" s="570">
        <f>P16</f>
        <v>7.06</v>
      </c>
      <c r="Q60" s="570">
        <f t="shared" ref="Q60:U60" si="21">Q16</f>
        <v>7.78</v>
      </c>
      <c r="R60" s="570" t="str">
        <f t="shared" si="21"/>
        <v>no data</v>
      </c>
      <c r="S60" s="570"/>
      <c r="T60" s="570"/>
      <c r="U60" s="570">
        <f t="shared" si="21"/>
        <v>6.84</v>
      </c>
      <c r="V60" s="570">
        <f t="shared" ref="V60:W60" si="22">V16</f>
        <v>10.88</v>
      </c>
      <c r="W60" s="570">
        <f t="shared" si="22"/>
        <v>0</v>
      </c>
      <c r="X60" s="570">
        <f>X16</f>
        <v>8.25</v>
      </c>
      <c r="Y60" s="570">
        <f t="shared" ref="Y60:AE60" si="23">Y16</f>
        <v>7.92</v>
      </c>
      <c r="Z60" s="570">
        <f t="shared" si="23"/>
        <v>15.63</v>
      </c>
      <c r="AA60" s="570">
        <f t="shared" si="23"/>
        <v>7.68</v>
      </c>
      <c r="AB60" s="570">
        <f t="shared" si="23"/>
        <v>9.9700000000000006</v>
      </c>
      <c r="AC60" s="570">
        <f t="shared" si="23"/>
        <v>0</v>
      </c>
      <c r="AD60" s="570">
        <f t="shared" si="23"/>
        <v>0</v>
      </c>
      <c r="AE60" s="570">
        <f t="shared" si="23"/>
        <v>0</v>
      </c>
      <c r="AF60" s="107"/>
      <c r="AG60" s="107"/>
      <c r="AH60" s="3749"/>
      <c r="AI60" s="615">
        <v>2</v>
      </c>
      <c r="AJ60" s="435" t="str">
        <f>AJ16</f>
        <v>No Data</v>
      </c>
      <c r="AK60" s="41" t="str">
        <f t="shared" ref="AK60:AU60" si="24">AK16</f>
        <v>No Data</v>
      </c>
      <c r="AL60" s="41" t="str">
        <f t="shared" si="24"/>
        <v>No Data</v>
      </c>
      <c r="AM60" s="609">
        <f t="shared" si="24"/>
        <v>9.91</v>
      </c>
      <c r="AN60" s="435">
        <f t="shared" si="24"/>
        <v>10.220000000000001</v>
      </c>
      <c r="AO60" s="41">
        <f t="shared" si="24"/>
        <v>9.1199999999999992</v>
      </c>
      <c r="AP60" s="41">
        <f t="shared" si="24"/>
        <v>9.83</v>
      </c>
      <c r="AQ60" s="609">
        <f t="shared" si="24"/>
        <v>9</v>
      </c>
      <c r="AR60" s="435">
        <f t="shared" si="24"/>
        <v>9.01</v>
      </c>
      <c r="AS60" s="41">
        <f t="shared" si="24"/>
        <v>8.9499999999999993</v>
      </c>
      <c r="AT60" s="41">
        <v>8.82</v>
      </c>
      <c r="AU60" s="609">
        <f t="shared" si="24"/>
        <v>0</v>
      </c>
      <c r="AV60" s="318"/>
      <c r="AW60" s="304"/>
      <c r="AX60" s="304"/>
      <c r="AY60" s="381"/>
      <c r="AZ60" s="304">
        <f>AZ16</f>
        <v>9.33</v>
      </c>
      <c r="BA60" s="304">
        <f t="shared" ref="BA60:BC60" si="25">BA16</f>
        <v>8.91</v>
      </c>
      <c r="BB60" s="304">
        <f t="shared" si="25"/>
        <v>9.5399999999999991</v>
      </c>
      <c r="BC60" s="304">
        <f t="shared" si="25"/>
        <v>0</v>
      </c>
      <c r="BD60" s="304">
        <f>BD26</f>
        <v>9.56</v>
      </c>
      <c r="BE60" s="304">
        <f t="shared" ref="BE60:BG60" si="26">BE26</f>
        <v>8.19</v>
      </c>
      <c r="BF60" s="304">
        <f t="shared" si="26"/>
        <v>7.12</v>
      </c>
      <c r="BG60" s="304">
        <f t="shared" si="26"/>
        <v>7.23</v>
      </c>
      <c r="BH60" s="304">
        <f t="shared" ref="BH60:BK60" si="27">BH26</f>
        <v>5.67</v>
      </c>
      <c r="BI60" s="304">
        <f t="shared" si="27"/>
        <v>0</v>
      </c>
      <c r="BJ60" s="304">
        <f t="shared" si="27"/>
        <v>0</v>
      </c>
      <c r="BK60" s="304">
        <f t="shared" si="27"/>
        <v>0</v>
      </c>
      <c r="BL60" s="107"/>
      <c r="BM60" s="107"/>
      <c r="BN60" s="3749"/>
      <c r="BO60" s="906">
        <v>2</v>
      </c>
      <c r="BP60" s="435" t="str">
        <f>BP16</f>
        <v>No Data</v>
      </c>
      <c r="BQ60" s="41" t="str">
        <f t="shared" ref="BQ60:BZ60" si="28">BQ16</f>
        <v>No Data</v>
      </c>
      <c r="BR60" s="41" t="str">
        <f t="shared" si="28"/>
        <v>No Data</v>
      </c>
      <c r="BS60" s="614" t="str">
        <f t="shared" si="28"/>
        <v>No Data</v>
      </c>
      <c r="BT60" s="435">
        <f t="shared" si="28"/>
        <v>0.3</v>
      </c>
      <c r="BU60" s="41">
        <f t="shared" si="28"/>
        <v>0.64800000000000002</v>
      </c>
      <c r="BV60" s="41">
        <f t="shared" si="28"/>
        <v>1.002</v>
      </c>
      <c r="BW60" s="609">
        <f t="shared" si="28"/>
        <v>0</v>
      </c>
      <c r="BX60" s="435">
        <f t="shared" si="28"/>
        <v>0</v>
      </c>
      <c r="BY60" s="41">
        <f t="shared" si="28"/>
        <v>0.91900000000000004</v>
      </c>
      <c r="BZ60" s="41">
        <f t="shared" si="28"/>
        <v>0</v>
      </c>
      <c r="CA60" s="609"/>
      <c r="CB60" s="609">
        <f t="shared" ref="CB60:CG60" si="29">CB16</f>
        <v>0.17</v>
      </c>
      <c r="CC60" s="609"/>
      <c r="CD60" s="609"/>
      <c r="CE60" s="609"/>
      <c r="CF60" s="609"/>
      <c r="CG60" s="609">
        <f t="shared" si="29"/>
        <v>0.33100000000000002</v>
      </c>
      <c r="CH60" s="609">
        <f t="shared" ref="CH60:CI60" si="30">CH16</f>
        <v>0</v>
      </c>
      <c r="CI60" s="609">
        <f t="shared" si="30"/>
        <v>0</v>
      </c>
      <c r="CJ60" s="609"/>
      <c r="CK60" s="609"/>
      <c r="CL60" s="609"/>
      <c r="CM60" s="609"/>
      <c r="CN60" s="609" t="str">
        <f>CN16</f>
        <v>&lt;0.013</v>
      </c>
      <c r="CO60" s="609">
        <f t="shared" ref="CO60:CQ60" si="31">CO16</f>
        <v>0</v>
      </c>
      <c r="CP60" s="609">
        <f t="shared" si="31"/>
        <v>0</v>
      </c>
      <c r="CQ60" s="609">
        <f t="shared" si="31"/>
        <v>0</v>
      </c>
      <c r="CR60" s="107"/>
      <c r="CS60" s="107"/>
      <c r="CT60" s="107"/>
      <c r="CU60" s="3749"/>
      <c r="CV60" s="615">
        <v>2</v>
      </c>
      <c r="CW60" s="435">
        <f>CW16</f>
        <v>0</v>
      </c>
      <c r="CX60" s="41">
        <f t="shared" ref="CX60:DF60" si="32">CX16</f>
        <v>0</v>
      </c>
      <c r="CY60" s="41">
        <f t="shared" si="32"/>
        <v>0</v>
      </c>
      <c r="CZ60" s="609">
        <f t="shared" si="32"/>
        <v>2.36</v>
      </c>
      <c r="DA60" s="435">
        <f t="shared" si="32"/>
        <v>2.52</v>
      </c>
      <c r="DB60" s="41">
        <f t="shared" si="32"/>
        <v>2.48</v>
      </c>
      <c r="DC60" s="41">
        <f t="shared" si="32"/>
        <v>0.84</v>
      </c>
      <c r="DD60" s="609">
        <f t="shared" si="32"/>
        <v>0</v>
      </c>
      <c r="DE60" s="435">
        <f t="shared" si="32"/>
        <v>2.59</v>
      </c>
      <c r="DF60" s="41">
        <f t="shared" si="32"/>
        <v>2.62</v>
      </c>
      <c r="DG60" s="41">
        <v>1.76</v>
      </c>
      <c r="DH60" s="609"/>
      <c r="DI60" s="609">
        <f t="shared" ref="DI60:DP60" si="33">DI16</f>
        <v>2.4900000000000002</v>
      </c>
      <c r="DJ60" s="609">
        <f t="shared" si="33"/>
        <v>2.6</v>
      </c>
      <c r="DK60" s="609">
        <f t="shared" si="33"/>
        <v>1.65</v>
      </c>
      <c r="DL60" s="609"/>
      <c r="DM60" s="609">
        <f t="shared" si="33"/>
        <v>2.4</v>
      </c>
      <c r="DN60" s="609">
        <f t="shared" si="33"/>
        <v>2.58</v>
      </c>
      <c r="DO60" s="609">
        <f t="shared" si="33"/>
        <v>1.71</v>
      </c>
      <c r="DP60" s="609">
        <f t="shared" si="33"/>
        <v>0</v>
      </c>
      <c r="DQ60" s="609">
        <f>DQ16</f>
        <v>2.54</v>
      </c>
      <c r="DR60" s="609">
        <f t="shared" ref="DR60:DT60" si="34">DR16</f>
        <v>2.4900000000000002</v>
      </c>
      <c r="DS60" s="609">
        <f t="shared" si="34"/>
        <v>1.4</v>
      </c>
      <c r="DT60" s="609">
        <f t="shared" si="34"/>
        <v>2.41</v>
      </c>
      <c r="DU60" s="609">
        <f t="shared" ref="DU60:DX60" si="35">DU16</f>
        <v>2.4300000000000002</v>
      </c>
      <c r="DV60" s="609">
        <f t="shared" si="35"/>
        <v>0</v>
      </c>
      <c r="DW60" s="609">
        <f t="shared" si="35"/>
        <v>0</v>
      </c>
      <c r="DX60" s="609">
        <f t="shared" si="35"/>
        <v>0</v>
      </c>
      <c r="DY60" s="107"/>
      <c r="DZ60" s="107"/>
      <c r="EA60" s="107"/>
      <c r="EB60" s="3749"/>
      <c r="EC60" s="615">
        <v>2</v>
      </c>
      <c r="ED60" s="435">
        <f>ED16</f>
        <v>0</v>
      </c>
      <c r="EE60" s="41">
        <f t="shared" ref="EE60:EO60" si="36">EE16</f>
        <v>0</v>
      </c>
      <c r="EF60" s="41">
        <f t="shared" si="36"/>
        <v>0</v>
      </c>
      <c r="EG60" s="609">
        <f t="shared" si="36"/>
        <v>36.9</v>
      </c>
      <c r="EH60" s="435">
        <f t="shared" si="36"/>
        <v>39.4</v>
      </c>
      <c r="EI60" s="41">
        <f t="shared" si="36"/>
        <v>38.6</v>
      </c>
      <c r="EJ60" s="41">
        <f t="shared" si="36"/>
        <v>14.6</v>
      </c>
      <c r="EK60" s="609">
        <f t="shared" si="36"/>
        <v>0</v>
      </c>
      <c r="EL60" s="435">
        <f t="shared" si="36"/>
        <v>40.200000000000003</v>
      </c>
      <c r="EM60" s="41">
        <f t="shared" si="36"/>
        <v>40.6</v>
      </c>
      <c r="EN60" s="41">
        <v>32.200000000000003</v>
      </c>
      <c r="EO60" s="609">
        <f t="shared" si="36"/>
        <v>0</v>
      </c>
      <c r="EP60" s="609">
        <f t="shared" ref="EP60:EW60" si="37">EP16</f>
        <v>39</v>
      </c>
      <c r="EQ60" s="609">
        <f t="shared" si="37"/>
        <v>40.5</v>
      </c>
      <c r="ER60" s="609">
        <f t="shared" si="37"/>
        <v>26.8</v>
      </c>
      <c r="ES60" s="614">
        <f t="shared" si="37"/>
        <v>0</v>
      </c>
      <c r="ET60" s="435">
        <f t="shared" si="37"/>
        <v>37.6</v>
      </c>
      <c r="EU60" s="41">
        <f t="shared" si="37"/>
        <v>40.200000000000003</v>
      </c>
      <c r="EV60" s="41">
        <f t="shared" si="37"/>
        <v>27.7</v>
      </c>
      <c r="EW60" s="614">
        <f t="shared" si="37"/>
        <v>0</v>
      </c>
      <c r="EX60" s="435">
        <f>EX16</f>
        <v>39.5</v>
      </c>
      <c r="EY60" s="435">
        <f t="shared" ref="EY60:FA60" si="38">EY16</f>
        <v>38.799999999999997</v>
      </c>
      <c r="EZ60" s="435">
        <f t="shared" si="38"/>
        <v>22.8</v>
      </c>
      <c r="FA60" s="435">
        <f t="shared" si="38"/>
        <v>37.799999999999997</v>
      </c>
      <c r="FB60" s="435">
        <f t="shared" ref="FB60:FE60" si="39">FB16</f>
        <v>38</v>
      </c>
      <c r="FC60" s="435">
        <f t="shared" si="39"/>
        <v>0</v>
      </c>
      <c r="FD60" s="435">
        <f t="shared" si="39"/>
        <v>0</v>
      </c>
      <c r="FE60" s="435">
        <f t="shared" si="39"/>
        <v>0</v>
      </c>
    </row>
    <row r="61" spans="1:161">
      <c r="A61" s="107"/>
      <c r="B61" s="3749"/>
      <c r="C61" s="615">
        <v>3</v>
      </c>
      <c r="D61" s="435">
        <f>D21</f>
        <v>4.74</v>
      </c>
      <c r="E61" s="41" t="str">
        <f t="shared" ref="E61:O61" si="40">E21</f>
        <v>No Data</v>
      </c>
      <c r="F61" s="41">
        <f t="shared" si="40"/>
        <v>7.33</v>
      </c>
      <c r="G61" s="609">
        <f t="shared" si="40"/>
        <v>7.66</v>
      </c>
      <c r="H61" s="435">
        <f t="shared" si="40"/>
        <v>7.5</v>
      </c>
      <c r="I61" s="41">
        <f t="shared" si="40"/>
        <v>7.99</v>
      </c>
      <c r="J61" s="41">
        <f t="shared" si="40"/>
        <v>9.3000000000000007</v>
      </c>
      <c r="K61" s="609">
        <f t="shared" si="40"/>
        <v>7.88</v>
      </c>
      <c r="L61" s="570">
        <f t="shared" si="40"/>
        <v>7.37</v>
      </c>
      <c r="M61" s="41">
        <f t="shared" si="40"/>
        <v>8.7100000000000009</v>
      </c>
      <c r="N61" s="41">
        <v>10.77</v>
      </c>
      <c r="O61" s="609">
        <f t="shared" si="40"/>
        <v>0</v>
      </c>
      <c r="P61" s="570">
        <f>P21</f>
        <v>6.98</v>
      </c>
      <c r="Q61" s="570">
        <f t="shared" ref="Q61:U61" si="41">Q21</f>
        <v>7.72</v>
      </c>
      <c r="R61" s="570" t="str">
        <f t="shared" si="41"/>
        <v>no data</v>
      </c>
      <c r="S61" s="570"/>
      <c r="T61" s="570"/>
      <c r="U61" s="570">
        <f t="shared" si="41"/>
        <v>6.86</v>
      </c>
      <c r="V61" s="570">
        <f t="shared" ref="V61:W61" si="42">V21</f>
        <v>8.98</v>
      </c>
      <c r="W61" s="570">
        <f t="shared" si="42"/>
        <v>0</v>
      </c>
      <c r="X61" s="570">
        <f>X21</f>
        <v>9.98</v>
      </c>
      <c r="Y61" s="570">
        <f t="shared" ref="Y61:AA61" si="43">Y21</f>
        <v>8.3699999999999992</v>
      </c>
      <c r="Z61" s="570">
        <f t="shared" si="43"/>
        <v>9.99</v>
      </c>
      <c r="AA61" s="570">
        <f t="shared" si="43"/>
        <v>7.55</v>
      </c>
      <c r="AB61" s="570">
        <f t="shared" ref="AB61:AE61" si="44">AB21</f>
        <v>7.32</v>
      </c>
      <c r="AC61" s="570">
        <f t="shared" si="44"/>
        <v>0</v>
      </c>
      <c r="AD61" s="570">
        <f t="shared" si="44"/>
        <v>0</v>
      </c>
      <c r="AE61" s="570">
        <f t="shared" si="44"/>
        <v>0</v>
      </c>
      <c r="AF61" s="107"/>
      <c r="AG61" s="107"/>
      <c r="AH61" s="3749"/>
      <c r="AI61" s="615">
        <v>3</v>
      </c>
      <c r="AJ61" s="435" t="str">
        <f>AJ21</f>
        <v>No Data</v>
      </c>
      <c r="AK61" s="41" t="str">
        <f t="shared" ref="AK61:AU61" si="45">AK21</f>
        <v>No Data</v>
      </c>
      <c r="AL61" s="41" t="str">
        <f t="shared" si="45"/>
        <v>No Data</v>
      </c>
      <c r="AM61" s="609">
        <f t="shared" si="45"/>
        <v>10.09</v>
      </c>
      <c r="AN61" s="435">
        <f t="shared" si="45"/>
        <v>10.23</v>
      </c>
      <c r="AO61" s="41">
        <f t="shared" si="45"/>
        <v>9.1</v>
      </c>
      <c r="AP61" s="41">
        <f t="shared" si="45"/>
        <v>9.77</v>
      </c>
      <c r="AQ61" s="609">
        <f t="shared" si="45"/>
        <v>8.93</v>
      </c>
      <c r="AR61" s="435">
        <f t="shared" si="45"/>
        <v>8.9499999999999993</v>
      </c>
      <c r="AS61" s="41">
        <f t="shared" si="45"/>
        <v>9.01</v>
      </c>
      <c r="AT61" s="41">
        <v>8.7200000000000006</v>
      </c>
      <c r="AU61" s="609">
        <f t="shared" si="45"/>
        <v>0</v>
      </c>
      <c r="AV61" s="318"/>
      <c r="AW61" s="304"/>
      <c r="AX61" s="304"/>
      <c r="AY61" s="381"/>
      <c r="AZ61" s="304">
        <f>AZ21</f>
        <v>9.1199999999999992</v>
      </c>
      <c r="BA61" s="304">
        <f t="shared" ref="BA61:BC61" si="46">BA21</f>
        <v>9.02</v>
      </c>
      <c r="BB61" s="304">
        <f t="shared" si="46"/>
        <v>9.49</v>
      </c>
      <c r="BC61" s="304">
        <f t="shared" si="46"/>
        <v>0</v>
      </c>
      <c r="BD61" s="304">
        <f>BD21</f>
        <v>9.5500000000000007</v>
      </c>
      <c r="BE61" s="304">
        <f t="shared" ref="BE61:BG61" si="47">BE21</f>
        <v>8.2200000000000006</v>
      </c>
      <c r="BF61" s="304">
        <f t="shared" si="47"/>
        <v>7.07</v>
      </c>
      <c r="BG61" s="304">
        <f t="shared" si="47"/>
        <v>7.34</v>
      </c>
      <c r="BH61" s="304">
        <f t="shared" ref="BH61:BK61" si="48">BH21</f>
        <v>5.68</v>
      </c>
      <c r="BI61" s="304">
        <f t="shared" si="48"/>
        <v>0</v>
      </c>
      <c r="BJ61" s="304">
        <f t="shared" si="48"/>
        <v>0</v>
      </c>
      <c r="BK61" s="304">
        <f t="shared" si="48"/>
        <v>0</v>
      </c>
      <c r="BL61" s="107"/>
      <c r="BM61" s="107"/>
      <c r="BN61" s="3749"/>
      <c r="BO61" s="906">
        <v>3</v>
      </c>
      <c r="BP61" s="435" t="str">
        <f>BP21</f>
        <v>No Data</v>
      </c>
      <c r="BQ61" s="41" t="str">
        <f t="shared" ref="BQ61:BZ61" si="49">BQ21</f>
        <v>No Data</v>
      </c>
      <c r="BR61" s="41" t="str">
        <f t="shared" si="49"/>
        <v>No Data</v>
      </c>
      <c r="BS61" s="614" t="str">
        <f t="shared" si="49"/>
        <v>No Data</v>
      </c>
      <c r="BT61" s="435">
        <f t="shared" si="49"/>
        <v>0.38900000000000001</v>
      </c>
      <c r="BU61" s="41">
        <f t="shared" si="49"/>
        <v>0.995</v>
      </c>
      <c r="BV61" s="41">
        <f t="shared" si="49"/>
        <v>0.82399999999999995</v>
      </c>
      <c r="BW61" s="609">
        <f t="shared" si="49"/>
        <v>0</v>
      </c>
      <c r="BX61" s="435">
        <f t="shared" si="49"/>
        <v>0</v>
      </c>
      <c r="BY61" s="41">
        <f t="shared" si="49"/>
        <v>0.97</v>
      </c>
      <c r="BZ61" s="41">
        <f t="shared" si="49"/>
        <v>0</v>
      </c>
      <c r="CA61" s="609"/>
      <c r="CB61" s="609">
        <f t="shared" ref="CB61:CG61" si="50">CB21</f>
        <v>0.17</v>
      </c>
      <c r="CC61" s="609"/>
      <c r="CD61" s="609"/>
      <c r="CE61" s="609"/>
      <c r="CF61" s="609"/>
      <c r="CG61" s="609">
        <f t="shared" si="50"/>
        <v>0.20399999999999999</v>
      </c>
      <c r="CH61" s="609">
        <f t="shared" ref="CH61:CI61" si="51">CH21</f>
        <v>0</v>
      </c>
      <c r="CI61" s="609">
        <f t="shared" si="51"/>
        <v>0</v>
      </c>
      <c r="CJ61" s="609"/>
      <c r="CK61" s="609"/>
      <c r="CL61" s="609"/>
      <c r="CM61" s="609"/>
      <c r="CN61" s="609" t="str">
        <f>CN21</f>
        <v>&lt;0.013</v>
      </c>
      <c r="CO61" s="609">
        <f t="shared" ref="CO61:CQ61" si="52">CO21</f>
        <v>0</v>
      </c>
      <c r="CP61" s="609">
        <f t="shared" si="52"/>
        <v>0</v>
      </c>
      <c r="CQ61" s="609">
        <f t="shared" si="52"/>
        <v>0</v>
      </c>
      <c r="CR61" s="107"/>
      <c r="CS61" s="107"/>
      <c r="CT61" s="107"/>
      <c r="CU61" s="3749"/>
      <c r="CV61" s="615">
        <v>3</v>
      </c>
      <c r="CW61" s="435">
        <f>CW21</f>
        <v>0</v>
      </c>
      <c r="CX61" s="41">
        <f t="shared" ref="CX61:DF61" si="53">CX21</f>
        <v>0</v>
      </c>
      <c r="CY61" s="41">
        <f t="shared" si="53"/>
        <v>0</v>
      </c>
      <c r="CZ61" s="609">
        <f t="shared" si="53"/>
        <v>2.15</v>
      </c>
      <c r="DA61" s="435">
        <f t="shared" si="53"/>
        <v>2.4300000000000002</v>
      </c>
      <c r="DB61" s="41">
        <f t="shared" si="53"/>
        <v>2.4700000000000002</v>
      </c>
      <c r="DC61" s="41">
        <f t="shared" si="53"/>
        <v>0.4</v>
      </c>
      <c r="DD61" s="609">
        <f t="shared" si="53"/>
        <v>0</v>
      </c>
      <c r="DE61" s="435">
        <f t="shared" si="53"/>
        <v>2.57</v>
      </c>
      <c r="DF61" s="41">
        <f t="shared" si="53"/>
        <v>2.61</v>
      </c>
      <c r="DG61" s="41">
        <v>0.71</v>
      </c>
      <c r="DH61" s="609"/>
      <c r="DI61" s="609">
        <f t="shared" ref="DI61:DP61" si="54">DI21</f>
        <v>2.52</v>
      </c>
      <c r="DJ61" s="609">
        <f t="shared" si="54"/>
        <v>2.58</v>
      </c>
      <c r="DK61" s="609">
        <f t="shared" si="54"/>
        <v>1.85</v>
      </c>
      <c r="DL61" s="609"/>
      <c r="DM61" s="609">
        <f t="shared" si="54"/>
        <v>2.4700000000000002</v>
      </c>
      <c r="DN61" s="609">
        <f t="shared" si="54"/>
        <v>2.58</v>
      </c>
      <c r="DO61" s="609">
        <f t="shared" si="54"/>
        <v>1.95</v>
      </c>
      <c r="DP61" s="609">
        <f t="shared" si="54"/>
        <v>0</v>
      </c>
      <c r="DQ61" s="609">
        <f>DQ21</f>
        <v>2.52</v>
      </c>
      <c r="DR61" s="609">
        <f t="shared" ref="DR61:DT61" si="55">DR21</f>
        <v>2.46</v>
      </c>
      <c r="DS61" s="609">
        <f t="shared" si="55"/>
        <v>1.44</v>
      </c>
      <c r="DT61" s="609">
        <f t="shared" si="55"/>
        <v>2.34</v>
      </c>
      <c r="DU61" s="609">
        <f t="shared" ref="DU61:DX61" si="56">DU21</f>
        <v>2.4700000000000002</v>
      </c>
      <c r="DV61" s="609">
        <f t="shared" si="56"/>
        <v>0</v>
      </c>
      <c r="DW61" s="609">
        <f t="shared" si="56"/>
        <v>0</v>
      </c>
      <c r="DX61" s="609">
        <f t="shared" si="56"/>
        <v>0</v>
      </c>
      <c r="DY61" s="107"/>
      <c r="DZ61" s="107"/>
      <c r="EA61" s="107"/>
      <c r="EB61" s="3749"/>
      <c r="EC61" s="615">
        <v>3</v>
      </c>
      <c r="ED61" s="435">
        <f>ED21</f>
        <v>0</v>
      </c>
      <c r="EE61" s="41">
        <f t="shared" ref="EE61:EO61" si="57">EE21</f>
        <v>0</v>
      </c>
      <c r="EF61" s="41">
        <f t="shared" si="57"/>
        <v>0</v>
      </c>
      <c r="EG61" s="609">
        <f t="shared" si="57"/>
        <v>34</v>
      </c>
      <c r="EH61" s="435">
        <f t="shared" si="57"/>
        <v>38.1</v>
      </c>
      <c r="EI61" s="41">
        <f t="shared" si="57"/>
        <v>38.700000000000003</v>
      </c>
      <c r="EJ61" s="41">
        <f t="shared" si="57"/>
        <v>7.66</v>
      </c>
      <c r="EK61" s="609">
        <f t="shared" si="57"/>
        <v>0</v>
      </c>
      <c r="EL61" s="435">
        <f t="shared" si="57"/>
        <v>40</v>
      </c>
      <c r="EM61" s="41">
        <f t="shared" si="57"/>
        <v>40.6</v>
      </c>
      <c r="EN61" s="41">
        <v>10.6</v>
      </c>
      <c r="EO61" s="609">
        <f t="shared" si="57"/>
        <v>0</v>
      </c>
      <c r="EP61" s="609">
        <f t="shared" ref="EP61:EW61" si="58">EP21</f>
        <v>39.6</v>
      </c>
      <c r="EQ61" s="609">
        <f t="shared" si="58"/>
        <v>40.1</v>
      </c>
      <c r="ER61" s="609">
        <f t="shared" si="58"/>
        <v>29.7</v>
      </c>
      <c r="ES61" s="614">
        <f t="shared" si="58"/>
        <v>0</v>
      </c>
      <c r="ET61" s="435">
        <f t="shared" si="58"/>
        <v>38.5</v>
      </c>
      <c r="EU61" s="41">
        <f t="shared" si="58"/>
        <v>40.200000000000003</v>
      </c>
      <c r="EV61" s="41">
        <f t="shared" si="58"/>
        <v>29.9</v>
      </c>
      <c r="EW61" s="614">
        <f t="shared" si="58"/>
        <v>0</v>
      </c>
      <c r="EX61" s="435">
        <f>EX21</f>
        <v>39.1</v>
      </c>
      <c r="EY61" s="435">
        <f t="shared" ref="EY61:FA61" si="59">EY21</f>
        <v>38.4</v>
      </c>
      <c r="EZ61" s="435">
        <f t="shared" si="59"/>
        <v>23.3</v>
      </c>
      <c r="FA61" s="435">
        <f t="shared" si="59"/>
        <v>36.700000000000003</v>
      </c>
      <c r="FB61" s="435">
        <f t="shared" ref="FB61:FE61" si="60">FB21</f>
        <v>38.6</v>
      </c>
      <c r="FC61" s="435">
        <f t="shared" si="60"/>
        <v>0</v>
      </c>
      <c r="FD61" s="435">
        <f t="shared" si="60"/>
        <v>0</v>
      </c>
      <c r="FE61" s="435">
        <f t="shared" si="60"/>
        <v>0</v>
      </c>
    </row>
    <row r="62" spans="1:161">
      <c r="A62" s="107"/>
      <c r="B62" s="3749"/>
      <c r="C62" s="615">
        <v>4</v>
      </c>
      <c r="D62" s="435">
        <f>D26</f>
        <v>5.59</v>
      </c>
      <c r="E62" s="41" t="str">
        <f t="shared" ref="E62:O62" si="61">E26</f>
        <v>No Data</v>
      </c>
      <c r="F62" s="41" t="str">
        <f t="shared" si="61"/>
        <v>No Data</v>
      </c>
      <c r="G62" s="609" t="str">
        <f t="shared" si="61"/>
        <v>No Data</v>
      </c>
      <c r="H62" s="435">
        <f t="shared" si="61"/>
        <v>7.17</v>
      </c>
      <c r="I62" s="41">
        <f t="shared" si="61"/>
        <v>7.65</v>
      </c>
      <c r="J62" s="41">
        <f t="shared" si="61"/>
        <v>11.68</v>
      </c>
      <c r="K62" s="609">
        <f t="shared" si="61"/>
        <v>7.6</v>
      </c>
      <c r="L62" s="570">
        <f t="shared" si="61"/>
        <v>7.24</v>
      </c>
      <c r="M62" s="41">
        <f t="shared" si="61"/>
        <v>8.6999999999999993</v>
      </c>
      <c r="N62" s="41">
        <v>9.61</v>
      </c>
      <c r="O62" s="609">
        <f t="shared" si="61"/>
        <v>0</v>
      </c>
      <c r="P62" s="570">
        <f>P26</f>
        <v>6.92</v>
      </c>
      <c r="Q62" s="570">
        <f t="shared" ref="Q62:U62" si="62">Q26</f>
        <v>7.67</v>
      </c>
      <c r="R62" s="570" t="str">
        <f t="shared" si="62"/>
        <v>no data</v>
      </c>
      <c r="S62" s="570"/>
      <c r="T62" s="570"/>
      <c r="U62" s="570">
        <f t="shared" si="62"/>
        <v>6.54</v>
      </c>
      <c r="V62" s="570">
        <f t="shared" ref="V62:W62" si="63">V26</f>
        <v>8.93</v>
      </c>
      <c r="W62" s="570">
        <f t="shared" si="63"/>
        <v>0</v>
      </c>
      <c r="X62" s="570">
        <f>X26</f>
        <v>10.11</v>
      </c>
      <c r="Y62" s="570">
        <f t="shared" ref="Y62:AA62" si="64">Y26</f>
        <v>8.2899999999999991</v>
      </c>
      <c r="Z62" s="570">
        <f t="shared" si="64"/>
        <v>9.98</v>
      </c>
      <c r="AA62" s="570">
        <f t="shared" si="64"/>
        <v>7.6</v>
      </c>
      <c r="AB62" s="570">
        <f t="shared" ref="AB62:AE62" si="65">AB26</f>
        <v>7.23</v>
      </c>
      <c r="AC62" s="570">
        <f t="shared" si="65"/>
        <v>0</v>
      </c>
      <c r="AD62" s="570">
        <f t="shared" si="65"/>
        <v>0</v>
      </c>
      <c r="AE62" s="570">
        <f t="shared" si="65"/>
        <v>0</v>
      </c>
      <c r="AF62" s="107"/>
      <c r="AG62" s="107"/>
      <c r="AH62" s="3749"/>
      <c r="AI62" s="615">
        <v>4</v>
      </c>
      <c r="AJ62" s="435" t="str">
        <f>AJ26</f>
        <v>No Data</v>
      </c>
      <c r="AK62" s="41" t="str">
        <f t="shared" ref="AK62:AU62" si="66">AK26</f>
        <v>No Data</v>
      </c>
      <c r="AL62" s="41" t="str">
        <f t="shared" si="66"/>
        <v>No Data</v>
      </c>
      <c r="AM62" s="609" t="str">
        <f t="shared" si="66"/>
        <v>No Data</v>
      </c>
      <c r="AN62" s="435">
        <f t="shared" si="66"/>
        <v>10.25</v>
      </c>
      <c r="AO62" s="41">
        <f t="shared" si="66"/>
        <v>9.1300000000000008</v>
      </c>
      <c r="AP62" s="41">
        <f t="shared" si="66"/>
        <v>9.7899999999999991</v>
      </c>
      <c r="AQ62" s="609">
        <f t="shared" si="66"/>
        <v>8.8699999999999992</v>
      </c>
      <c r="AR62" s="435">
        <f t="shared" si="66"/>
        <v>8.98</v>
      </c>
      <c r="AS62" s="41">
        <f t="shared" si="66"/>
        <v>9.02</v>
      </c>
      <c r="AT62" s="41">
        <v>8.9</v>
      </c>
      <c r="AU62" s="609">
        <f t="shared" si="66"/>
        <v>0</v>
      </c>
      <c r="AV62" s="318"/>
      <c r="AW62" s="304"/>
      <c r="AX62" s="304"/>
      <c r="AY62" s="381"/>
      <c r="AZ62" s="304">
        <f>AZ26</f>
        <v>9.09</v>
      </c>
      <c r="BA62" s="304">
        <f t="shared" ref="BA62:BC62" si="67">BA26</f>
        <v>9.07</v>
      </c>
      <c r="BB62" s="304">
        <f t="shared" si="67"/>
        <v>9.5299999999999994</v>
      </c>
      <c r="BC62" s="304">
        <f t="shared" si="67"/>
        <v>0</v>
      </c>
      <c r="BD62" s="304">
        <f>BD26</f>
        <v>9.56</v>
      </c>
      <c r="BE62" s="304">
        <f t="shared" ref="BE62:BG62" si="68">BE26</f>
        <v>8.19</v>
      </c>
      <c r="BF62" s="304">
        <f t="shared" si="68"/>
        <v>7.12</v>
      </c>
      <c r="BG62" s="304">
        <f t="shared" si="68"/>
        <v>7.23</v>
      </c>
      <c r="BH62" s="304">
        <f t="shared" ref="BH62:BK62" si="69">BH26</f>
        <v>5.67</v>
      </c>
      <c r="BI62" s="304">
        <f t="shared" si="69"/>
        <v>0</v>
      </c>
      <c r="BJ62" s="304">
        <f t="shared" si="69"/>
        <v>0</v>
      </c>
      <c r="BK62" s="304">
        <f t="shared" si="69"/>
        <v>0</v>
      </c>
      <c r="BL62" s="107"/>
      <c r="BM62" s="107"/>
      <c r="BN62" s="3749"/>
      <c r="BO62" s="906">
        <v>4</v>
      </c>
      <c r="BP62" s="435" t="str">
        <f>BP26</f>
        <v>No Data</v>
      </c>
      <c r="BQ62" s="41" t="str">
        <f t="shared" ref="BQ62:BZ62" si="70">BQ26</f>
        <v>No Data</v>
      </c>
      <c r="BR62" s="41" t="str">
        <f t="shared" si="70"/>
        <v>No Data</v>
      </c>
      <c r="BS62" s="614" t="str">
        <f t="shared" si="70"/>
        <v>No Data</v>
      </c>
      <c r="BT62" s="435">
        <f t="shared" si="70"/>
        <v>0.58199999999999996</v>
      </c>
      <c r="BU62" s="41">
        <f t="shared" si="70"/>
        <v>0.81399999999999995</v>
      </c>
      <c r="BV62" s="41">
        <f t="shared" si="70"/>
        <v>0.88400000000000001</v>
      </c>
      <c r="BW62" s="609">
        <f t="shared" si="70"/>
        <v>0</v>
      </c>
      <c r="BX62" s="435">
        <f t="shared" si="70"/>
        <v>0</v>
      </c>
      <c r="BY62" s="41">
        <f t="shared" si="70"/>
        <v>1.0129999999999999</v>
      </c>
      <c r="BZ62" s="41">
        <f t="shared" si="70"/>
        <v>0</v>
      </c>
      <c r="CA62" s="609"/>
      <c r="CB62" s="609">
        <f t="shared" ref="CB62:CG62" si="71">CB26</f>
        <v>0.13</v>
      </c>
      <c r="CC62" s="609"/>
      <c r="CD62" s="609"/>
      <c r="CE62" s="609"/>
      <c r="CF62" s="609"/>
      <c r="CG62" s="609">
        <f t="shared" si="71"/>
        <v>0.26400000000000001</v>
      </c>
      <c r="CH62" s="609">
        <f t="shared" ref="CH62:CI62" si="72">CH26</f>
        <v>0</v>
      </c>
      <c r="CI62" s="609">
        <f t="shared" si="72"/>
        <v>0</v>
      </c>
      <c r="CJ62" s="609"/>
      <c r="CK62" s="609"/>
      <c r="CL62" s="609"/>
      <c r="CM62" s="609"/>
      <c r="CN62" s="609" t="str">
        <f>CN26</f>
        <v>&lt;0.013</v>
      </c>
      <c r="CO62" s="609">
        <f t="shared" ref="CO62:CQ62" si="73">CO26</f>
        <v>0</v>
      </c>
      <c r="CP62" s="609">
        <f t="shared" si="73"/>
        <v>0</v>
      </c>
      <c r="CQ62" s="609">
        <f t="shared" si="73"/>
        <v>0</v>
      </c>
      <c r="CR62" s="107"/>
      <c r="CS62" s="107"/>
      <c r="CT62" s="107"/>
      <c r="CU62" s="3749"/>
      <c r="CV62" s="615">
        <v>4</v>
      </c>
      <c r="CW62" s="435">
        <f>CW26</f>
        <v>0</v>
      </c>
      <c r="CX62" s="41">
        <f t="shared" ref="CX62:DF62" si="74">CX26</f>
        <v>0</v>
      </c>
      <c r="CY62" s="41">
        <f t="shared" si="74"/>
        <v>0</v>
      </c>
      <c r="CZ62" s="609">
        <f t="shared" si="74"/>
        <v>0</v>
      </c>
      <c r="DA62" s="435">
        <f t="shared" si="74"/>
        <v>2.48</v>
      </c>
      <c r="DB62" s="41">
        <f t="shared" si="74"/>
        <v>2.4900000000000002</v>
      </c>
      <c r="DC62" s="41">
        <f t="shared" si="74"/>
        <v>0.3</v>
      </c>
      <c r="DD62" s="609">
        <f t="shared" si="74"/>
        <v>0</v>
      </c>
      <c r="DE62" s="435">
        <f t="shared" si="74"/>
        <v>2.54</v>
      </c>
      <c r="DF62" s="41">
        <f t="shared" si="74"/>
        <v>2.61</v>
      </c>
      <c r="DG62" s="41">
        <v>1.27</v>
      </c>
      <c r="DH62" s="609"/>
      <c r="DI62" s="609">
        <f t="shared" ref="DI62:DP62" si="75">DI26</f>
        <v>2.54</v>
      </c>
      <c r="DJ62" s="609">
        <f t="shared" si="75"/>
        <v>2.57</v>
      </c>
      <c r="DK62" s="609">
        <f t="shared" si="75"/>
        <v>1.75</v>
      </c>
      <c r="DL62" s="609"/>
      <c r="DM62" s="609">
        <f t="shared" si="75"/>
        <v>2.4900000000000002</v>
      </c>
      <c r="DN62" s="609">
        <f t="shared" si="75"/>
        <v>2.59</v>
      </c>
      <c r="DO62" s="609">
        <f t="shared" si="75"/>
        <v>2.08</v>
      </c>
      <c r="DP62" s="609">
        <f t="shared" si="75"/>
        <v>0</v>
      </c>
      <c r="DQ62" s="609">
        <f>DQ26</f>
        <v>2.4900000000000002</v>
      </c>
      <c r="DR62" s="609">
        <f t="shared" ref="DR62:DT62" si="76">DR26</f>
        <v>2.4700000000000002</v>
      </c>
      <c r="DS62" s="609">
        <f t="shared" si="76"/>
        <v>1.41</v>
      </c>
      <c r="DT62" s="609">
        <f t="shared" si="76"/>
        <v>2.0299999999999998</v>
      </c>
      <c r="DU62" s="609">
        <f t="shared" ref="DU62:DX62" si="77">DU26</f>
        <v>2.5099999999999998</v>
      </c>
      <c r="DV62" s="609">
        <f t="shared" si="77"/>
        <v>0</v>
      </c>
      <c r="DW62" s="609">
        <f t="shared" si="77"/>
        <v>0</v>
      </c>
      <c r="DX62" s="609">
        <f t="shared" si="77"/>
        <v>0</v>
      </c>
      <c r="DY62" s="107"/>
      <c r="DZ62" s="107"/>
      <c r="EA62" s="107"/>
      <c r="EB62" s="3749"/>
      <c r="EC62" s="615">
        <v>4</v>
      </c>
      <c r="ED62" s="435">
        <f>ED26</f>
        <v>0</v>
      </c>
      <c r="EE62" s="41">
        <f t="shared" ref="EE62:EO62" si="78">EE26</f>
        <v>0</v>
      </c>
      <c r="EF62" s="41">
        <f t="shared" si="78"/>
        <v>0</v>
      </c>
      <c r="EG62" s="609">
        <f t="shared" si="78"/>
        <v>0</v>
      </c>
      <c r="EH62" s="435">
        <f t="shared" si="78"/>
        <v>39.200000000000003</v>
      </c>
      <c r="EI62" s="41">
        <f t="shared" si="78"/>
        <v>38.799999999999997</v>
      </c>
      <c r="EJ62" s="41">
        <f t="shared" si="78"/>
        <v>6.76</v>
      </c>
      <c r="EK62" s="609">
        <f t="shared" si="78"/>
        <v>0</v>
      </c>
      <c r="EL62" s="435">
        <f t="shared" si="78"/>
        <v>39.200000000000003</v>
      </c>
      <c r="EM62" s="41">
        <f t="shared" si="78"/>
        <v>40.6</v>
      </c>
      <c r="EN62" s="41">
        <v>21.1</v>
      </c>
      <c r="EO62" s="609">
        <f t="shared" si="78"/>
        <v>0</v>
      </c>
      <c r="EP62" s="609">
        <f t="shared" ref="EP62:EW62" si="79">EP26</f>
        <v>39.5</v>
      </c>
      <c r="EQ62" s="609">
        <f t="shared" si="79"/>
        <v>40.1</v>
      </c>
      <c r="ER62" s="609">
        <f t="shared" si="79"/>
        <v>28.5</v>
      </c>
      <c r="ES62" s="614">
        <f t="shared" si="79"/>
        <v>0</v>
      </c>
      <c r="ET62" s="435">
        <f t="shared" si="79"/>
        <v>38.700000000000003</v>
      </c>
      <c r="EU62" s="41">
        <f t="shared" si="79"/>
        <v>40.4</v>
      </c>
      <c r="EV62" s="41">
        <f t="shared" si="79"/>
        <v>33.6</v>
      </c>
      <c r="EW62" s="614">
        <f t="shared" si="79"/>
        <v>0</v>
      </c>
      <c r="EX62" s="435">
        <f>EX26</f>
        <v>38.799999999999997</v>
      </c>
      <c r="EY62" s="435">
        <f t="shared" ref="EY62:FA62" si="80">EY26</f>
        <v>38.700000000000003</v>
      </c>
      <c r="EZ62" s="435">
        <f t="shared" si="80"/>
        <v>23.2</v>
      </c>
      <c r="FA62" s="435">
        <f t="shared" si="80"/>
        <v>32.5</v>
      </c>
      <c r="FB62" s="435">
        <f t="shared" ref="FB62:FE62" si="81">FB26</f>
        <v>39.1</v>
      </c>
      <c r="FC62" s="435">
        <f t="shared" si="81"/>
        <v>0</v>
      </c>
      <c r="FD62" s="435">
        <f t="shared" si="81"/>
        <v>0</v>
      </c>
      <c r="FE62" s="435">
        <f t="shared" si="81"/>
        <v>0</v>
      </c>
    </row>
    <row r="63" spans="1:161">
      <c r="A63" s="107"/>
      <c r="B63" s="3749"/>
      <c r="C63" s="615">
        <v>5</v>
      </c>
      <c r="D63" s="435">
        <f>D31</f>
        <v>6.98</v>
      </c>
      <c r="E63" s="41" t="str">
        <f t="shared" ref="E63:O63" si="82">E31</f>
        <v>No Data</v>
      </c>
      <c r="F63" s="41" t="str">
        <f t="shared" si="82"/>
        <v>No Data</v>
      </c>
      <c r="G63" s="609" t="str">
        <f t="shared" si="82"/>
        <v>No Data</v>
      </c>
      <c r="H63" s="435">
        <f t="shared" si="82"/>
        <v>6.78</v>
      </c>
      <c r="I63" s="41">
        <f t="shared" si="82"/>
        <v>6.85</v>
      </c>
      <c r="J63" s="41">
        <f t="shared" si="82"/>
        <v>9.84</v>
      </c>
      <c r="K63" s="609">
        <f t="shared" si="82"/>
        <v>7.18</v>
      </c>
      <c r="L63" s="570">
        <f t="shared" si="82"/>
        <v>7.41</v>
      </c>
      <c r="M63" s="41">
        <f t="shared" si="82"/>
        <v>8.92</v>
      </c>
      <c r="N63" s="41"/>
      <c r="O63" s="609">
        <f t="shared" si="82"/>
        <v>0</v>
      </c>
      <c r="P63" s="570">
        <f>P31</f>
        <v>6.85</v>
      </c>
      <c r="Q63" s="570">
        <f t="shared" ref="Q63:U63" si="83">Q31</f>
        <v>7.29</v>
      </c>
      <c r="R63" s="570" t="str">
        <f t="shared" si="83"/>
        <v>no data</v>
      </c>
      <c r="S63" s="570"/>
      <c r="T63" s="570"/>
      <c r="U63" s="570">
        <f t="shared" si="83"/>
        <v>5.95</v>
      </c>
      <c r="V63" s="570">
        <f t="shared" ref="V63:W63" si="84">V31</f>
        <v>7.9</v>
      </c>
      <c r="W63" s="570">
        <f t="shared" si="84"/>
        <v>0</v>
      </c>
      <c r="X63" s="570">
        <f>X31</f>
        <v>10.28</v>
      </c>
      <c r="Y63" s="570">
        <f t="shared" ref="Y63:AA63" si="85">Y31</f>
        <v>9.5399999999999991</v>
      </c>
      <c r="Z63" s="570">
        <f t="shared" si="85"/>
        <v>8.58</v>
      </c>
      <c r="AA63" s="570">
        <f t="shared" si="85"/>
        <v>7.48</v>
      </c>
      <c r="AB63" s="570">
        <f t="shared" ref="AB63:AE63" si="86">AB31</f>
        <v>7.07</v>
      </c>
      <c r="AC63" s="570">
        <f t="shared" si="86"/>
        <v>0</v>
      </c>
      <c r="AD63" s="570">
        <f t="shared" si="86"/>
        <v>0</v>
      </c>
      <c r="AE63" s="570">
        <f t="shared" si="86"/>
        <v>0</v>
      </c>
      <c r="AF63" s="107"/>
      <c r="AG63" s="107"/>
      <c r="AH63" s="3749"/>
      <c r="AI63" s="615">
        <v>5</v>
      </c>
      <c r="AJ63" s="435" t="str">
        <f>AJ31</f>
        <v>No Data</v>
      </c>
      <c r="AK63" s="41" t="str">
        <f t="shared" ref="AK63:AU63" si="87">AK31</f>
        <v>No Data</v>
      </c>
      <c r="AL63" s="41" t="str">
        <f t="shared" si="87"/>
        <v>No Data</v>
      </c>
      <c r="AM63" s="609" t="str">
        <f t="shared" si="87"/>
        <v>No Data</v>
      </c>
      <c r="AN63" s="435">
        <f t="shared" si="87"/>
        <v>10.09</v>
      </c>
      <c r="AO63" s="41">
        <f t="shared" si="87"/>
        <v>9.1</v>
      </c>
      <c r="AP63" s="41">
        <f t="shared" si="87"/>
        <v>9.8000000000000007</v>
      </c>
      <c r="AQ63" s="609">
        <f t="shared" si="87"/>
        <v>9.01</v>
      </c>
      <c r="AR63" s="435">
        <f t="shared" si="87"/>
        <v>9.0399999999999991</v>
      </c>
      <c r="AS63" s="41">
        <f t="shared" si="87"/>
        <v>9.0399999999999991</v>
      </c>
      <c r="AT63" s="41"/>
      <c r="AU63" s="609">
        <f t="shared" si="87"/>
        <v>0</v>
      </c>
      <c r="AV63" s="318"/>
      <c r="AW63" s="304"/>
      <c r="AX63" s="304"/>
      <c r="AY63" s="381"/>
      <c r="AZ63" s="304">
        <f>AZ31</f>
        <v>9.09</v>
      </c>
      <c r="BA63" s="304">
        <f t="shared" ref="BA63:BC63" si="88">BA31</f>
        <v>9.19</v>
      </c>
      <c r="BB63" s="304">
        <f t="shared" si="88"/>
        <v>9.49</v>
      </c>
      <c r="BC63" s="304">
        <f t="shared" si="88"/>
        <v>0</v>
      </c>
      <c r="BD63" s="304">
        <f>BD31</f>
        <v>9.5500000000000007</v>
      </c>
      <c r="BE63" s="304">
        <f t="shared" ref="BE63:BG63" si="89">BE31</f>
        <v>8.3000000000000007</v>
      </c>
      <c r="BF63" s="304">
        <f t="shared" si="89"/>
        <v>7.12</v>
      </c>
      <c r="BG63" s="304">
        <f t="shared" si="89"/>
        <v>7.14</v>
      </c>
      <c r="BH63" s="304">
        <f t="shared" ref="BH63:BK63" si="90">BH31</f>
        <v>8.2899999999999991</v>
      </c>
      <c r="BI63" s="304">
        <f t="shared" si="90"/>
        <v>0</v>
      </c>
      <c r="BJ63" s="304">
        <f t="shared" si="90"/>
        <v>0</v>
      </c>
      <c r="BK63" s="304">
        <f t="shared" si="90"/>
        <v>0</v>
      </c>
      <c r="BL63" s="107"/>
      <c r="BM63" s="107"/>
      <c r="BN63" s="3749"/>
      <c r="BO63" s="906">
        <v>5</v>
      </c>
      <c r="BP63" s="435" t="str">
        <f>BP31</f>
        <v>No Data</v>
      </c>
      <c r="BQ63" s="41" t="str">
        <f t="shared" ref="BQ63:BZ63" si="91">BQ31</f>
        <v>No Data</v>
      </c>
      <c r="BR63" s="41" t="str">
        <f t="shared" si="91"/>
        <v>No Data</v>
      </c>
      <c r="BS63" s="614" t="str">
        <f t="shared" si="91"/>
        <v>No Data</v>
      </c>
      <c r="BT63" s="435">
        <f t="shared" si="91"/>
        <v>0.38900000000000001</v>
      </c>
      <c r="BU63" s="41">
        <f t="shared" si="91"/>
        <v>0.69399999999999995</v>
      </c>
      <c r="BV63" s="41">
        <f t="shared" si="91"/>
        <v>0.88400000000000001</v>
      </c>
      <c r="BW63" s="609">
        <f t="shared" si="91"/>
        <v>0</v>
      </c>
      <c r="BX63" s="435">
        <f t="shared" si="91"/>
        <v>0</v>
      </c>
      <c r="BY63" s="41">
        <f t="shared" si="91"/>
        <v>1.0109999999999999</v>
      </c>
      <c r="BZ63" s="41">
        <f t="shared" si="91"/>
        <v>0</v>
      </c>
      <c r="CA63" s="609"/>
      <c r="CB63" s="609">
        <f t="shared" ref="CB63:CG63" si="92">CB31</f>
        <v>0.18</v>
      </c>
      <c r="CC63" s="609"/>
      <c r="CD63" s="609"/>
      <c r="CE63" s="609"/>
      <c r="CF63" s="609"/>
      <c r="CG63" s="609">
        <f t="shared" si="92"/>
        <v>0.13300000000000001</v>
      </c>
      <c r="CH63" s="609">
        <f t="shared" ref="CH63:CI63" si="93">CH31</f>
        <v>0</v>
      </c>
      <c r="CI63" s="609">
        <f t="shared" si="93"/>
        <v>0</v>
      </c>
      <c r="CJ63" s="609"/>
      <c r="CK63" s="609"/>
      <c r="CL63" s="609"/>
      <c r="CM63" s="609"/>
      <c r="CN63" s="609" t="str">
        <f>CN31</f>
        <v>&lt;0.013</v>
      </c>
      <c r="CO63" s="609">
        <f t="shared" ref="CO63:CQ63" si="94">CO31</f>
        <v>0</v>
      </c>
      <c r="CP63" s="609">
        <f t="shared" si="94"/>
        <v>0</v>
      </c>
      <c r="CQ63" s="609">
        <f t="shared" si="94"/>
        <v>0</v>
      </c>
      <c r="CR63" s="107"/>
      <c r="CS63" s="107"/>
      <c r="CT63" s="107"/>
      <c r="CU63" s="3749"/>
      <c r="CV63" s="615">
        <v>5</v>
      </c>
      <c r="CW63" s="435">
        <f>CW31</f>
        <v>0</v>
      </c>
      <c r="CX63" s="41">
        <f t="shared" ref="CX63:DF63" si="95">CX31</f>
        <v>0</v>
      </c>
      <c r="CY63" s="41">
        <f t="shared" si="95"/>
        <v>0</v>
      </c>
      <c r="CZ63" s="609">
        <f t="shared" si="95"/>
        <v>0</v>
      </c>
      <c r="DA63" s="435">
        <f t="shared" si="95"/>
        <v>2.56</v>
      </c>
      <c r="DB63" s="41">
        <f t="shared" si="95"/>
        <v>2.4700000000000002</v>
      </c>
      <c r="DC63" s="41">
        <f t="shared" si="95"/>
        <v>0.48</v>
      </c>
      <c r="DD63" s="609">
        <f t="shared" si="95"/>
        <v>0</v>
      </c>
      <c r="DE63" s="435">
        <f t="shared" si="95"/>
        <v>2.62</v>
      </c>
      <c r="DF63" s="41">
        <f t="shared" si="95"/>
        <v>2.61</v>
      </c>
      <c r="DG63" s="41"/>
      <c r="DH63" s="609"/>
      <c r="DI63" s="609">
        <f t="shared" ref="DI63:DP63" si="96">DI31</f>
        <v>2.5499999999999998</v>
      </c>
      <c r="DJ63" s="609">
        <f t="shared" si="96"/>
        <v>2.61</v>
      </c>
      <c r="DK63" s="609">
        <f t="shared" si="96"/>
        <v>1.96</v>
      </c>
      <c r="DL63" s="609"/>
      <c r="DM63" s="609">
        <f t="shared" si="96"/>
        <v>2.4900000000000002</v>
      </c>
      <c r="DN63" s="609">
        <f t="shared" si="96"/>
        <v>2.57</v>
      </c>
      <c r="DO63" s="609">
        <f t="shared" si="96"/>
        <v>2.17</v>
      </c>
      <c r="DP63" s="609">
        <f t="shared" si="96"/>
        <v>0</v>
      </c>
      <c r="DQ63" s="609">
        <f>DQ31</f>
        <v>2.52</v>
      </c>
      <c r="DR63" s="609">
        <f t="shared" ref="DR63:DT63" si="97">DR31</f>
        <v>2.5099999999999998</v>
      </c>
      <c r="DS63" s="609">
        <f t="shared" si="97"/>
        <v>1.83</v>
      </c>
      <c r="DT63" s="609">
        <f t="shared" si="97"/>
        <v>2.5</v>
      </c>
      <c r="DU63" s="609">
        <f t="shared" ref="DU63:DX63" si="98">DU31</f>
        <v>2.52</v>
      </c>
      <c r="DV63" s="609">
        <f t="shared" si="98"/>
        <v>0</v>
      </c>
      <c r="DW63" s="609">
        <f t="shared" si="98"/>
        <v>0</v>
      </c>
      <c r="DX63" s="609">
        <f t="shared" si="98"/>
        <v>0</v>
      </c>
      <c r="DY63" s="107"/>
      <c r="DZ63" s="107"/>
      <c r="EA63" s="107"/>
      <c r="EB63" s="3749"/>
      <c r="EC63" s="615">
        <v>5</v>
      </c>
      <c r="ED63" s="435">
        <f>ED31</f>
        <v>0</v>
      </c>
      <c r="EE63" s="41">
        <f t="shared" ref="EE63:EO63" si="99">EE31</f>
        <v>0</v>
      </c>
      <c r="EF63" s="41">
        <f t="shared" si="99"/>
        <v>0</v>
      </c>
      <c r="EG63" s="609">
        <f t="shared" si="99"/>
        <v>0</v>
      </c>
      <c r="EH63" s="435">
        <f t="shared" si="99"/>
        <v>39.9</v>
      </c>
      <c r="EI63" s="41">
        <f t="shared" si="99"/>
        <v>38.700000000000003</v>
      </c>
      <c r="EJ63" s="41">
        <f t="shared" si="99"/>
        <v>9.4</v>
      </c>
      <c r="EK63" s="609">
        <f t="shared" si="99"/>
        <v>0</v>
      </c>
      <c r="EL63" s="435">
        <f t="shared" si="99"/>
        <v>40.6</v>
      </c>
      <c r="EM63" s="41">
        <f t="shared" si="99"/>
        <v>40.6</v>
      </c>
      <c r="EN63" s="41"/>
      <c r="EO63" s="609">
        <f t="shared" si="99"/>
        <v>0</v>
      </c>
      <c r="EP63" s="609">
        <f t="shared" ref="EP63:EW63" si="100">EP31</f>
        <v>39.700000000000003</v>
      </c>
      <c r="EQ63" s="609">
        <f t="shared" si="100"/>
        <v>40.5</v>
      </c>
      <c r="ER63" s="609">
        <f t="shared" si="100"/>
        <v>32.1</v>
      </c>
      <c r="ES63" s="614">
        <f t="shared" si="100"/>
        <v>0</v>
      </c>
      <c r="ET63" s="435">
        <f t="shared" si="100"/>
        <v>38.9</v>
      </c>
      <c r="EU63" s="41">
        <f t="shared" si="100"/>
        <v>40.1</v>
      </c>
      <c r="EV63" s="41">
        <f t="shared" si="100"/>
        <v>34.299999999999997</v>
      </c>
      <c r="EW63" s="614">
        <f t="shared" si="100"/>
        <v>0</v>
      </c>
      <c r="EX63" s="435">
        <f>EX31</f>
        <v>39.299999999999997</v>
      </c>
      <c r="EY63" s="435">
        <f t="shared" ref="EY63:FA63" si="101">EY31</f>
        <v>39.200000000000003</v>
      </c>
      <c r="EZ63" s="435">
        <f t="shared" si="101"/>
        <v>29.4</v>
      </c>
      <c r="FA63" s="435">
        <f t="shared" si="101"/>
        <v>39</v>
      </c>
      <c r="FB63" s="435">
        <f t="shared" ref="FB63:FE63" si="102">FB31</f>
        <v>39.299999999999997</v>
      </c>
      <c r="FC63" s="435">
        <f t="shared" si="102"/>
        <v>0</v>
      </c>
      <c r="FD63" s="435">
        <f t="shared" si="102"/>
        <v>0</v>
      </c>
      <c r="FE63" s="435">
        <f t="shared" si="102"/>
        <v>0</v>
      </c>
    </row>
    <row r="64" spans="1:161">
      <c r="A64" s="107"/>
      <c r="B64" s="3749"/>
      <c r="C64" s="615">
        <v>6</v>
      </c>
      <c r="D64" s="435">
        <f>D36</f>
        <v>7.23</v>
      </c>
      <c r="E64" s="41" t="str">
        <f t="shared" ref="E64:O64" si="103">E36</f>
        <v>No Data</v>
      </c>
      <c r="F64" s="41">
        <f t="shared" si="103"/>
        <v>5.41</v>
      </c>
      <c r="G64" s="609">
        <f t="shared" si="103"/>
        <v>7.49</v>
      </c>
      <c r="H64" s="435">
        <f t="shared" si="103"/>
        <v>6.03</v>
      </c>
      <c r="I64" s="41">
        <f t="shared" si="103"/>
        <v>6.95</v>
      </c>
      <c r="J64" s="41">
        <f t="shared" si="103"/>
        <v>7.91</v>
      </c>
      <c r="K64" s="609">
        <f t="shared" si="103"/>
        <v>7.46</v>
      </c>
      <c r="L64" s="570">
        <f t="shared" si="103"/>
        <v>7.46</v>
      </c>
      <c r="M64" s="41">
        <f t="shared" si="103"/>
        <v>8.81</v>
      </c>
      <c r="N64" s="41"/>
      <c r="O64" s="609">
        <f t="shared" si="103"/>
        <v>0</v>
      </c>
      <c r="P64" s="570">
        <f>P36</f>
        <v>7.33</v>
      </c>
      <c r="Q64" s="570">
        <f t="shared" ref="Q64:U64" si="104">Q36</f>
        <v>7.18</v>
      </c>
      <c r="R64" s="570" t="str">
        <f t="shared" si="104"/>
        <v>no data</v>
      </c>
      <c r="S64" s="570"/>
      <c r="T64" s="570"/>
      <c r="U64" s="570">
        <f t="shared" si="104"/>
        <v>7.3</v>
      </c>
      <c r="V64" s="570"/>
      <c r="W64" s="570"/>
      <c r="X64" s="570">
        <f>X36</f>
        <v>11.87</v>
      </c>
      <c r="Y64" s="570">
        <f t="shared" ref="Y64:AA64" si="105">Y36</f>
        <v>7.14</v>
      </c>
      <c r="Z64" s="570">
        <f t="shared" si="105"/>
        <v>8.89</v>
      </c>
      <c r="AA64" s="570">
        <f t="shared" si="105"/>
        <v>7.17</v>
      </c>
      <c r="AB64" s="570">
        <f t="shared" ref="AB64:AE64" si="106">AB36</f>
        <v>8.5299999999999994</v>
      </c>
      <c r="AC64" s="570">
        <f t="shared" si="106"/>
        <v>0</v>
      </c>
      <c r="AD64" s="570">
        <f t="shared" si="106"/>
        <v>0</v>
      </c>
      <c r="AE64" s="570">
        <f t="shared" si="106"/>
        <v>0</v>
      </c>
      <c r="AF64" s="107"/>
      <c r="AG64" s="107"/>
      <c r="AH64" s="3749"/>
      <c r="AI64" s="615">
        <v>6</v>
      </c>
      <c r="AJ64" s="435" t="str">
        <f>AJ36</f>
        <v>No Data</v>
      </c>
      <c r="AK64" s="41" t="str">
        <f t="shared" ref="AK64:AU64" si="107">AK36</f>
        <v>No Data</v>
      </c>
      <c r="AL64" s="41" t="str">
        <f t="shared" si="107"/>
        <v>No Data</v>
      </c>
      <c r="AM64" s="609">
        <f t="shared" si="107"/>
        <v>9.9600000000000009</v>
      </c>
      <c r="AN64" s="435">
        <f t="shared" si="107"/>
        <v>10.029999999999999</v>
      </c>
      <c r="AO64" s="41">
        <f t="shared" si="107"/>
        <v>9.1</v>
      </c>
      <c r="AP64" s="41">
        <f t="shared" si="107"/>
        <v>9.74</v>
      </c>
      <c r="AQ64" s="609">
        <f t="shared" si="107"/>
        <v>9.01</v>
      </c>
      <c r="AR64" s="435">
        <f t="shared" si="107"/>
        <v>9.0299999999999994</v>
      </c>
      <c r="AS64" s="41">
        <f t="shared" si="107"/>
        <v>9.08</v>
      </c>
      <c r="AT64" s="41"/>
      <c r="AU64" s="609">
        <f t="shared" si="107"/>
        <v>0</v>
      </c>
      <c r="AV64" s="318"/>
      <c r="AW64" s="304"/>
      <c r="AX64" s="304"/>
      <c r="AY64" s="381"/>
      <c r="AZ64" s="304">
        <f>AZ36</f>
        <v>9.18</v>
      </c>
      <c r="BA64" s="304">
        <f t="shared" ref="BA64:BC64" si="108">BA36</f>
        <v>9.17</v>
      </c>
      <c r="BB64" s="304">
        <f t="shared" si="108"/>
        <v>9.56</v>
      </c>
      <c r="BC64" s="304">
        <f t="shared" si="108"/>
        <v>0</v>
      </c>
      <c r="BD64" s="304">
        <f>BD36</f>
        <v>9.64</v>
      </c>
      <c r="BE64" s="304">
        <f t="shared" ref="BE64:BG64" si="109">BE36</f>
        <v>8.19</v>
      </c>
      <c r="BF64" s="304">
        <f t="shared" si="109"/>
        <v>7.02</v>
      </c>
      <c r="BG64" s="304">
        <f t="shared" si="109"/>
        <v>7.05</v>
      </c>
      <c r="BH64" s="304">
        <f t="shared" ref="BH64:BK64" si="110">BH36</f>
        <v>8.2799999999999994</v>
      </c>
      <c r="BI64" s="304">
        <f t="shared" si="110"/>
        <v>0</v>
      </c>
      <c r="BJ64" s="304">
        <f t="shared" si="110"/>
        <v>0</v>
      </c>
      <c r="BK64" s="304">
        <f t="shared" si="110"/>
        <v>0</v>
      </c>
      <c r="BL64" s="107"/>
      <c r="BM64" s="107"/>
      <c r="BN64" s="3749"/>
      <c r="BO64" s="906">
        <v>6</v>
      </c>
      <c r="BP64" s="435" t="str">
        <f>BP36</f>
        <v>No Data</v>
      </c>
      <c r="BQ64" s="41" t="str">
        <f t="shared" ref="BQ64:BZ64" si="111">BQ36</f>
        <v>No Data</v>
      </c>
      <c r="BR64" s="41" t="str">
        <f t="shared" si="111"/>
        <v>No Data</v>
      </c>
      <c r="BS64" s="614" t="str">
        <f t="shared" si="111"/>
        <v>No Data</v>
      </c>
      <c r="BT64" s="435">
        <f t="shared" si="111"/>
        <v>0.35899999999999999</v>
      </c>
      <c r="BU64" s="41">
        <f t="shared" si="111"/>
        <v>0.78600000000000003</v>
      </c>
      <c r="BV64" s="41">
        <f t="shared" si="111"/>
        <v>0.96599999999999997</v>
      </c>
      <c r="BW64" s="609">
        <f t="shared" si="111"/>
        <v>0</v>
      </c>
      <c r="BX64" s="435">
        <f t="shared" si="111"/>
        <v>0</v>
      </c>
      <c r="BY64" s="41">
        <f t="shared" si="111"/>
        <v>1.0249999999999999</v>
      </c>
      <c r="BZ64" s="41">
        <f t="shared" si="111"/>
        <v>0</v>
      </c>
      <c r="CA64" s="609"/>
      <c r="CB64" s="609">
        <f t="shared" ref="CB64:CG64" si="112">CB36</f>
        <v>0.16</v>
      </c>
      <c r="CC64" s="609"/>
      <c r="CD64" s="609"/>
      <c r="CE64" s="609"/>
      <c r="CF64" s="609"/>
      <c r="CG64" s="609">
        <f t="shared" si="112"/>
        <v>0.189</v>
      </c>
      <c r="CH64" s="609">
        <f t="shared" ref="CH64:CI64" si="113">CH36</f>
        <v>0</v>
      </c>
      <c r="CI64" s="609">
        <f t="shared" si="113"/>
        <v>0</v>
      </c>
      <c r="CJ64" s="609"/>
      <c r="CK64" s="609"/>
      <c r="CL64" s="609"/>
      <c r="CM64" s="609"/>
      <c r="CN64" s="609" t="str">
        <f>CN36</f>
        <v>&lt;0.013</v>
      </c>
      <c r="CO64" s="609">
        <f t="shared" ref="CO64:CQ64" si="114">CO36</f>
        <v>0</v>
      </c>
      <c r="CP64" s="609">
        <f t="shared" si="114"/>
        <v>0</v>
      </c>
      <c r="CQ64" s="609">
        <f t="shared" si="114"/>
        <v>0</v>
      </c>
      <c r="CR64" s="107"/>
      <c r="CS64" s="107"/>
      <c r="CT64" s="107"/>
      <c r="CU64" s="3749"/>
      <c r="CV64" s="615">
        <v>6</v>
      </c>
      <c r="CW64" s="435">
        <f>CW36</f>
        <v>0</v>
      </c>
      <c r="CX64" s="41">
        <f t="shared" ref="CX64:DF64" si="115">CX36</f>
        <v>0</v>
      </c>
      <c r="CY64" s="41">
        <f t="shared" si="115"/>
        <v>0</v>
      </c>
      <c r="CZ64" s="609">
        <f t="shared" si="115"/>
        <v>2.38</v>
      </c>
      <c r="DA64" s="435">
        <f t="shared" si="115"/>
        <v>2.57</v>
      </c>
      <c r="DB64" s="41">
        <f t="shared" si="115"/>
        <v>2.48</v>
      </c>
      <c r="DC64" s="41">
        <f t="shared" si="115"/>
        <v>1.1499999999999999</v>
      </c>
      <c r="DD64" s="609">
        <f t="shared" si="115"/>
        <v>0</v>
      </c>
      <c r="DE64" s="435">
        <f t="shared" si="115"/>
        <v>2.57</v>
      </c>
      <c r="DF64" s="41">
        <f t="shared" si="115"/>
        <v>2.6</v>
      </c>
      <c r="DG64" s="41"/>
      <c r="DH64" s="609"/>
      <c r="DI64" s="609">
        <f t="shared" ref="DI64:DP64" si="116">DI36</f>
        <v>2.52</v>
      </c>
      <c r="DJ64" s="609">
        <f t="shared" si="116"/>
        <v>2.61</v>
      </c>
      <c r="DK64" s="609">
        <f t="shared" si="116"/>
        <v>2.0299999999999998</v>
      </c>
      <c r="DL64" s="609"/>
      <c r="DM64" s="609">
        <f t="shared" si="116"/>
        <v>2.48</v>
      </c>
      <c r="DN64" s="609">
        <f t="shared" si="116"/>
        <v>2.57</v>
      </c>
      <c r="DO64" s="609">
        <f t="shared" si="116"/>
        <v>2.14</v>
      </c>
      <c r="DP64" s="609">
        <f t="shared" si="116"/>
        <v>0</v>
      </c>
      <c r="DQ64" s="609">
        <f>DQ36</f>
        <v>2.5</v>
      </c>
      <c r="DR64" s="609">
        <f t="shared" ref="DR64:DT64" si="117">DR36</f>
        <v>2.57</v>
      </c>
      <c r="DS64" s="609">
        <f t="shared" si="117"/>
        <v>1.83</v>
      </c>
      <c r="DT64" s="609">
        <f t="shared" si="117"/>
        <v>2.5299999999999998</v>
      </c>
      <c r="DU64" s="609">
        <f t="shared" ref="DU64:DX64" si="118">DU36</f>
        <v>2.4900000000000002</v>
      </c>
      <c r="DV64" s="609">
        <f t="shared" si="118"/>
        <v>0</v>
      </c>
      <c r="DW64" s="609">
        <f t="shared" si="118"/>
        <v>0</v>
      </c>
      <c r="DX64" s="609">
        <f t="shared" si="118"/>
        <v>0</v>
      </c>
      <c r="DY64" s="107"/>
      <c r="DZ64" s="107"/>
      <c r="EA64" s="107"/>
      <c r="EB64" s="3749"/>
      <c r="EC64" s="615">
        <v>6</v>
      </c>
      <c r="ED64" s="435">
        <f>ED36</f>
        <v>0</v>
      </c>
      <c r="EE64" s="41">
        <f t="shared" ref="EE64:EO64" si="119">EE36</f>
        <v>0</v>
      </c>
      <c r="EF64" s="41">
        <f t="shared" si="119"/>
        <v>0</v>
      </c>
      <c r="EG64" s="609">
        <f t="shared" si="119"/>
        <v>37.200000000000003</v>
      </c>
      <c r="EH64" s="435">
        <f t="shared" si="119"/>
        <v>40</v>
      </c>
      <c r="EI64" s="41">
        <f t="shared" si="119"/>
        <v>38.700000000000003</v>
      </c>
      <c r="EJ64" s="41">
        <f t="shared" si="119"/>
        <v>19.600000000000001</v>
      </c>
      <c r="EK64" s="609">
        <f t="shared" si="119"/>
        <v>0</v>
      </c>
      <c r="EL64" s="435">
        <f t="shared" si="119"/>
        <v>40</v>
      </c>
      <c r="EM64" s="41">
        <f t="shared" si="119"/>
        <v>40.4</v>
      </c>
      <c r="EN64" s="41"/>
      <c r="EO64" s="609">
        <f t="shared" si="119"/>
        <v>0</v>
      </c>
      <c r="EP64" s="609">
        <f t="shared" ref="EP64:EW64" si="120">EP36</f>
        <v>39.4</v>
      </c>
      <c r="EQ64" s="609">
        <f t="shared" si="120"/>
        <v>40.5</v>
      </c>
      <c r="ER64" s="609">
        <f t="shared" si="120"/>
        <v>32.200000000000003</v>
      </c>
      <c r="ES64" s="614">
        <f t="shared" si="120"/>
        <v>0</v>
      </c>
      <c r="ET64" s="435">
        <f t="shared" si="120"/>
        <v>38.700000000000003</v>
      </c>
      <c r="EU64" s="41">
        <f t="shared" si="120"/>
        <v>40</v>
      </c>
      <c r="EV64" s="41">
        <f t="shared" si="120"/>
        <v>33.9</v>
      </c>
      <c r="EW64" s="614">
        <f t="shared" si="120"/>
        <v>0</v>
      </c>
      <c r="EX64" s="435">
        <f>EX36</f>
        <v>39.1</v>
      </c>
      <c r="EY64" s="435">
        <f t="shared" ref="EY64:FA64" si="121">EY36</f>
        <v>40</v>
      </c>
      <c r="EZ64" s="435">
        <f t="shared" si="121"/>
        <v>29.3</v>
      </c>
      <c r="FA64" s="435">
        <f t="shared" si="121"/>
        <v>39.5</v>
      </c>
      <c r="FB64" s="435">
        <f t="shared" ref="FB64:FE64" si="122">FB36</f>
        <v>38.9</v>
      </c>
      <c r="FC64" s="435">
        <f t="shared" si="122"/>
        <v>0</v>
      </c>
      <c r="FD64" s="435">
        <f t="shared" si="122"/>
        <v>0</v>
      </c>
      <c r="FE64" s="435">
        <f t="shared" si="122"/>
        <v>0</v>
      </c>
    </row>
    <row r="65" spans="1:161">
      <c r="A65" s="107"/>
      <c r="B65" s="3749"/>
      <c r="C65" s="615">
        <v>7</v>
      </c>
      <c r="D65" s="435">
        <f>D41</f>
        <v>6.7</v>
      </c>
      <c r="E65" s="41" t="str">
        <f t="shared" ref="E65:O65" si="123">E41</f>
        <v>No Data</v>
      </c>
      <c r="F65" s="41" t="str">
        <f t="shared" si="123"/>
        <v>No Data</v>
      </c>
      <c r="G65" s="609">
        <f t="shared" si="123"/>
        <v>4.91</v>
      </c>
      <c r="H65" s="435">
        <f t="shared" si="123"/>
        <v>4.8600000000000003</v>
      </c>
      <c r="I65" s="41">
        <f t="shared" si="123"/>
        <v>6.88</v>
      </c>
      <c r="J65" s="41">
        <f t="shared" si="123"/>
        <v>9.4600000000000009</v>
      </c>
      <c r="K65" s="609">
        <f t="shared" si="123"/>
        <v>7.47</v>
      </c>
      <c r="L65" s="570">
        <f t="shared" si="123"/>
        <v>7.35</v>
      </c>
      <c r="M65" s="41">
        <f t="shared" si="123"/>
        <v>10.25</v>
      </c>
      <c r="N65" s="41"/>
      <c r="O65" s="609">
        <f t="shared" si="123"/>
        <v>0</v>
      </c>
      <c r="P65" s="570">
        <f>P41</f>
        <v>7.81</v>
      </c>
      <c r="Q65" s="570">
        <f t="shared" ref="Q65:U65" si="124">Q41</f>
        <v>6.56</v>
      </c>
      <c r="R65" s="570" t="str">
        <f t="shared" si="124"/>
        <v>no data</v>
      </c>
      <c r="S65" s="570"/>
      <c r="T65" s="570"/>
      <c r="U65" s="570">
        <f t="shared" si="124"/>
        <v>9.82</v>
      </c>
      <c r="V65" s="570"/>
      <c r="W65" s="570"/>
      <c r="X65" s="570">
        <f>X41</f>
        <v>14.76</v>
      </c>
      <c r="Y65" s="570">
        <f t="shared" ref="Y65:AA65" si="125">Y41</f>
        <v>9.1</v>
      </c>
      <c r="Z65" s="570">
        <f t="shared" si="125"/>
        <v>8.7899999999999991</v>
      </c>
      <c r="AA65" s="570">
        <f t="shared" si="125"/>
        <v>5.72</v>
      </c>
      <c r="AB65" s="570">
        <f t="shared" ref="AB65:AE65" si="126">AB41</f>
        <v>7.98</v>
      </c>
      <c r="AC65" s="570">
        <f t="shared" si="126"/>
        <v>0</v>
      </c>
      <c r="AD65" s="570">
        <f t="shared" si="126"/>
        <v>0</v>
      </c>
      <c r="AE65" s="570">
        <f t="shared" si="126"/>
        <v>0</v>
      </c>
      <c r="AF65" s="107"/>
      <c r="AG65" s="107"/>
      <c r="AH65" s="3749"/>
      <c r="AI65" s="615">
        <v>7</v>
      </c>
      <c r="AJ65" s="435" t="str">
        <f>AJ41</f>
        <v>No Data</v>
      </c>
      <c r="AK65" s="41" t="str">
        <f t="shared" ref="AK65:AU65" si="127">AK41</f>
        <v>No Data</v>
      </c>
      <c r="AL65" s="41" t="str">
        <f t="shared" si="127"/>
        <v>No Data</v>
      </c>
      <c r="AM65" s="609">
        <f t="shared" si="127"/>
        <v>9.75</v>
      </c>
      <c r="AN65" s="435">
        <f t="shared" si="127"/>
        <v>9.8800000000000008</v>
      </c>
      <c r="AO65" s="41">
        <f t="shared" si="127"/>
        <v>9.08</v>
      </c>
      <c r="AP65" s="41">
        <f t="shared" si="127"/>
        <v>9.91</v>
      </c>
      <c r="AQ65" s="609">
        <f t="shared" si="127"/>
        <v>8.94</v>
      </c>
      <c r="AR65" s="435">
        <f t="shared" si="127"/>
        <v>8.99</v>
      </c>
      <c r="AS65" s="41">
        <f t="shared" si="127"/>
        <v>9.2200000000000006</v>
      </c>
      <c r="AT65" s="41"/>
      <c r="AU65" s="609">
        <f t="shared" si="127"/>
        <v>0</v>
      </c>
      <c r="AV65" s="318"/>
      <c r="AW65" s="304"/>
      <c r="AX65" s="304"/>
      <c r="AY65" s="381"/>
      <c r="AZ65" s="304">
        <f>AZ41</f>
        <v>9.2200000000000006</v>
      </c>
      <c r="BA65" s="304">
        <f t="shared" ref="BA65:BC65" si="128">BA41</f>
        <v>9.41</v>
      </c>
      <c r="BB65" s="304">
        <f t="shared" si="128"/>
        <v>9.57</v>
      </c>
      <c r="BC65" s="304">
        <f t="shared" si="128"/>
        <v>0</v>
      </c>
      <c r="BD65" s="304">
        <f>BD41</f>
        <v>9.7100000000000009</v>
      </c>
      <c r="BE65" s="304">
        <f t="shared" ref="BE65:BG65" si="129">BE41</f>
        <v>8.26</v>
      </c>
      <c r="BF65" s="304">
        <f t="shared" si="129"/>
        <v>6.93</v>
      </c>
      <c r="BG65" s="304">
        <f t="shared" si="129"/>
        <v>7.07</v>
      </c>
      <c r="BH65" s="304">
        <f t="shared" ref="BH65:BK65" si="130">BH41</f>
        <v>8.1999999999999993</v>
      </c>
      <c r="BI65" s="304">
        <f t="shared" si="130"/>
        <v>0</v>
      </c>
      <c r="BJ65" s="304">
        <f t="shared" si="130"/>
        <v>0</v>
      </c>
      <c r="BK65" s="304">
        <f t="shared" si="130"/>
        <v>0</v>
      </c>
      <c r="BL65" s="107"/>
      <c r="BM65" s="107"/>
      <c r="BN65" s="3749"/>
      <c r="BO65" s="906">
        <v>7</v>
      </c>
      <c r="BP65" s="435" t="str">
        <f>BP41</f>
        <v>No Data</v>
      </c>
      <c r="BQ65" s="41" t="str">
        <f t="shared" ref="BQ65:BZ65" si="131">BQ41</f>
        <v>No Data</v>
      </c>
      <c r="BR65" s="41" t="str">
        <f t="shared" si="131"/>
        <v>No Data</v>
      </c>
      <c r="BS65" s="614" t="str">
        <f t="shared" si="131"/>
        <v>No Data</v>
      </c>
      <c r="BT65" s="435">
        <f t="shared" si="131"/>
        <v>0.33</v>
      </c>
      <c r="BU65" s="41">
        <f t="shared" si="131"/>
        <v>0.60799999999999998</v>
      </c>
      <c r="BV65" s="41">
        <f t="shared" si="131"/>
        <v>0.83899999999999997</v>
      </c>
      <c r="BW65" s="609">
        <f t="shared" si="131"/>
        <v>0</v>
      </c>
      <c r="BX65" s="435">
        <f t="shared" si="131"/>
        <v>0</v>
      </c>
      <c r="BY65" s="41">
        <f t="shared" si="131"/>
        <v>0.92200000000000004</v>
      </c>
      <c r="BZ65" s="41">
        <f t="shared" si="131"/>
        <v>0</v>
      </c>
      <c r="CA65" s="609"/>
      <c r="CB65" s="609">
        <f t="shared" ref="CB65:CG65" si="132">CB41</f>
        <v>0.17</v>
      </c>
      <c r="CC65" s="609"/>
      <c r="CD65" s="609"/>
      <c r="CE65" s="609"/>
      <c r="CF65" s="609"/>
      <c r="CG65" s="609">
        <f t="shared" si="132"/>
        <v>0.10199999999999999</v>
      </c>
      <c r="CH65" s="609">
        <f t="shared" ref="CH65:CI65" si="133">CH41</f>
        <v>0</v>
      </c>
      <c r="CI65" s="609">
        <f t="shared" si="133"/>
        <v>0</v>
      </c>
      <c r="CJ65" s="609"/>
      <c r="CK65" s="609"/>
      <c r="CL65" s="609"/>
      <c r="CM65" s="609"/>
      <c r="CN65" s="609" t="str">
        <f>CN41</f>
        <v>&lt;0.013</v>
      </c>
      <c r="CO65" s="609">
        <f t="shared" ref="CO65:CQ65" si="134">CO41</f>
        <v>0</v>
      </c>
      <c r="CP65" s="609">
        <f t="shared" si="134"/>
        <v>0</v>
      </c>
      <c r="CQ65" s="609">
        <f t="shared" si="134"/>
        <v>0</v>
      </c>
      <c r="CR65" s="107"/>
      <c r="CS65" s="107"/>
      <c r="CT65" s="107"/>
      <c r="CU65" s="3749"/>
      <c r="CV65" s="615">
        <v>7</v>
      </c>
      <c r="CW65" s="435">
        <f>CW41</f>
        <v>0</v>
      </c>
      <c r="CX65" s="41">
        <f t="shared" ref="CX65:DF65" si="135">CX41</f>
        <v>0</v>
      </c>
      <c r="CY65" s="41">
        <f t="shared" si="135"/>
        <v>0</v>
      </c>
      <c r="CZ65" s="609">
        <f t="shared" si="135"/>
        <v>2.4500000000000002</v>
      </c>
      <c r="DA65" s="435">
        <f t="shared" si="135"/>
        <v>2.57</v>
      </c>
      <c r="DB65" s="41">
        <f t="shared" si="135"/>
        <v>2.48</v>
      </c>
      <c r="DC65" s="41">
        <f t="shared" si="135"/>
        <v>0.87</v>
      </c>
      <c r="DD65" s="609">
        <f t="shared" si="135"/>
        <v>0</v>
      </c>
      <c r="DE65" s="435">
        <f t="shared" si="135"/>
        <v>2.58</v>
      </c>
      <c r="DF65" s="41">
        <f t="shared" si="135"/>
        <v>2.58</v>
      </c>
      <c r="DG65" s="41"/>
      <c r="DH65" s="609"/>
      <c r="DI65" s="609">
        <f t="shared" ref="DI65:DP65" si="136">DI41</f>
        <v>2.39</v>
      </c>
      <c r="DJ65" s="609">
        <f t="shared" si="136"/>
        <v>2.61</v>
      </c>
      <c r="DK65" s="609" t="str">
        <f t="shared" si="136"/>
        <v>no data</v>
      </c>
      <c r="DL65" s="609"/>
      <c r="DM65" s="609">
        <f t="shared" si="136"/>
        <v>2.48</v>
      </c>
      <c r="DN65" s="609">
        <f t="shared" si="136"/>
        <v>2.56</v>
      </c>
      <c r="DO65" s="609">
        <f t="shared" si="136"/>
        <v>2.16</v>
      </c>
      <c r="DP65" s="609">
        <f t="shared" si="136"/>
        <v>0</v>
      </c>
      <c r="DQ65" s="609">
        <f>DQ41</f>
        <v>2.48</v>
      </c>
      <c r="DR65" s="609">
        <f t="shared" ref="DR65:DT65" si="137">DR41</f>
        <v>2.5499999999999998</v>
      </c>
      <c r="DS65" s="609">
        <f t="shared" si="137"/>
        <v>1.79</v>
      </c>
      <c r="DT65" s="609">
        <f t="shared" si="137"/>
        <v>2.57</v>
      </c>
      <c r="DU65" s="609">
        <f t="shared" ref="DU65:DX65" si="138">DU41</f>
        <v>2.4900000000000002</v>
      </c>
      <c r="DV65" s="609">
        <f t="shared" si="138"/>
        <v>0</v>
      </c>
      <c r="DW65" s="609">
        <f t="shared" si="138"/>
        <v>0</v>
      </c>
      <c r="DX65" s="609">
        <f t="shared" si="138"/>
        <v>0</v>
      </c>
      <c r="DY65" s="107"/>
      <c r="DZ65" s="107"/>
      <c r="EA65" s="107"/>
      <c r="EB65" s="3749"/>
      <c r="EC65" s="615">
        <v>7</v>
      </c>
      <c r="ED65" s="435">
        <f>ED41</f>
        <v>0</v>
      </c>
      <c r="EE65" s="41">
        <f t="shared" ref="EE65:EO65" si="139">EE41</f>
        <v>0</v>
      </c>
      <c r="EF65" s="41">
        <f t="shared" si="139"/>
        <v>0</v>
      </c>
      <c r="EG65" s="609">
        <f t="shared" si="139"/>
        <v>38.200000000000003</v>
      </c>
      <c r="EH65" s="435">
        <f t="shared" si="139"/>
        <v>40</v>
      </c>
      <c r="EI65" s="41">
        <f t="shared" si="139"/>
        <v>38.799999999999997</v>
      </c>
      <c r="EJ65" s="41">
        <f t="shared" si="139"/>
        <v>14.9</v>
      </c>
      <c r="EK65" s="609">
        <f t="shared" si="139"/>
        <v>0</v>
      </c>
      <c r="EL65" s="435">
        <f t="shared" si="139"/>
        <v>40.1</v>
      </c>
      <c r="EM65" s="41">
        <f t="shared" si="139"/>
        <v>40.200000000000003</v>
      </c>
      <c r="EN65" s="41"/>
      <c r="EO65" s="609">
        <f t="shared" si="139"/>
        <v>0</v>
      </c>
      <c r="EP65" s="609">
        <f t="shared" ref="EP65:EW65" si="140">EP41</f>
        <v>37.5</v>
      </c>
      <c r="EQ65" s="609">
        <f t="shared" si="140"/>
        <v>40.5</v>
      </c>
      <c r="ER65" s="609" t="str">
        <f t="shared" si="140"/>
        <v>no data</v>
      </c>
      <c r="ES65" s="614">
        <f t="shared" si="140"/>
        <v>0</v>
      </c>
      <c r="ET65" s="435">
        <f t="shared" si="140"/>
        <v>38.5</v>
      </c>
      <c r="EU65" s="41">
        <f t="shared" si="140"/>
        <v>39.9</v>
      </c>
      <c r="EV65" s="41">
        <f t="shared" si="140"/>
        <v>34.1</v>
      </c>
      <c r="EW65" s="614">
        <f t="shared" si="140"/>
        <v>0</v>
      </c>
      <c r="EX65" s="435">
        <f>EX41</f>
        <v>38.700000000000003</v>
      </c>
      <c r="EY65" s="435">
        <f t="shared" ref="EY65:FA65" si="141">EY41</f>
        <v>39.700000000000003</v>
      </c>
      <c r="EZ65" s="435">
        <f t="shared" si="141"/>
        <v>28.9</v>
      </c>
      <c r="FA65" s="435">
        <f t="shared" si="141"/>
        <v>40</v>
      </c>
      <c r="FB65" s="435">
        <f t="shared" ref="FB65:FE65" si="142">FB41</f>
        <v>38.799999999999997</v>
      </c>
      <c r="FC65" s="435">
        <f t="shared" si="142"/>
        <v>0</v>
      </c>
      <c r="FD65" s="435">
        <f t="shared" si="142"/>
        <v>0</v>
      </c>
      <c r="FE65" s="435">
        <f t="shared" si="142"/>
        <v>0</v>
      </c>
    </row>
    <row r="66" spans="1:161">
      <c r="A66" s="107"/>
      <c r="B66" s="3749"/>
      <c r="C66" s="615">
        <v>8</v>
      </c>
      <c r="D66" s="435">
        <f>D46</f>
        <v>5.39</v>
      </c>
      <c r="E66" s="41" t="str">
        <f t="shared" ref="E66:O66" si="143">E46</f>
        <v>No Data</v>
      </c>
      <c r="F66" s="41">
        <f t="shared" si="143"/>
        <v>6.1</v>
      </c>
      <c r="G66" s="609">
        <f t="shared" si="143"/>
        <v>6.37</v>
      </c>
      <c r="H66" s="435">
        <f t="shared" si="143"/>
        <v>7.57</v>
      </c>
      <c r="I66" s="41">
        <f t="shared" si="143"/>
        <v>75.28</v>
      </c>
      <c r="J66" s="41">
        <f t="shared" si="143"/>
        <v>7.53</v>
      </c>
      <c r="K66" s="609">
        <f t="shared" si="143"/>
        <v>10.199999999999999</v>
      </c>
      <c r="L66" s="570">
        <f t="shared" si="143"/>
        <v>7.15</v>
      </c>
      <c r="M66" s="41">
        <f t="shared" si="143"/>
        <v>8.2100000000000009</v>
      </c>
      <c r="N66" s="41">
        <v>8.4</v>
      </c>
      <c r="O66" s="609">
        <f t="shared" si="143"/>
        <v>0</v>
      </c>
      <c r="P66" s="570">
        <f>P46</f>
        <v>7.08</v>
      </c>
      <c r="Q66" s="570">
        <f t="shared" ref="Q66:U66" si="144">Q46</f>
        <v>9.33</v>
      </c>
      <c r="R66" s="570" t="str">
        <f t="shared" si="144"/>
        <v>no data</v>
      </c>
      <c r="S66" s="570"/>
      <c r="T66" s="570"/>
      <c r="U66" s="570">
        <f t="shared" si="144"/>
        <v>6.24</v>
      </c>
      <c r="V66" s="570"/>
      <c r="W66" s="570"/>
      <c r="X66" s="570">
        <f>X46</f>
        <v>9.0299999999999994</v>
      </c>
      <c r="Y66" s="570">
        <f t="shared" ref="Y66:AA66" si="145">Y46</f>
        <v>8.89</v>
      </c>
      <c r="Z66" s="570">
        <f t="shared" si="145"/>
        <v>9.5</v>
      </c>
      <c r="AA66" s="570">
        <f t="shared" si="145"/>
        <v>6.69</v>
      </c>
      <c r="AB66" s="570">
        <f t="shared" ref="AB66:AE66" si="146">AB46</f>
        <v>6.57</v>
      </c>
      <c r="AC66" s="570">
        <f t="shared" si="146"/>
        <v>0</v>
      </c>
      <c r="AD66" s="570">
        <f t="shared" si="146"/>
        <v>0</v>
      </c>
      <c r="AE66" s="570">
        <f t="shared" si="146"/>
        <v>0</v>
      </c>
      <c r="AF66" s="107"/>
      <c r="AG66" s="107"/>
      <c r="AH66" s="3749"/>
      <c r="AI66" s="615">
        <v>8</v>
      </c>
      <c r="AJ66" s="435" t="str">
        <f>AJ46</f>
        <v>No Data</v>
      </c>
      <c r="AK66" s="41" t="str">
        <f t="shared" ref="AK66:AU66" si="147">AK46</f>
        <v>No Data</v>
      </c>
      <c r="AL66" s="41" t="str">
        <f t="shared" si="147"/>
        <v>No Data</v>
      </c>
      <c r="AM66" s="609">
        <f t="shared" si="147"/>
        <v>9.73</v>
      </c>
      <c r="AN66" s="435">
        <f t="shared" si="147"/>
        <v>10.15</v>
      </c>
      <c r="AO66" s="41">
        <f t="shared" si="147"/>
        <v>9.08</v>
      </c>
      <c r="AP66" s="41">
        <f t="shared" si="147"/>
        <v>9.74</v>
      </c>
      <c r="AQ66" s="609">
        <f t="shared" si="147"/>
        <v>9.27</v>
      </c>
      <c r="AR66" s="435">
        <f t="shared" si="147"/>
        <v>8.9600000000000009</v>
      </c>
      <c r="AS66" s="41">
        <f t="shared" si="147"/>
        <v>8.9600000000000009</v>
      </c>
      <c r="AT66" s="41">
        <v>9.0299999999999994</v>
      </c>
      <c r="AU66" s="609">
        <f t="shared" si="147"/>
        <v>0</v>
      </c>
      <c r="AV66" s="318"/>
      <c r="AW66" s="304"/>
      <c r="AX66" s="304"/>
      <c r="AY66" s="381"/>
      <c r="AZ66" s="304">
        <f>AZ46</f>
        <v>9.1199999999999992</v>
      </c>
      <c r="BA66" s="304">
        <f t="shared" ref="BA66:BC66" si="148">BA46</f>
        <v>9.14</v>
      </c>
      <c r="BB66" s="304">
        <f t="shared" si="148"/>
        <v>9.66</v>
      </c>
      <c r="BC66" s="304">
        <f t="shared" si="148"/>
        <v>0</v>
      </c>
      <c r="BD66" s="304">
        <f>BD46</f>
        <v>9.56</v>
      </c>
      <c r="BE66" s="304">
        <f t="shared" ref="BE66:BG66" si="149">BE46</f>
        <v>8.44</v>
      </c>
      <c r="BF66" s="304">
        <f t="shared" si="149"/>
        <v>6.81</v>
      </c>
      <c r="BG66" s="304">
        <f t="shared" si="149"/>
        <v>6.97</v>
      </c>
      <c r="BH66" s="304">
        <f t="shared" ref="BH66:BK66" si="150">BH46</f>
        <v>8.1999999999999993</v>
      </c>
      <c r="BI66" s="304">
        <f t="shared" si="150"/>
        <v>0</v>
      </c>
      <c r="BJ66" s="304">
        <f t="shared" si="150"/>
        <v>0</v>
      </c>
      <c r="BK66" s="304">
        <f t="shared" si="150"/>
        <v>0</v>
      </c>
      <c r="BL66" s="107"/>
      <c r="BM66" s="107"/>
      <c r="BN66" s="3749"/>
      <c r="BO66" s="906">
        <v>8</v>
      </c>
      <c r="BP66" s="435" t="str">
        <f>BP46</f>
        <v>No Data</v>
      </c>
      <c r="BQ66" s="41" t="str">
        <f t="shared" ref="BQ66:BZ66" si="151">BQ46</f>
        <v>No Data</v>
      </c>
      <c r="BR66" s="41" t="str">
        <f t="shared" si="151"/>
        <v>No Data</v>
      </c>
      <c r="BS66" s="614" t="str">
        <f t="shared" si="151"/>
        <v>No Data</v>
      </c>
      <c r="BT66" s="435">
        <f t="shared" si="151"/>
        <v>0.24</v>
      </c>
      <c r="BU66" s="41">
        <f t="shared" si="151"/>
        <v>0.624</v>
      </c>
      <c r="BV66" s="41">
        <f t="shared" si="151"/>
        <v>0.92800000000000005</v>
      </c>
      <c r="BW66" s="609">
        <f t="shared" si="151"/>
        <v>0</v>
      </c>
      <c r="BX66" s="435">
        <f t="shared" si="151"/>
        <v>0</v>
      </c>
      <c r="BY66" s="41">
        <f t="shared" si="151"/>
        <v>1.085</v>
      </c>
      <c r="BZ66" s="41">
        <f t="shared" si="151"/>
        <v>0</v>
      </c>
      <c r="CA66" s="609"/>
      <c r="CB66" s="609">
        <f t="shared" ref="CB66:CG66" si="152">CB46</f>
        <v>0.13</v>
      </c>
      <c r="CC66" s="609"/>
      <c r="CD66" s="609"/>
      <c r="CE66" s="609"/>
      <c r="CF66" s="609"/>
      <c r="CG66" s="609">
        <f t="shared" si="152"/>
        <v>0.29799999999999999</v>
      </c>
      <c r="CH66" s="609">
        <f t="shared" ref="CH66:CI66" si="153">CH46</f>
        <v>0</v>
      </c>
      <c r="CI66" s="609">
        <f t="shared" si="153"/>
        <v>0</v>
      </c>
      <c r="CJ66" s="609"/>
      <c r="CK66" s="609"/>
      <c r="CL66" s="609"/>
      <c r="CM66" s="609"/>
      <c r="CN66" s="609" t="str">
        <f>CN46</f>
        <v>&lt;0.013</v>
      </c>
      <c r="CO66" s="609">
        <f t="shared" ref="CO66:CQ66" si="154">CO46</f>
        <v>0</v>
      </c>
      <c r="CP66" s="609">
        <f t="shared" si="154"/>
        <v>0</v>
      </c>
      <c r="CQ66" s="609">
        <f t="shared" si="154"/>
        <v>0</v>
      </c>
      <c r="CR66" s="107"/>
      <c r="CS66" s="107"/>
      <c r="CT66" s="107"/>
      <c r="CU66" s="3749"/>
      <c r="CV66" s="615">
        <v>8</v>
      </c>
      <c r="CW66" s="435">
        <f>CW46</f>
        <v>0</v>
      </c>
      <c r="CX66" s="41">
        <f t="shared" ref="CX66:DF66" si="155">CX46</f>
        <v>0</v>
      </c>
      <c r="CY66" s="41">
        <f t="shared" si="155"/>
        <v>0</v>
      </c>
      <c r="CZ66" s="609">
        <f t="shared" si="155"/>
        <v>2.4300000000000002</v>
      </c>
      <c r="DA66" s="435">
        <f t="shared" si="155"/>
        <v>2.4900000000000002</v>
      </c>
      <c r="DB66" s="41">
        <f t="shared" si="155"/>
        <v>2.4500000000000002</v>
      </c>
      <c r="DC66" s="41">
        <f t="shared" si="155"/>
        <v>0.98</v>
      </c>
      <c r="DD66" s="609">
        <f t="shared" si="155"/>
        <v>0</v>
      </c>
      <c r="DE66" s="435">
        <f t="shared" si="155"/>
        <v>2.6</v>
      </c>
      <c r="DF66" s="41">
        <f t="shared" si="155"/>
        <v>2.62</v>
      </c>
      <c r="DG66" s="41">
        <v>2.2000000000000002</v>
      </c>
      <c r="DH66" s="609"/>
      <c r="DI66" s="609">
        <f t="shared" ref="DI66:DP66" si="156">DI46</f>
        <v>2.5299999999999998</v>
      </c>
      <c r="DJ66" s="609">
        <f t="shared" si="156"/>
        <v>2.59</v>
      </c>
      <c r="DK66" s="609" t="str">
        <f t="shared" si="156"/>
        <v>no data</v>
      </c>
      <c r="DL66" s="609"/>
      <c r="DM66" s="609">
        <f t="shared" si="156"/>
        <v>2.48</v>
      </c>
      <c r="DN66" s="609">
        <f t="shared" si="156"/>
        <v>2.58</v>
      </c>
      <c r="DO66" s="609">
        <f t="shared" si="156"/>
        <v>2.19</v>
      </c>
      <c r="DP66" s="609">
        <f t="shared" si="156"/>
        <v>0</v>
      </c>
      <c r="DQ66" s="609">
        <f>DQ46</f>
        <v>2.5299999999999998</v>
      </c>
      <c r="DR66" s="609">
        <f t="shared" ref="DR66:DT66" si="157">DR46</f>
        <v>2.5299999999999998</v>
      </c>
      <c r="DS66" s="609">
        <f t="shared" si="157"/>
        <v>1.52</v>
      </c>
      <c r="DT66" s="609">
        <f t="shared" si="157"/>
        <v>2.48</v>
      </c>
      <c r="DU66" s="609">
        <f t="shared" ref="DU66:DX66" si="158">DU46</f>
        <v>2.5</v>
      </c>
      <c r="DV66" s="609">
        <f t="shared" si="158"/>
        <v>0</v>
      </c>
      <c r="DW66" s="609">
        <f t="shared" si="158"/>
        <v>0</v>
      </c>
      <c r="DX66" s="609">
        <f t="shared" si="158"/>
        <v>0</v>
      </c>
      <c r="DY66" s="107"/>
      <c r="DZ66" s="107"/>
      <c r="EA66" s="107"/>
      <c r="EB66" s="3749"/>
      <c r="EC66" s="615">
        <v>8</v>
      </c>
      <c r="ED66" s="435">
        <f>ED46</f>
        <v>0</v>
      </c>
      <c r="EE66" s="41">
        <f t="shared" ref="EE66:EO66" si="159">EE46</f>
        <v>0</v>
      </c>
      <c r="EF66" s="41">
        <f t="shared" si="159"/>
        <v>0</v>
      </c>
      <c r="EG66" s="609">
        <f t="shared" si="159"/>
        <v>38</v>
      </c>
      <c r="EH66" s="435">
        <f t="shared" si="159"/>
        <v>38.9</v>
      </c>
      <c r="EI66" s="41">
        <f t="shared" si="159"/>
        <v>38.299999999999997</v>
      </c>
      <c r="EJ66" s="41">
        <f t="shared" si="159"/>
        <v>16.600000000000001</v>
      </c>
      <c r="EK66" s="609">
        <f t="shared" si="159"/>
        <v>0</v>
      </c>
      <c r="EL66" s="435">
        <f t="shared" si="159"/>
        <v>40.5</v>
      </c>
      <c r="EM66" s="41">
        <f t="shared" si="159"/>
        <v>40.799999999999997</v>
      </c>
      <c r="EN66" s="41">
        <v>34.299999999999997</v>
      </c>
      <c r="EO66" s="609">
        <f t="shared" si="159"/>
        <v>0</v>
      </c>
      <c r="EP66" s="609">
        <f t="shared" ref="EP66:EW66" si="160">EP46</f>
        <v>39.4</v>
      </c>
      <c r="EQ66" s="609">
        <f t="shared" si="160"/>
        <v>40.299999999999997</v>
      </c>
      <c r="ER66" s="609" t="str">
        <f t="shared" si="160"/>
        <v>no data</v>
      </c>
      <c r="ES66" s="614">
        <f t="shared" si="160"/>
        <v>0</v>
      </c>
      <c r="ET66" s="435">
        <f t="shared" si="160"/>
        <v>38.799999999999997</v>
      </c>
      <c r="EU66" s="41">
        <f t="shared" si="160"/>
        <v>40.200000000000003</v>
      </c>
      <c r="EV66" s="41">
        <f t="shared" si="160"/>
        <v>34.6</v>
      </c>
      <c r="EW66" s="614">
        <f t="shared" si="160"/>
        <v>0</v>
      </c>
      <c r="EX66" s="435">
        <f>EX46</f>
        <v>39.5</v>
      </c>
      <c r="EY66" s="435">
        <f t="shared" ref="EY66:FA66" si="161">EY46</f>
        <v>39.5</v>
      </c>
      <c r="EZ66" s="435">
        <f t="shared" si="161"/>
        <v>25.1</v>
      </c>
      <c r="FA66" s="435">
        <f t="shared" si="161"/>
        <v>38.700000000000003</v>
      </c>
      <c r="FB66" s="435">
        <f t="shared" ref="FB66:FE66" si="162">FB46</f>
        <v>38.9</v>
      </c>
      <c r="FC66" s="435">
        <f t="shared" si="162"/>
        <v>0</v>
      </c>
      <c r="FD66" s="435">
        <f t="shared" si="162"/>
        <v>0</v>
      </c>
      <c r="FE66" s="435">
        <f t="shared" si="162"/>
        <v>0</v>
      </c>
    </row>
    <row r="67" spans="1:161" ht="15.75" thickBot="1">
      <c r="A67" s="107"/>
      <c r="B67" s="3749"/>
      <c r="C67" s="622">
        <v>9</v>
      </c>
      <c r="D67" s="436">
        <f>D51</f>
        <v>5.52</v>
      </c>
      <c r="E67" s="62" t="str">
        <f t="shared" ref="E67:O67" si="163">E51</f>
        <v>No Data</v>
      </c>
      <c r="F67" s="62">
        <f t="shared" si="163"/>
        <v>5.28</v>
      </c>
      <c r="G67" s="611">
        <f t="shared" si="163"/>
        <v>5.59</v>
      </c>
      <c r="H67" s="436">
        <f t="shared" si="163"/>
        <v>7.48</v>
      </c>
      <c r="I67" s="62">
        <f t="shared" si="163"/>
        <v>11.26</v>
      </c>
      <c r="J67" s="62">
        <f t="shared" si="163"/>
        <v>9.4600000000000009</v>
      </c>
      <c r="K67" s="611">
        <f t="shared" si="163"/>
        <v>9.6999999999999993</v>
      </c>
      <c r="L67" s="571">
        <f t="shared" si="163"/>
        <v>7.52</v>
      </c>
      <c r="M67" s="62">
        <f t="shared" si="163"/>
        <v>6.42</v>
      </c>
      <c r="N67" s="62">
        <v>7.82</v>
      </c>
      <c r="O67" s="611">
        <f t="shared" si="163"/>
        <v>0</v>
      </c>
      <c r="P67" s="571">
        <f>P51</f>
        <v>7.35</v>
      </c>
      <c r="Q67" s="571">
        <f t="shared" ref="Q67:U67" si="164">Q51</f>
        <v>7.33</v>
      </c>
      <c r="R67" s="571" t="str">
        <f t="shared" si="164"/>
        <v>no data</v>
      </c>
      <c r="S67" s="571"/>
      <c r="T67" s="571"/>
      <c r="U67" s="571">
        <f t="shared" si="164"/>
        <v>7.26</v>
      </c>
      <c r="V67" s="571"/>
      <c r="W67" s="571"/>
      <c r="X67" s="571">
        <f>X51</f>
        <v>8.86</v>
      </c>
      <c r="Y67" s="571">
        <f t="shared" ref="Y67:AA67" si="165">Y51</f>
        <v>8.86</v>
      </c>
      <c r="Z67" s="571">
        <f t="shared" si="165"/>
        <v>7.49</v>
      </c>
      <c r="AA67" s="571">
        <f t="shared" si="165"/>
        <v>6.01</v>
      </c>
      <c r="AB67" s="571">
        <f t="shared" ref="AB67:AE67" si="166">AB51</f>
        <v>7.8</v>
      </c>
      <c r="AC67" s="571">
        <f t="shared" si="166"/>
        <v>0</v>
      </c>
      <c r="AD67" s="571">
        <f t="shared" si="166"/>
        <v>0</v>
      </c>
      <c r="AE67" s="571">
        <f t="shared" si="166"/>
        <v>0</v>
      </c>
      <c r="AF67" s="107"/>
      <c r="AG67" s="107"/>
      <c r="AH67" s="3749"/>
      <c r="AI67" s="622">
        <v>9</v>
      </c>
      <c r="AJ67" s="436" t="str">
        <f>AJ51</f>
        <v>No Data</v>
      </c>
      <c r="AK67" s="62" t="str">
        <f t="shared" ref="AK67:AU67" si="167">AK51</f>
        <v>No Data</v>
      </c>
      <c r="AL67" s="62" t="str">
        <f t="shared" si="167"/>
        <v>No Data</v>
      </c>
      <c r="AM67" s="611">
        <f t="shared" si="167"/>
        <v>9.51</v>
      </c>
      <c r="AN67" s="436">
        <f t="shared" si="167"/>
        <v>9.1300000000000008</v>
      </c>
      <c r="AO67" s="62">
        <f t="shared" si="167"/>
        <v>9.2799999999999994</v>
      </c>
      <c r="AP67" s="62">
        <f t="shared" si="167"/>
        <v>9.91</v>
      </c>
      <c r="AQ67" s="611">
        <f t="shared" si="167"/>
        <v>8.89</v>
      </c>
      <c r="AR67" s="436">
        <f t="shared" si="167"/>
        <v>8.84</v>
      </c>
      <c r="AS67" s="62">
        <f t="shared" si="167"/>
        <v>8.69</v>
      </c>
      <c r="AT67" s="62">
        <v>8.6999999999999993</v>
      </c>
      <c r="AU67" s="611">
        <f t="shared" si="167"/>
        <v>0</v>
      </c>
      <c r="AV67" s="539"/>
      <c r="AW67" s="540"/>
      <c r="AX67" s="540"/>
      <c r="AY67" s="2453"/>
      <c r="AZ67" s="304">
        <f>AZ51</f>
        <v>9.57</v>
      </c>
      <c r="BA67" s="304">
        <f t="shared" ref="BA67:BC67" si="168">BA51</f>
        <v>9.2289999999999992</v>
      </c>
      <c r="BB67" s="304">
        <f t="shared" si="168"/>
        <v>9.59</v>
      </c>
      <c r="BC67" s="304">
        <f t="shared" si="168"/>
        <v>0</v>
      </c>
      <c r="BD67" s="304">
        <f>BD51</f>
        <v>9.64</v>
      </c>
      <c r="BE67" s="304">
        <f t="shared" ref="BE67:BG67" si="169">BE51</f>
        <v>8.6</v>
      </c>
      <c r="BF67" s="304">
        <f t="shared" si="169"/>
        <v>6.49</v>
      </c>
      <c r="BG67" s="304">
        <f t="shared" si="169"/>
        <v>6.85</v>
      </c>
      <c r="BH67" s="304">
        <f t="shared" ref="BH67:BK67" si="170">BH51</f>
        <v>8.08</v>
      </c>
      <c r="BI67" s="304">
        <f t="shared" si="170"/>
        <v>0</v>
      </c>
      <c r="BJ67" s="304">
        <f t="shared" si="170"/>
        <v>0</v>
      </c>
      <c r="BK67" s="304">
        <f t="shared" si="170"/>
        <v>0</v>
      </c>
      <c r="BL67" s="107"/>
      <c r="BM67" s="107"/>
      <c r="BN67" s="3751"/>
      <c r="BO67" s="907">
        <v>9</v>
      </c>
      <c r="BP67" s="436" t="str">
        <f>BP51</f>
        <v>No Data</v>
      </c>
      <c r="BQ67" s="62" t="str">
        <f t="shared" ref="BQ67:BZ67" si="171">BQ51</f>
        <v>No Data</v>
      </c>
      <c r="BR67" s="62" t="str">
        <f t="shared" si="171"/>
        <v>No Data</v>
      </c>
      <c r="BS67" s="621" t="str">
        <f t="shared" si="171"/>
        <v>No Data</v>
      </c>
      <c r="BT67" s="579">
        <f t="shared" si="171"/>
        <v>0.27</v>
      </c>
      <c r="BU67" s="624">
        <f t="shared" si="171"/>
        <v>0.81200000000000006</v>
      </c>
      <c r="BV67" s="624">
        <f t="shared" si="171"/>
        <v>1.032</v>
      </c>
      <c r="BW67" s="625">
        <f t="shared" si="171"/>
        <v>0</v>
      </c>
      <c r="BX67" s="579">
        <f t="shared" si="171"/>
        <v>0</v>
      </c>
      <c r="BY67" s="624">
        <f t="shared" si="171"/>
        <v>0.86099999999999999</v>
      </c>
      <c r="BZ67" s="624">
        <f t="shared" si="171"/>
        <v>0</v>
      </c>
      <c r="CA67" s="625"/>
      <c r="CB67" s="625">
        <f t="shared" ref="CB67:CG67" si="172">CB51</f>
        <v>0.24</v>
      </c>
      <c r="CC67" s="625"/>
      <c r="CD67" s="625"/>
      <c r="CE67" s="625"/>
      <c r="CF67" s="625"/>
      <c r="CG67" s="625">
        <f t="shared" si="172"/>
        <v>0.10100000000000001</v>
      </c>
      <c r="CH67" s="625">
        <f t="shared" ref="CH67:CI67" si="173">CH51</f>
        <v>0</v>
      </c>
      <c r="CI67" s="625">
        <f t="shared" si="173"/>
        <v>0</v>
      </c>
      <c r="CJ67" s="625"/>
      <c r="CK67" s="625"/>
      <c r="CL67" s="625"/>
      <c r="CM67" s="625"/>
      <c r="CN67" s="625">
        <f>CN51</f>
        <v>7.5999999999999998E-2</v>
      </c>
      <c r="CO67" s="625">
        <f t="shared" ref="CO67:CQ67" si="174">CO51</f>
        <v>0</v>
      </c>
      <c r="CP67" s="625">
        <f t="shared" si="174"/>
        <v>0</v>
      </c>
      <c r="CQ67" s="625">
        <f t="shared" si="174"/>
        <v>0</v>
      </c>
      <c r="CR67" s="107"/>
      <c r="CS67" s="107"/>
      <c r="CT67" s="107"/>
      <c r="CU67" s="3749"/>
      <c r="CV67" s="622">
        <v>9</v>
      </c>
      <c r="CW67" s="436">
        <f>CW51</f>
        <v>0</v>
      </c>
      <c r="CX67" s="62">
        <f t="shared" ref="CX67:DF67" si="175">CX51</f>
        <v>0</v>
      </c>
      <c r="CY67" s="62">
        <f t="shared" si="175"/>
        <v>0</v>
      </c>
      <c r="CZ67" s="611">
        <f t="shared" si="175"/>
        <v>1.88</v>
      </c>
      <c r="DA67" s="436">
        <f t="shared" si="175"/>
        <v>2.2200000000000002</v>
      </c>
      <c r="DB67" s="62">
        <f t="shared" si="175"/>
        <v>2.35</v>
      </c>
      <c r="DC67" s="62">
        <f t="shared" si="175"/>
        <v>0.87</v>
      </c>
      <c r="DD67" s="611">
        <f t="shared" si="175"/>
        <v>0</v>
      </c>
      <c r="DE67" s="436">
        <f t="shared" si="175"/>
        <v>2.35</v>
      </c>
      <c r="DF67" s="62">
        <f t="shared" si="175"/>
        <v>2.5299999999999998</v>
      </c>
      <c r="DG67" s="62">
        <v>1.63</v>
      </c>
      <c r="DH67" s="611"/>
      <c r="DI67" s="611">
        <f t="shared" ref="DI67:DP67" si="176">DI51</f>
        <v>2.48</v>
      </c>
      <c r="DJ67" s="611">
        <f t="shared" si="176"/>
        <v>2.59</v>
      </c>
      <c r="DK67" s="611" t="str">
        <f t="shared" si="176"/>
        <v>no data</v>
      </c>
      <c r="DL67" s="611"/>
      <c r="DM67" s="611">
        <f t="shared" si="176"/>
        <v>2.27</v>
      </c>
      <c r="DN67" s="611">
        <f t="shared" si="176"/>
        <v>2.59</v>
      </c>
      <c r="DO67" s="611">
        <f t="shared" si="176"/>
        <v>1.98</v>
      </c>
      <c r="DP67" s="611">
        <f t="shared" si="176"/>
        <v>0</v>
      </c>
      <c r="DQ67" s="611">
        <f>DQ51</f>
        <v>2.52</v>
      </c>
      <c r="DR67" s="611">
        <f t="shared" ref="DR67:DT67" si="177">DR51</f>
        <v>2.5499999999999998</v>
      </c>
      <c r="DS67" s="611">
        <f t="shared" si="177"/>
        <v>1.62</v>
      </c>
      <c r="DT67" s="611">
        <f t="shared" si="177"/>
        <v>2.4300000000000002</v>
      </c>
      <c r="DU67" s="611">
        <f t="shared" ref="DU67:DX67" si="178">DU51</f>
        <v>2.2799999999999998</v>
      </c>
      <c r="DV67" s="611">
        <f t="shared" si="178"/>
        <v>0</v>
      </c>
      <c r="DW67" s="611">
        <f t="shared" si="178"/>
        <v>0</v>
      </c>
      <c r="DX67" s="611">
        <f t="shared" si="178"/>
        <v>0</v>
      </c>
      <c r="DY67" s="107"/>
      <c r="DZ67" s="107"/>
      <c r="EA67" s="107"/>
      <c r="EB67" s="3751"/>
      <c r="EC67" s="618">
        <v>9</v>
      </c>
      <c r="ED67" s="436">
        <f>ED51</f>
        <v>0</v>
      </c>
      <c r="EE67" s="62">
        <f t="shared" ref="EE67:EO67" si="179">EE51</f>
        <v>0</v>
      </c>
      <c r="EF67" s="62">
        <f t="shared" si="179"/>
        <v>0</v>
      </c>
      <c r="EG67" s="611">
        <f t="shared" si="179"/>
        <v>30.1</v>
      </c>
      <c r="EH67" s="436">
        <f t="shared" si="179"/>
        <v>35</v>
      </c>
      <c r="EI67" s="62">
        <f t="shared" si="179"/>
        <v>36.5</v>
      </c>
      <c r="EJ67" s="62">
        <f t="shared" si="179"/>
        <v>14.9</v>
      </c>
      <c r="EK67" s="611">
        <f t="shared" si="179"/>
        <v>0</v>
      </c>
      <c r="EL67" s="436">
        <f t="shared" si="179"/>
        <v>36.9</v>
      </c>
      <c r="EM67" s="62">
        <f t="shared" si="179"/>
        <v>39.5</v>
      </c>
      <c r="EN67" s="62">
        <v>25.9</v>
      </c>
      <c r="EO67" s="611">
        <f t="shared" si="179"/>
        <v>0</v>
      </c>
      <c r="EP67" s="611">
        <f t="shared" ref="EP67:EW67" si="180">EP51</f>
        <v>38.700000000000003</v>
      </c>
      <c r="EQ67" s="611">
        <f t="shared" si="180"/>
        <v>40.299999999999997</v>
      </c>
      <c r="ER67" s="611" t="str">
        <f t="shared" si="180"/>
        <v>no data</v>
      </c>
      <c r="ES67" s="621">
        <f t="shared" si="180"/>
        <v>0</v>
      </c>
      <c r="ET67" s="436">
        <f t="shared" si="180"/>
        <v>35.9</v>
      </c>
      <c r="EU67" s="62">
        <f t="shared" si="180"/>
        <v>40.299999999999997</v>
      </c>
      <c r="EV67" s="62">
        <f t="shared" si="180"/>
        <v>27.1</v>
      </c>
      <c r="EW67" s="621">
        <f t="shared" si="180"/>
        <v>0</v>
      </c>
      <c r="EX67" s="436">
        <f>EX51</f>
        <v>39.299999999999997</v>
      </c>
      <c r="EY67" s="436">
        <f t="shared" ref="EY67:FA67" si="181">EY51</f>
        <v>39.5</v>
      </c>
      <c r="EZ67" s="436">
        <f t="shared" si="181"/>
        <v>26.2</v>
      </c>
      <c r="FA67" s="436">
        <f t="shared" si="181"/>
        <v>38.1</v>
      </c>
      <c r="FB67" s="436">
        <f t="shared" ref="FB67:FE67" si="182">FB51</f>
        <v>36.1</v>
      </c>
      <c r="FC67" s="436">
        <f t="shared" si="182"/>
        <v>0</v>
      </c>
      <c r="FD67" s="436">
        <f t="shared" si="182"/>
        <v>0</v>
      </c>
      <c r="FE67" s="436">
        <f t="shared" si="182"/>
        <v>0</v>
      </c>
    </row>
    <row r="68" spans="1:161" ht="15.75" thickBot="1">
      <c r="A68" s="107"/>
      <c r="B68" s="3758" t="s">
        <v>200</v>
      </c>
      <c r="C68" s="3759"/>
      <c r="D68" s="607">
        <f>COUNTIF(D59:D67,"&gt;=5")/COUNT(D59:D67)</f>
        <v>0.88888888888888884</v>
      </c>
      <c r="E68" s="612" t="e">
        <f t="shared" ref="E68:N68" si="183">COUNTIF(E59:E67,"&gt;=5")/COUNT(E59:E67)</f>
        <v>#DIV/0!</v>
      </c>
      <c r="F68" s="612">
        <f t="shared" si="183"/>
        <v>1</v>
      </c>
      <c r="G68" s="613">
        <f t="shared" si="183"/>
        <v>0.8571428571428571</v>
      </c>
      <c r="H68" s="607">
        <f t="shared" si="183"/>
        <v>0.88888888888888884</v>
      </c>
      <c r="I68" s="612">
        <f t="shared" si="183"/>
        <v>1</v>
      </c>
      <c r="J68" s="612">
        <f t="shared" si="183"/>
        <v>1</v>
      </c>
      <c r="K68" s="613">
        <f t="shared" si="183"/>
        <v>1</v>
      </c>
      <c r="L68" s="619">
        <f t="shared" si="183"/>
        <v>1</v>
      </c>
      <c r="M68" s="612">
        <f t="shared" si="183"/>
        <v>1</v>
      </c>
      <c r="N68" s="612">
        <f t="shared" si="183"/>
        <v>1</v>
      </c>
      <c r="O68" s="901">
        <f>COUNTIF(O59:O67,"&gt;=5")/COUNT(O59:O67)</f>
        <v>0</v>
      </c>
      <c r="P68" s="902">
        <f>COUNTIF(P59:P67,"&gt;=5")/COUNT(P59:P67)</f>
        <v>1</v>
      </c>
      <c r="Q68" s="902">
        <f t="shared" ref="Q68:U68" si="184">COUNTIF(Q59:Q67,"&gt;=5")/COUNT(Q59:Q67)</f>
        <v>1</v>
      </c>
      <c r="R68" s="902" t="e">
        <f t="shared" si="184"/>
        <v>#DIV/0!</v>
      </c>
      <c r="S68" s="902" t="e">
        <f t="shared" si="184"/>
        <v>#DIV/0!</v>
      </c>
      <c r="T68" s="902" t="e">
        <f t="shared" si="184"/>
        <v>#DIV/0!</v>
      </c>
      <c r="U68" s="902">
        <f t="shared" si="184"/>
        <v>1</v>
      </c>
      <c r="V68" s="902">
        <f t="shared" ref="V68:Y68" si="185">COUNTIF(V59:V67,"&gt;=5")/COUNT(V59:V67)</f>
        <v>1</v>
      </c>
      <c r="W68" s="902">
        <f t="shared" si="185"/>
        <v>0</v>
      </c>
      <c r="X68" s="902">
        <f t="shared" si="185"/>
        <v>1</v>
      </c>
      <c r="Y68" s="902">
        <f t="shared" si="185"/>
        <v>1</v>
      </c>
      <c r="Z68" s="902">
        <f t="shared" ref="Z68:AC68" si="186">COUNTIF(Z59:Z67,"&gt;=5")/COUNT(Z59:Z67)</f>
        <v>1</v>
      </c>
      <c r="AA68" s="902">
        <f t="shared" si="186"/>
        <v>1</v>
      </c>
      <c r="AB68" s="902">
        <f t="shared" si="186"/>
        <v>1</v>
      </c>
      <c r="AC68" s="902">
        <f t="shared" si="186"/>
        <v>0</v>
      </c>
      <c r="AD68" s="902">
        <f t="shared" ref="AD68:AE68" si="187">COUNTIF(AD59:AD67,"&gt;=5")/COUNT(AD59:AD67)</f>
        <v>0</v>
      </c>
      <c r="AE68" s="902">
        <f t="shared" si="187"/>
        <v>0</v>
      </c>
      <c r="AF68" s="120"/>
      <c r="AG68" s="120"/>
      <c r="AH68" s="3758" t="s">
        <v>200</v>
      </c>
      <c r="AI68" s="3759"/>
      <c r="AJ68" s="546" t="e">
        <f>COUNTIFS(AJ59:AJ67,"&gt;=6",AJ59:AJ67,"&lt;=8.5")/COUNT(AJ59:AJ67)</f>
        <v>#DIV/0!</v>
      </c>
      <c r="AK68" s="544" t="e">
        <f t="shared" ref="AK68:AZ68" si="188">COUNTIFS(AK59:AK67,"&gt;=6",AK59:AK67,"&lt;=8.5")/COUNT(AK59:AK67)</f>
        <v>#DIV/0!</v>
      </c>
      <c r="AL68" s="544" t="e">
        <f t="shared" si="188"/>
        <v>#DIV/0!</v>
      </c>
      <c r="AM68" s="533">
        <f t="shared" si="188"/>
        <v>0</v>
      </c>
      <c r="AN68" s="546">
        <f t="shared" si="188"/>
        <v>0</v>
      </c>
      <c r="AO68" s="544">
        <f t="shared" si="188"/>
        <v>0</v>
      </c>
      <c r="AP68" s="544">
        <f t="shared" si="188"/>
        <v>0</v>
      </c>
      <c r="AQ68" s="533">
        <f t="shared" si="188"/>
        <v>0</v>
      </c>
      <c r="AR68" s="546">
        <f t="shared" si="188"/>
        <v>0</v>
      </c>
      <c r="AS68" s="544">
        <f t="shared" si="188"/>
        <v>0</v>
      </c>
      <c r="AT68" s="544">
        <f t="shared" si="188"/>
        <v>0.16666666666666666</v>
      </c>
      <c r="AU68" s="545">
        <f t="shared" si="188"/>
        <v>0</v>
      </c>
      <c r="AV68" s="426" t="e">
        <f t="shared" si="188"/>
        <v>#DIV/0!</v>
      </c>
      <c r="AW68" s="275" t="e">
        <f t="shared" si="188"/>
        <v>#DIV/0!</v>
      </c>
      <c r="AX68" s="275" t="e">
        <f t="shared" si="188"/>
        <v>#DIV/0!</v>
      </c>
      <c r="AY68" s="427" t="e">
        <f t="shared" si="188"/>
        <v>#DIV/0!</v>
      </c>
      <c r="AZ68" s="533">
        <f t="shared" si="188"/>
        <v>0</v>
      </c>
      <c r="BA68" s="533">
        <f t="shared" ref="BA68:BD68" si="189">COUNTIFS(BA59:BA67,"&gt;=6",BA59:BA67,"&lt;=8.5")/COUNT(BA59:BA67)</f>
        <v>0</v>
      </c>
      <c r="BB68" s="533">
        <f t="shared" si="189"/>
        <v>0</v>
      </c>
      <c r="BC68" s="533">
        <f t="shared" si="189"/>
        <v>0</v>
      </c>
      <c r="BD68" s="533">
        <f t="shared" si="189"/>
        <v>0</v>
      </c>
      <c r="BE68" s="533">
        <f t="shared" ref="BE68:BF68" si="190">COUNTIFS(BE59:BE67,"&gt;=6",BE59:BE67,"&lt;=8.5")/COUNT(BE59:BE67)</f>
        <v>0.88888888888888884</v>
      </c>
      <c r="BF68" s="533">
        <f t="shared" si="190"/>
        <v>1</v>
      </c>
      <c r="BG68" s="533">
        <f>COUNTIFS(BG59:BG67,"&gt;=7",BG59:BG67,"&lt;=8.5")/COUNT(BG59:BG67)</f>
        <v>0.77777777777777779</v>
      </c>
      <c r="BH68" s="533">
        <f t="shared" ref="BH68:BK68" si="191">COUNTIFS(BH59:BH67,"&gt;=7",BH59:BH67,"&lt;=8.5")/COUNT(BH59:BH67)</f>
        <v>0.55555555555555558</v>
      </c>
      <c r="BI68" s="533">
        <f t="shared" si="191"/>
        <v>0</v>
      </c>
      <c r="BJ68" s="533">
        <f t="shared" si="191"/>
        <v>0</v>
      </c>
      <c r="BK68" s="533">
        <f t="shared" si="191"/>
        <v>0</v>
      </c>
      <c r="BL68" s="120"/>
      <c r="BM68" s="120"/>
      <c r="BN68" s="3758" t="s">
        <v>200</v>
      </c>
      <c r="BO68" s="3759"/>
      <c r="BP68" s="904" t="e">
        <f>COUNTIF(BP59:BP67,"&lt;=0.40")/COUNT(BP59:BP67)</f>
        <v>#DIV/0!</v>
      </c>
      <c r="BQ68" s="544" t="e">
        <f t="shared" ref="BQ68:CA68" si="192">COUNTIF(BQ59:BQ67,"&lt;=0.40")/COUNT(BQ59:BQ67)</f>
        <v>#DIV/0!</v>
      </c>
      <c r="BR68" s="544" t="e">
        <f t="shared" si="192"/>
        <v>#DIV/0!</v>
      </c>
      <c r="BS68" s="545" t="e">
        <f t="shared" si="192"/>
        <v>#DIV/0!</v>
      </c>
      <c r="BT68" s="426">
        <f t="shared" si="192"/>
        <v>0.77777777777777779</v>
      </c>
      <c r="BU68" s="275">
        <f t="shared" si="192"/>
        <v>0</v>
      </c>
      <c r="BV68" s="275">
        <f t="shared" si="192"/>
        <v>0.1111111111111111</v>
      </c>
      <c r="BW68" s="427">
        <f t="shared" si="192"/>
        <v>1</v>
      </c>
      <c r="BX68" s="426">
        <f t="shared" si="192"/>
        <v>1</v>
      </c>
      <c r="BY68" s="275">
        <f t="shared" si="192"/>
        <v>0</v>
      </c>
      <c r="BZ68" s="275">
        <f t="shared" si="192"/>
        <v>1</v>
      </c>
      <c r="CA68" s="427" t="e">
        <f t="shared" si="192"/>
        <v>#DIV/0!</v>
      </c>
      <c r="CB68" s="427">
        <f t="shared" ref="CB68:CI68" si="193">COUNTIF(CB59:CB67,"&lt;=0.40")/COUNT(CB59:CB67)</f>
        <v>1</v>
      </c>
      <c r="CC68" s="427" t="e">
        <f t="shared" si="193"/>
        <v>#DIV/0!</v>
      </c>
      <c r="CD68" s="427" t="e">
        <f t="shared" si="193"/>
        <v>#DIV/0!</v>
      </c>
      <c r="CE68" s="427" t="e">
        <f t="shared" si="193"/>
        <v>#DIV/0!</v>
      </c>
      <c r="CF68" s="427" t="e">
        <f t="shared" si="193"/>
        <v>#DIV/0!</v>
      </c>
      <c r="CG68" s="427">
        <f t="shared" si="193"/>
        <v>0.88888888888888884</v>
      </c>
      <c r="CH68" s="427">
        <f t="shared" si="193"/>
        <v>1</v>
      </c>
      <c r="CI68" s="427">
        <f t="shared" si="193"/>
        <v>1</v>
      </c>
      <c r="CJ68" s="427" t="e">
        <f t="shared" ref="CJ68:CM68" si="194">COUNTIF(CJ59:CJ67,"&lt;=0.40")/COUNT(CJ59:CJ67)</f>
        <v>#DIV/0!</v>
      </c>
      <c r="CK68" s="427" t="e">
        <f t="shared" si="194"/>
        <v>#DIV/0!</v>
      </c>
      <c r="CL68" s="427" t="e">
        <f t="shared" si="194"/>
        <v>#DIV/0!</v>
      </c>
      <c r="CM68" s="427" t="e">
        <f t="shared" si="194"/>
        <v>#DIV/0!</v>
      </c>
      <c r="CN68" s="427">
        <f t="shared" ref="CN68:CQ68" si="195">COUNTIF(CN59:CN67,"&lt;=0.40")/COUNT(CN59:CN67)</f>
        <v>1</v>
      </c>
      <c r="CO68" s="427">
        <f t="shared" si="195"/>
        <v>1</v>
      </c>
      <c r="CP68" s="427">
        <f t="shared" si="195"/>
        <v>1</v>
      </c>
      <c r="CQ68" s="427">
        <f t="shared" si="195"/>
        <v>1</v>
      </c>
      <c r="CR68" s="120"/>
      <c r="CS68" s="120"/>
      <c r="CT68" s="120"/>
      <c r="CU68" s="3758" t="s">
        <v>200</v>
      </c>
      <c r="CV68" s="3759"/>
      <c r="CW68" s="601"/>
      <c r="CX68" s="599"/>
      <c r="CY68" s="599"/>
      <c r="CZ68" s="602"/>
      <c r="DA68" s="601"/>
      <c r="DB68" s="598"/>
      <c r="DC68" s="598"/>
      <c r="DD68" s="603"/>
      <c r="DE68" s="632"/>
      <c r="DF68" s="633"/>
      <c r="DG68" s="633"/>
      <c r="DH68" s="634"/>
      <c r="DI68" s="886"/>
      <c r="DJ68" s="633"/>
      <c r="DK68" s="633"/>
      <c r="DL68" s="634"/>
      <c r="DM68" s="634"/>
      <c r="DN68" s="634"/>
      <c r="DO68" s="634"/>
      <c r="DP68" s="634"/>
      <c r="DQ68" s="634"/>
      <c r="DR68" s="634"/>
      <c r="DS68" s="634"/>
      <c r="DT68" s="634"/>
      <c r="DU68" s="634"/>
      <c r="DV68" s="634"/>
      <c r="DW68" s="634"/>
      <c r="DX68" s="634"/>
      <c r="DY68" s="120"/>
      <c r="DZ68" s="120"/>
      <c r="EA68" s="120"/>
      <c r="EB68" s="3756" t="s">
        <v>200</v>
      </c>
      <c r="EC68" s="3757"/>
      <c r="ED68" s="637"/>
      <c r="EE68" s="630"/>
      <c r="EF68" s="630"/>
      <c r="EG68" s="638"/>
      <c r="EH68" s="637"/>
      <c r="EI68" s="629"/>
      <c r="EJ68" s="629"/>
      <c r="EK68" s="639"/>
      <c r="EL68" s="632"/>
      <c r="EM68" s="633"/>
      <c r="EN68" s="633"/>
      <c r="EO68" s="634"/>
      <c r="EP68" s="886"/>
      <c r="EQ68" s="633"/>
      <c r="ER68" s="633"/>
      <c r="ES68" s="634"/>
      <c r="ET68" s="634"/>
      <c r="EU68" s="634"/>
      <c r="EV68" s="634"/>
      <c r="EW68" s="634"/>
      <c r="EX68" s="634"/>
      <c r="EY68" s="634"/>
      <c r="EZ68" s="634"/>
      <c r="FA68" s="634"/>
      <c r="FB68" s="634"/>
      <c r="FC68" s="634"/>
      <c r="FD68" s="634"/>
      <c r="FE68" s="634"/>
    </row>
    <row r="69" spans="1:161" s="1585" customFormat="1">
      <c r="A69" s="107"/>
      <c r="B69" s="1590" t="s">
        <v>326</v>
      </c>
      <c r="C69" s="554"/>
      <c r="D69" s="1591">
        <f>COUNT(D59:D67)</f>
        <v>9</v>
      </c>
      <c r="E69" s="1591">
        <f t="shared" ref="E69:S69" si="196">COUNT(E59:E67)</f>
        <v>0</v>
      </c>
      <c r="F69" s="1591">
        <f t="shared" si="196"/>
        <v>5</v>
      </c>
      <c r="G69" s="1591">
        <f t="shared" si="196"/>
        <v>7</v>
      </c>
      <c r="H69" s="1591">
        <f t="shared" si="196"/>
        <v>9</v>
      </c>
      <c r="I69" s="1591">
        <f t="shared" si="196"/>
        <v>9</v>
      </c>
      <c r="J69" s="1591">
        <f t="shared" si="196"/>
        <v>8</v>
      </c>
      <c r="K69" s="1591">
        <f t="shared" si="196"/>
        <v>9</v>
      </c>
      <c r="L69" s="1591">
        <f t="shared" si="196"/>
        <v>9</v>
      </c>
      <c r="M69" s="1591">
        <f t="shared" si="196"/>
        <v>9</v>
      </c>
      <c r="N69" s="1591">
        <f t="shared" si="196"/>
        <v>6</v>
      </c>
      <c r="O69" s="1591">
        <f t="shared" si="196"/>
        <v>9</v>
      </c>
      <c r="P69" s="1591">
        <f t="shared" si="196"/>
        <v>9</v>
      </c>
      <c r="Q69" s="1591">
        <f t="shared" si="196"/>
        <v>9</v>
      </c>
      <c r="R69" s="1591">
        <f t="shared" si="196"/>
        <v>0</v>
      </c>
      <c r="S69" s="1591">
        <f t="shared" si="196"/>
        <v>0</v>
      </c>
      <c r="T69" s="1591">
        <f t="shared" ref="T69:W69" si="197">COUNT(T59:T67)</f>
        <v>0</v>
      </c>
      <c r="U69" s="1591">
        <f t="shared" si="197"/>
        <v>9</v>
      </c>
      <c r="V69" s="1591">
        <f t="shared" si="197"/>
        <v>5</v>
      </c>
      <c r="W69" s="1591">
        <f t="shared" si="197"/>
        <v>5</v>
      </c>
      <c r="X69" s="1591">
        <f t="shared" ref="X69:AA69" si="198">COUNT(X59:X67)</f>
        <v>9</v>
      </c>
      <c r="Y69" s="1591">
        <f t="shared" si="198"/>
        <v>9</v>
      </c>
      <c r="Z69" s="1591">
        <f t="shared" si="198"/>
        <v>9</v>
      </c>
      <c r="AA69" s="1591">
        <f t="shared" si="198"/>
        <v>9</v>
      </c>
      <c r="AB69" s="1591">
        <f t="shared" ref="AB69:AE69" si="199">COUNT(AB59:AB67)</f>
        <v>9</v>
      </c>
      <c r="AC69" s="1591">
        <f t="shared" si="199"/>
        <v>9</v>
      </c>
      <c r="AD69" s="1591">
        <f t="shared" si="199"/>
        <v>9</v>
      </c>
      <c r="AE69" s="1591">
        <f t="shared" si="199"/>
        <v>9</v>
      </c>
      <c r="AF69" s="120"/>
      <c r="AG69" s="120"/>
      <c r="AH69" s="1590" t="s">
        <v>326</v>
      </c>
      <c r="AI69" s="554"/>
      <c r="AJ69" s="1591">
        <f>COUNT(AJ59:AJ67)</f>
        <v>0</v>
      </c>
      <c r="AK69" s="1591">
        <f t="shared" ref="AK69:AY69" si="200">COUNT(AK59:AK67)</f>
        <v>0</v>
      </c>
      <c r="AL69" s="1591">
        <f t="shared" si="200"/>
        <v>0</v>
      </c>
      <c r="AM69" s="1591">
        <f t="shared" si="200"/>
        <v>7</v>
      </c>
      <c r="AN69" s="1591">
        <f t="shared" si="200"/>
        <v>9</v>
      </c>
      <c r="AO69" s="1591">
        <f t="shared" si="200"/>
        <v>9</v>
      </c>
      <c r="AP69" s="1591">
        <f t="shared" si="200"/>
        <v>8</v>
      </c>
      <c r="AQ69" s="1591">
        <f t="shared" si="200"/>
        <v>9</v>
      </c>
      <c r="AR69" s="1591">
        <f t="shared" si="200"/>
        <v>9</v>
      </c>
      <c r="AS69" s="1591">
        <f t="shared" si="200"/>
        <v>9</v>
      </c>
      <c r="AT69" s="1591">
        <f t="shared" si="200"/>
        <v>6</v>
      </c>
      <c r="AU69" s="1591">
        <f t="shared" si="200"/>
        <v>9</v>
      </c>
      <c r="AV69" s="1591">
        <f t="shared" si="200"/>
        <v>0</v>
      </c>
      <c r="AW69" s="1591">
        <f t="shared" si="200"/>
        <v>0</v>
      </c>
      <c r="AX69" s="1591">
        <f t="shared" si="200"/>
        <v>0</v>
      </c>
      <c r="AY69" s="1591">
        <f t="shared" si="200"/>
        <v>0</v>
      </c>
      <c r="AZ69" s="1591">
        <f t="shared" ref="AZ69:BC69" si="201">COUNT(AZ59:AZ67)</f>
        <v>9</v>
      </c>
      <c r="BA69" s="1591">
        <f t="shared" si="201"/>
        <v>9</v>
      </c>
      <c r="BB69" s="1591">
        <f t="shared" si="201"/>
        <v>9</v>
      </c>
      <c r="BC69" s="1591">
        <f t="shared" si="201"/>
        <v>9</v>
      </c>
      <c r="BD69" s="1591">
        <f t="shared" ref="BD69:BG69" si="202">COUNT(BD59:BD67)</f>
        <v>9</v>
      </c>
      <c r="BE69" s="1591">
        <f t="shared" si="202"/>
        <v>9</v>
      </c>
      <c r="BF69" s="1591">
        <f t="shared" si="202"/>
        <v>9</v>
      </c>
      <c r="BG69" s="1591">
        <f t="shared" si="202"/>
        <v>9</v>
      </c>
      <c r="BH69" s="1591">
        <f t="shared" ref="BH69:BK69" si="203">COUNT(BH59:BH67)</f>
        <v>9</v>
      </c>
      <c r="BI69" s="1591">
        <f t="shared" si="203"/>
        <v>9</v>
      </c>
      <c r="BJ69" s="1591">
        <f t="shared" si="203"/>
        <v>9</v>
      </c>
      <c r="BK69" s="1591">
        <f t="shared" si="203"/>
        <v>9</v>
      </c>
      <c r="BL69" s="120"/>
      <c r="BM69" s="120"/>
      <c r="BN69" s="1590" t="s">
        <v>326</v>
      </c>
      <c r="BO69" s="554"/>
      <c r="BP69" s="1591">
        <f>COUNT(BP59:BP67)</f>
        <v>0</v>
      </c>
      <c r="BQ69" s="1591">
        <f t="shared" ref="BQ69:CE69" si="204">COUNT(BQ59:BQ67)</f>
        <v>0</v>
      </c>
      <c r="BR69" s="1591">
        <f t="shared" si="204"/>
        <v>0</v>
      </c>
      <c r="BS69" s="1591">
        <f t="shared" si="204"/>
        <v>0</v>
      </c>
      <c r="BT69" s="1591">
        <f t="shared" si="204"/>
        <v>9</v>
      </c>
      <c r="BU69" s="1591">
        <f t="shared" si="204"/>
        <v>9</v>
      </c>
      <c r="BV69" s="1591">
        <f t="shared" si="204"/>
        <v>9</v>
      </c>
      <c r="BW69" s="1591">
        <f t="shared" si="204"/>
        <v>9</v>
      </c>
      <c r="BX69" s="1591">
        <f t="shared" si="204"/>
        <v>9</v>
      </c>
      <c r="BY69" s="1591">
        <f t="shared" si="204"/>
        <v>9</v>
      </c>
      <c r="BZ69" s="1591">
        <f t="shared" si="204"/>
        <v>9</v>
      </c>
      <c r="CA69" s="1591">
        <f t="shared" si="204"/>
        <v>0</v>
      </c>
      <c r="CB69" s="1591">
        <f t="shared" si="204"/>
        <v>9</v>
      </c>
      <c r="CC69" s="1591">
        <f t="shared" si="204"/>
        <v>0</v>
      </c>
      <c r="CD69" s="1591">
        <f t="shared" si="204"/>
        <v>0</v>
      </c>
      <c r="CE69" s="1591">
        <f t="shared" si="204"/>
        <v>0</v>
      </c>
      <c r="CF69" s="1591">
        <f t="shared" ref="CF69:CI69" si="205">COUNT(CF59:CF67)</f>
        <v>0</v>
      </c>
      <c r="CG69" s="1591">
        <f t="shared" si="205"/>
        <v>9</v>
      </c>
      <c r="CH69" s="1591">
        <f t="shared" si="205"/>
        <v>9</v>
      </c>
      <c r="CI69" s="1591">
        <f t="shared" si="205"/>
        <v>9</v>
      </c>
      <c r="CJ69" s="1591">
        <f t="shared" ref="CJ69:CM69" si="206">COUNT(CJ59:CJ67)</f>
        <v>0</v>
      </c>
      <c r="CK69" s="1591">
        <f t="shared" si="206"/>
        <v>0</v>
      </c>
      <c r="CL69" s="1591">
        <f t="shared" si="206"/>
        <v>0</v>
      </c>
      <c r="CM69" s="1591">
        <f t="shared" si="206"/>
        <v>0</v>
      </c>
      <c r="CN69" s="1591">
        <f t="shared" ref="CN69:CQ69" si="207">COUNT(CN59:CN67)</f>
        <v>1</v>
      </c>
      <c r="CO69" s="1591">
        <f t="shared" si="207"/>
        <v>9</v>
      </c>
      <c r="CP69" s="1591">
        <f t="shared" si="207"/>
        <v>9</v>
      </c>
      <c r="CQ69" s="1591">
        <f t="shared" si="207"/>
        <v>9</v>
      </c>
      <c r="CR69" s="120"/>
      <c r="CS69" s="120"/>
      <c r="CT69" s="120"/>
      <c r="CU69" s="1588"/>
      <c r="CV69" s="1588"/>
      <c r="CW69" s="38"/>
      <c r="CX69" s="40"/>
      <c r="CY69" s="40"/>
      <c r="CZ69" s="40"/>
      <c r="DA69" s="38"/>
      <c r="DB69" s="38"/>
      <c r="DC69" s="38"/>
      <c r="DD69" s="1589"/>
      <c r="DE69" s="61"/>
      <c r="DF69" s="61"/>
      <c r="DG69" s="61"/>
      <c r="DH69" s="61"/>
      <c r="DI69" s="61"/>
      <c r="DJ69" s="61"/>
      <c r="DK69" s="61"/>
      <c r="DL69" s="61"/>
      <c r="DM69" s="61"/>
      <c r="DN69" s="61"/>
      <c r="DO69" s="61"/>
      <c r="DP69" s="61"/>
      <c r="DQ69" s="107"/>
      <c r="DR69" s="107"/>
      <c r="DS69" s="107"/>
      <c r="DT69" s="107"/>
      <c r="DU69" s="107"/>
      <c r="DV69" s="107"/>
      <c r="DW69" s="107"/>
      <c r="DX69" s="107"/>
      <c r="DY69" s="120"/>
      <c r="DZ69" s="120"/>
      <c r="EA69" s="120"/>
      <c r="EB69" s="1588"/>
      <c r="EC69" s="1588"/>
      <c r="ED69" s="38"/>
      <c r="EE69" s="40"/>
      <c r="EF69" s="40"/>
      <c r="EG69" s="40"/>
      <c r="EH69" s="38"/>
      <c r="EI69" s="38"/>
      <c r="EJ69" s="38"/>
      <c r="EK69" s="1589"/>
      <c r="EL69" s="61"/>
      <c r="EM69" s="61"/>
      <c r="EN69" s="61"/>
      <c r="EO69" s="61"/>
      <c r="EP69" s="61"/>
      <c r="EQ69" s="61"/>
      <c r="ER69" s="61"/>
      <c r="ES69" s="61"/>
      <c r="ET69" s="61"/>
      <c r="EU69" s="61"/>
      <c r="EV69" s="61"/>
      <c r="EW69" s="61"/>
      <c r="EX69" s="767"/>
    </row>
    <row r="70" spans="1:161">
      <c r="A70" s="107"/>
      <c r="B70" s="196" t="s">
        <v>325</v>
      </c>
      <c r="C70" s="192"/>
      <c r="D70" s="108">
        <f>COUNTIF(D59:D67,"&gt;=5")</f>
        <v>8</v>
      </c>
      <c r="E70" s="108">
        <f t="shared" ref="E70:S70" si="208">COUNTIF(E59:E67,"&gt;=5")</f>
        <v>0</v>
      </c>
      <c r="F70" s="108">
        <f t="shared" si="208"/>
        <v>5</v>
      </c>
      <c r="G70" s="108">
        <f t="shared" si="208"/>
        <v>6</v>
      </c>
      <c r="H70" s="108">
        <f t="shared" si="208"/>
        <v>8</v>
      </c>
      <c r="I70" s="108">
        <f t="shared" si="208"/>
        <v>9</v>
      </c>
      <c r="J70" s="108">
        <f t="shared" si="208"/>
        <v>8</v>
      </c>
      <c r="K70" s="108">
        <f t="shared" si="208"/>
        <v>9</v>
      </c>
      <c r="L70" s="108">
        <f t="shared" si="208"/>
        <v>9</v>
      </c>
      <c r="M70" s="108">
        <f t="shared" si="208"/>
        <v>9</v>
      </c>
      <c r="N70" s="108">
        <f t="shared" si="208"/>
        <v>6</v>
      </c>
      <c r="O70" s="108">
        <f t="shared" si="208"/>
        <v>0</v>
      </c>
      <c r="P70" s="108">
        <f t="shared" si="208"/>
        <v>9</v>
      </c>
      <c r="Q70" s="108">
        <f t="shared" si="208"/>
        <v>9</v>
      </c>
      <c r="R70" s="108">
        <f t="shared" si="208"/>
        <v>0</v>
      </c>
      <c r="S70" s="108">
        <f t="shared" si="208"/>
        <v>0</v>
      </c>
      <c r="T70" s="108">
        <f t="shared" ref="T70:W70" si="209">COUNTIF(T59:T67,"&gt;=5")</f>
        <v>0</v>
      </c>
      <c r="U70" s="108">
        <f t="shared" si="209"/>
        <v>9</v>
      </c>
      <c r="V70" s="108">
        <f t="shared" si="209"/>
        <v>5</v>
      </c>
      <c r="W70" s="108">
        <f t="shared" si="209"/>
        <v>0</v>
      </c>
      <c r="X70" s="108">
        <f t="shared" ref="X70:AA70" si="210">COUNTIF(X59:X67,"&gt;=5")</f>
        <v>9</v>
      </c>
      <c r="Y70" s="108">
        <f t="shared" si="210"/>
        <v>9</v>
      </c>
      <c r="Z70" s="108">
        <f t="shared" si="210"/>
        <v>9</v>
      </c>
      <c r="AA70" s="108">
        <f t="shared" si="210"/>
        <v>9</v>
      </c>
      <c r="AB70" s="108">
        <f t="shared" ref="AB70:AE70" si="211">COUNTIF(AB59:AB67,"&gt;=5")</f>
        <v>9</v>
      </c>
      <c r="AC70" s="108">
        <f t="shared" si="211"/>
        <v>0</v>
      </c>
      <c r="AD70" s="108">
        <f t="shared" si="211"/>
        <v>0</v>
      </c>
      <c r="AE70" s="108">
        <f t="shared" si="211"/>
        <v>0</v>
      </c>
      <c r="AF70" s="120"/>
      <c r="AG70" s="120"/>
      <c r="AH70" s="196" t="s">
        <v>325</v>
      </c>
      <c r="AI70" s="192"/>
      <c r="AJ70" s="108">
        <f>COUNTIF(AJ59:AJ67,"6-8.5")</f>
        <v>0</v>
      </c>
      <c r="AK70" s="108">
        <f t="shared" ref="AK70:AY70" si="212">COUNTIF(AK59:AK67,"6-8.5")</f>
        <v>0</v>
      </c>
      <c r="AL70" s="108">
        <f t="shared" si="212"/>
        <v>0</v>
      </c>
      <c r="AM70" s="108">
        <f t="shared" si="212"/>
        <v>0</v>
      </c>
      <c r="AN70" s="108">
        <f t="shared" si="212"/>
        <v>0</v>
      </c>
      <c r="AO70" s="108">
        <f t="shared" si="212"/>
        <v>0</v>
      </c>
      <c r="AP70" s="108">
        <f t="shared" si="212"/>
        <v>0</v>
      </c>
      <c r="AQ70" s="108">
        <f t="shared" si="212"/>
        <v>0</v>
      </c>
      <c r="AR70" s="108">
        <f t="shared" si="212"/>
        <v>0</v>
      </c>
      <c r="AS70" s="108">
        <f t="shared" si="212"/>
        <v>0</v>
      </c>
      <c r="AT70" s="108">
        <f t="shared" si="212"/>
        <v>0</v>
      </c>
      <c r="AU70" s="108">
        <f t="shared" si="212"/>
        <v>0</v>
      </c>
      <c r="AV70" s="108">
        <f t="shared" si="212"/>
        <v>0</v>
      </c>
      <c r="AW70" s="108">
        <f t="shared" si="212"/>
        <v>0</v>
      </c>
      <c r="AX70" s="108">
        <f t="shared" si="212"/>
        <v>0</v>
      </c>
      <c r="AY70" s="108">
        <f t="shared" si="212"/>
        <v>0</v>
      </c>
      <c r="AZ70" s="108">
        <f t="shared" ref="AZ70:BC70" si="213">COUNTIF(AZ59:AZ67,"6-8.5")</f>
        <v>0</v>
      </c>
      <c r="BA70" s="108">
        <f t="shared" si="213"/>
        <v>0</v>
      </c>
      <c r="BB70" s="108">
        <f t="shared" si="213"/>
        <v>0</v>
      </c>
      <c r="BC70" s="108">
        <f t="shared" si="213"/>
        <v>0</v>
      </c>
      <c r="BD70" s="108">
        <f t="shared" ref="BD70:BF70" si="214">COUNTIF(BD59:BD67,"6-8.5")</f>
        <v>0</v>
      </c>
      <c r="BE70" s="108">
        <f t="shared" si="214"/>
        <v>0</v>
      </c>
      <c r="BF70" s="108">
        <f t="shared" si="214"/>
        <v>0</v>
      </c>
      <c r="BG70" s="108">
        <f>COUNTIF(BG59:BG67,"7-8.5")</f>
        <v>0</v>
      </c>
      <c r="BH70" s="108">
        <f t="shared" ref="BH70:BK70" si="215">COUNTIF(BH59:BH67,"7-8.5")</f>
        <v>0</v>
      </c>
      <c r="BI70" s="108">
        <f t="shared" si="215"/>
        <v>0</v>
      </c>
      <c r="BJ70" s="108">
        <f t="shared" si="215"/>
        <v>0</v>
      </c>
      <c r="BK70" s="108">
        <f t="shared" si="215"/>
        <v>0</v>
      </c>
      <c r="BL70" s="120"/>
      <c r="BM70" s="120"/>
      <c r="BN70" s="196" t="s">
        <v>325</v>
      </c>
      <c r="BO70" s="192"/>
      <c r="BP70" s="108">
        <f>COUNTIF(BP59:BP67,"&gt;=0.4")</f>
        <v>0</v>
      </c>
      <c r="BQ70" s="108">
        <f>COUNTIF(BQ59:BQ67,"&gt;=0.4")</f>
        <v>0</v>
      </c>
      <c r="BR70" s="108">
        <f t="shared" ref="BR70:CE70" si="216">COUNTIF(BR59:BR67,"&gt;=0.4")</f>
        <v>0</v>
      </c>
      <c r="BS70" s="108">
        <f t="shared" si="216"/>
        <v>0</v>
      </c>
      <c r="BT70" s="108">
        <f t="shared" si="216"/>
        <v>2</v>
      </c>
      <c r="BU70" s="108">
        <f t="shared" si="216"/>
        <v>9</v>
      </c>
      <c r="BV70" s="108">
        <f t="shared" si="216"/>
        <v>8</v>
      </c>
      <c r="BW70" s="108">
        <f t="shared" si="216"/>
        <v>0</v>
      </c>
      <c r="BX70" s="108">
        <f t="shared" si="216"/>
        <v>0</v>
      </c>
      <c r="BY70" s="108">
        <f t="shared" si="216"/>
        <v>9</v>
      </c>
      <c r="BZ70" s="108">
        <f t="shared" si="216"/>
        <v>0</v>
      </c>
      <c r="CA70" s="108">
        <f t="shared" si="216"/>
        <v>0</v>
      </c>
      <c r="CB70" s="108">
        <f t="shared" si="216"/>
        <v>0</v>
      </c>
      <c r="CC70" s="108">
        <f t="shared" si="216"/>
        <v>0</v>
      </c>
      <c r="CD70" s="108">
        <f t="shared" si="216"/>
        <v>0</v>
      </c>
      <c r="CE70" s="108">
        <f t="shared" si="216"/>
        <v>0</v>
      </c>
      <c r="CF70" s="108">
        <f t="shared" ref="CF70:CI70" si="217">COUNTIF(CF59:CF67,"&gt;=0.4")</f>
        <v>0</v>
      </c>
      <c r="CG70" s="108">
        <f t="shared" si="217"/>
        <v>1</v>
      </c>
      <c r="CH70" s="108">
        <f t="shared" si="217"/>
        <v>0</v>
      </c>
      <c r="CI70" s="108">
        <f t="shared" si="217"/>
        <v>0</v>
      </c>
      <c r="CJ70" s="108">
        <f t="shared" ref="CJ70:CM70" si="218">COUNTIF(CJ59:CJ67,"&gt;=0.4")</f>
        <v>0</v>
      </c>
      <c r="CK70" s="108">
        <f t="shared" si="218"/>
        <v>0</v>
      </c>
      <c r="CL70" s="108">
        <f t="shared" si="218"/>
        <v>0</v>
      </c>
      <c r="CM70" s="108">
        <f t="shared" si="218"/>
        <v>0</v>
      </c>
      <c r="CN70" s="108">
        <f t="shared" ref="CN70:CQ70" si="219">COUNTIF(CN59:CN67,"&gt;=0.4")</f>
        <v>0</v>
      </c>
      <c r="CO70" s="108">
        <f t="shared" si="219"/>
        <v>0</v>
      </c>
      <c r="CP70" s="108">
        <f t="shared" si="219"/>
        <v>0</v>
      </c>
      <c r="CQ70" s="108">
        <f t="shared" si="219"/>
        <v>0</v>
      </c>
      <c r="CR70" s="120"/>
      <c r="CS70" s="120"/>
      <c r="CT70" s="120"/>
      <c r="CU70" s="196"/>
      <c r="CV70" s="192"/>
      <c r="CW70" s="108"/>
      <c r="CX70" s="122"/>
      <c r="CY70" s="122"/>
      <c r="CZ70" s="122"/>
      <c r="DA70" s="108"/>
      <c r="DB70" s="108"/>
      <c r="DC70" s="122"/>
      <c r="DD70" s="218"/>
      <c r="DE70" s="107"/>
      <c r="DF70" s="107"/>
      <c r="DG70" s="107"/>
      <c r="DH70" s="107"/>
      <c r="DI70" s="107"/>
      <c r="DJ70" s="107"/>
      <c r="DK70" s="107"/>
      <c r="DL70" s="107"/>
      <c r="DM70" s="107"/>
      <c r="DN70" s="107"/>
      <c r="DO70" s="107"/>
      <c r="DP70" s="107"/>
      <c r="DQ70" s="107"/>
      <c r="DR70" s="107"/>
      <c r="DS70" s="107"/>
      <c r="DT70" s="107"/>
      <c r="DU70" s="107"/>
      <c r="DV70" s="107"/>
      <c r="DW70" s="107"/>
      <c r="DX70" s="107"/>
      <c r="DY70" s="120"/>
      <c r="DZ70" s="120"/>
      <c r="EA70" s="120"/>
      <c r="EB70" s="196"/>
      <c r="EC70" s="192"/>
      <c r="ED70" s="108"/>
      <c r="EE70" s="122"/>
      <c r="EF70" s="122"/>
      <c r="EG70" s="122"/>
      <c r="EH70" s="108"/>
      <c r="EI70" s="108"/>
      <c r="EJ70" s="122"/>
      <c r="EK70" s="218"/>
      <c r="EL70" s="107"/>
      <c r="EM70" s="107"/>
      <c r="EN70" s="107"/>
      <c r="EO70" s="107"/>
      <c r="EP70" s="107"/>
      <c r="EQ70" s="107"/>
      <c r="ER70" s="107"/>
      <c r="ES70" s="107"/>
      <c r="ET70" s="107"/>
      <c r="EU70" s="107"/>
      <c r="EV70" s="107"/>
      <c r="EW70" s="107"/>
      <c r="EX70" s="767"/>
    </row>
    <row r="71" spans="1:161" ht="15.75" thickBot="1">
      <c r="A71" s="107"/>
      <c r="B71" s="196" t="s">
        <v>327</v>
      </c>
      <c r="C71" s="192">
        <f>COUNTA(C59:C67)</f>
        <v>9</v>
      </c>
      <c r="D71" s="108"/>
      <c r="E71" s="122"/>
      <c r="F71" s="122"/>
      <c r="G71" s="122"/>
      <c r="H71" s="108"/>
      <c r="I71" s="108"/>
      <c r="J71" s="108"/>
      <c r="K71" s="56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20"/>
      <c r="Y71" s="120"/>
      <c r="Z71" s="120"/>
      <c r="AA71" s="120"/>
      <c r="AB71" s="120"/>
      <c r="AC71" s="120"/>
      <c r="AD71" s="120"/>
      <c r="AE71" s="120"/>
      <c r="AF71" s="120"/>
      <c r="AG71" s="120"/>
      <c r="AH71" s="196"/>
      <c r="AI71" s="192"/>
      <c r="AJ71" s="108"/>
      <c r="AK71" s="122"/>
      <c r="AL71" s="122"/>
      <c r="AM71" s="122"/>
      <c r="AN71" s="108"/>
      <c r="AO71" s="108"/>
      <c r="AP71" s="122"/>
      <c r="AQ71" s="218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07"/>
      <c r="BE71" s="120"/>
      <c r="BF71" s="120"/>
      <c r="BG71" s="120"/>
      <c r="BH71" s="120"/>
      <c r="BI71" s="120"/>
      <c r="BJ71" s="120"/>
      <c r="BK71" s="120"/>
      <c r="BL71" s="120"/>
      <c r="BM71" s="120"/>
      <c r="BN71" s="196"/>
      <c r="BO71" s="192"/>
      <c r="BP71" s="108"/>
      <c r="BQ71" s="122"/>
      <c r="BR71" s="122"/>
      <c r="BS71" s="122"/>
      <c r="BT71" s="108"/>
      <c r="BU71" s="108"/>
      <c r="BV71" s="122"/>
      <c r="BW71" s="567"/>
      <c r="BX71" s="107"/>
      <c r="BY71" s="107"/>
      <c r="BZ71" s="107"/>
      <c r="CA71" s="107"/>
      <c r="CB71" s="107"/>
      <c r="CC71" s="107"/>
      <c r="CD71" s="107"/>
      <c r="CE71" s="107"/>
      <c r="CF71" s="107"/>
      <c r="CG71" s="107"/>
      <c r="CH71" s="107"/>
      <c r="CI71" s="107"/>
      <c r="CJ71" s="107"/>
      <c r="CK71" s="107"/>
      <c r="CL71" s="107"/>
      <c r="CM71" s="107"/>
      <c r="CN71" s="107"/>
      <c r="CO71" s="107"/>
      <c r="CP71" s="107"/>
      <c r="CQ71" s="107"/>
      <c r="CR71" s="120"/>
      <c r="CS71" s="120"/>
      <c r="CT71" s="120"/>
      <c r="CU71" s="196"/>
      <c r="CV71" s="192"/>
      <c r="CW71" s="108"/>
      <c r="CX71" s="122"/>
      <c r="CY71" s="122"/>
      <c r="CZ71" s="122"/>
      <c r="DA71" s="108"/>
      <c r="DB71" s="108"/>
      <c r="DC71" s="122"/>
      <c r="DD71" s="218"/>
      <c r="DE71" s="107"/>
      <c r="DF71" s="107"/>
      <c r="DG71" s="107"/>
      <c r="DH71" s="107"/>
      <c r="DI71" s="107"/>
      <c r="DJ71" s="107"/>
      <c r="DK71" s="107"/>
      <c r="DL71" s="107"/>
      <c r="DM71" s="107"/>
      <c r="DN71" s="107"/>
      <c r="DO71" s="107"/>
      <c r="DP71" s="107"/>
      <c r="DQ71" s="107"/>
      <c r="DR71" s="107"/>
      <c r="DS71" s="107"/>
      <c r="DT71" s="107"/>
      <c r="DU71" s="107"/>
      <c r="DV71" s="107"/>
      <c r="DW71" s="107"/>
      <c r="DX71" s="107"/>
      <c r="DY71" s="120"/>
      <c r="DZ71" s="120"/>
      <c r="EA71" s="120"/>
      <c r="EB71" s="196"/>
      <c r="EC71" s="192"/>
      <c r="ED71" s="108"/>
      <c r="EE71" s="122"/>
      <c r="EF71" s="122"/>
      <c r="EG71" s="122"/>
      <c r="EH71" s="108"/>
      <c r="EI71" s="108"/>
      <c r="EJ71" s="122"/>
      <c r="EK71" s="218"/>
      <c r="EL71" s="107"/>
      <c r="EM71" s="107"/>
      <c r="EN71" s="107"/>
      <c r="EO71" s="107"/>
      <c r="EP71" s="107"/>
      <c r="EQ71" s="107"/>
      <c r="ER71" s="107"/>
      <c r="ES71" s="107"/>
      <c r="ET71" s="107"/>
      <c r="EU71" s="107"/>
      <c r="EV71" s="107"/>
      <c r="EW71" s="107"/>
      <c r="EX71" s="767"/>
    </row>
    <row r="72" spans="1:161">
      <c r="A72" s="107"/>
      <c r="B72" s="3761" t="s">
        <v>209</v>
      </c>
      <c r="C72" s="617">
        <v>1</v>
      </c>
      <c r="D72" s="434">
        <f>D12</f>
        <v>5.44</v>
      </c>
      <c r="E72" s="251" t="str">
        <f t="shared" ref="E72:O72" si="220">E12</f>
        <v>No Data</v>
      </c>
      <c r="F72" s="251">
        <f t="shared" si="220"/>
        <v>4.66</v>
      </c>
      <c r="G72" s="608">
        <f t="shared" si="220"/>
        <v>6.59</v>
      </c>
      <c r="H72" s="434">
        <f t="shared" si="220"/>
        <v>5.34</v>
      </c>
      <c r="I72" s="251">
        <f t="shared" si="220"/>
        <v>5.68</v>
      </c>
      <c r="J72" s="251" t="str">
        <f t="shared" si="220"/>
        <v>No Data</v>
      </c>
      <c r="K72" s="608">
        <f t="shared" si="220"/>
        <v>2.0699999999999998</v>
      </c>
      <c r="L72" s="569">
        <f t="shared" si="220"/>
        <v>6.3</v>
      </c>
      <c r="M72" s="251">
        <f t="shared" si="220"/>
        <v>7.23</v>
      </c>
      <c r="N72" s="251">
        <v>6.89</v>
      </c>
      <c r="O72" s="608">
        <f t="shared" si="220"/>
        <v>0</v>
      </c>
      <c r="P72" s="569">
        <f>P12</f>
        <v>6.66</v>
      </c>
      <c r="Q72" s="358">
        <v>7.13</v>
      </c>
      <c r="R72" s="569" t="str">
        <f t="shared" ref="R72" si="221">R12</f>
        <v>no data</v>
      </c>
      <c r="S72" s="358"/>
      <c r="T72" s="569"/>
      <c r="U72" s="569">
        <f t="shared" ref="U72" si="222">U12</f>
        <v>6.1</v>
      </c>
      <c r="V72" s="569">
        <f>V12</f>
        <v>5.73</v>
      </c>
      <c r="W72" s="569"/>
      <c r="X72" s="569">
        <f>X12</f>
        <v>2.85</v>
      </c>
      <c r="Y72" s="569">
        <f t="shared" ref="Y72:AA72" si="223">Y12</f>
        <v>9.27</v>
      </c>
      <c r="Z72" s="569">
        <f t="shared" si="223"/>
        <v>7.13</v>
      </c>
      <c r="AA72" s="569">
        <f t="shared" si="223"/>
        <v>6.78</v>
      </c>
      <c r="AB72" s="569">
        <f t="shared" ref="AB72:AE72" si="224">AB12</f>
        <v>5.47</v>
      </c>
      <c r="AC72" s="569">
        <f t="shared" si="224"/>
        <v>0</v>
      </c>
      <c r="AD72" s="569">
        <f t="shared" si="224"/>
        <v>0</v>
      </c>
      <c r="AE72" s="569">
        <f t="shared" si="224"/>
        <v>0</v>
      </c>
      <c r="AF72" s="107"/>
      <c r="AG72" s="107"/>
      <c r="AH72" s="3761" t="s">
        <v>212</v>
      </c>
      <c r="AI72" s="617">
        <v>1</v>
      </c>
      <c r="AJ72" s="434" t="str">
        <f>AJ12</f>
        <v>No Data</v>
      </c>
      <c r="AK72" s="251" t="str">
        <f>AK12</f>
        <v>No Data</v>
      </c>
      <c r="AL72" s="251" t="str">
        <f t="shared" ref="AL72:AU72" si="225">AL12</f>
        <v>No Data</v>
      </c>
      <c r="AM72" s="608">
        <f t="shared" si="225"/>
        <v>9.7899999999999991</v>
      </c>
      <c r="AN72" s="434">
        <f t="shared" si="225"/>
        <v>10.130000000000001</v>
      </c>
      <c r="AO72" s="251">
        <f t="shared" si="225"/>
        <v>8.9700000000000006</v>
      </c>
      <c r="AP72" s="251" t="str">
        <f t="shared" si="225"/>
        <v>No Data</v>
      </c>
      <c r="AQ72" s="608">
        <f t="shared" si="225"/>
        <v>8.56</v>
      </c>
      <c r="AR72" s="569">
        <f t="shared" si="225"/>
        <v>8.94</v>
      </c>
      <c r="AS72" s="251">
        <f t="shared" si="225"/>
        <v>8.75</v>
      </c>
      <c r="AT72" s="251">
        <v>8.83</v>
      </c>
      <c r="AU72" s="620">
        <f t="shared" si="225"/>
        <v>0</v>
      </c>
      <c r="AV72" s="318">
        <v>9.65</v>
      </c>
      <c r="AW72" s="358">
        <v>9.74</v>
      </c>
      <c r="AX72" s="304">
        <v>8.69</v>
      </c>
      <c r="AY72" s="354"/>
      <c r="AZ72" s="354">
        <f>AZ12</f>
        <v>8.92</v>
      </c>
      <c r="BA72" s="354">
        <f t="shared" ref="BA72:BC72" si="226">BA12</f>
        <v>8.74</v>
      </c>
      <c r="BB72" s="354">
        <f t="shared" si="226"/>
        <v>9.49</v>
      </c>
      <c r="BC72" s="354">
        <f t="shared" si="226"/>
        <v>0</v>
      </c>
      <c r="BD72" s="354">
        <f>BD12</f>
        <v>8.2200000000000006</v>
      </c>
      <c r="BE72" s="354">
        <f t="shared" ref="BE72:BG72" si="227">BE12</f>
        <v>8.3000000000000007</v>
      </c>
      <c r="BF72" s="354">
        <f t="shared" si="227"/>
        <v>7.28</v>
      </c>
      <c r="BG72" s="354">
        <f t="shared" si="227"/>
        <v>7.55</v>
      </c>
      <c r="BH72" s="354">
        <f t="shared" ref="BH72:BK72" si="228">BH12</f>
        <v>5.64</v>
      </c>
      <c r="BI72" s="354">
        <f t="shared" si="228"/>
        <v>0</v>
      </c>
      <c r="BJ72" s="354">
        <f t="shared" si="228"/>
        <v>0</v>
      </c>
      <c r="BK72" s="354">
        <f t="shared" si="228"/>
        <v>0</v>
      </c>
      <c r="BL72" s="107"/>
      <c r="BM72" s="107"/>
      <c r="BN72" s="3761" t="s">
        <v>215</v>
      </c>
      <c r="BO72" s="617">
        <v>1</v>
      </c>
      <c r="BP72" s="434" t="str">
        <f>BP12</f>
        <v>No Data</v>
      </c>
      <c r="BQ72" s="251" t="str">
        <f t="shared" ref="BQ72:BZ72" si="229">BQ12</f>
        <v>No Data</v>
      </c>
      <c r="BR72" s="251" t="str">
        <f t="shared" si="229"/>
        <v>No Data</v>
      </c>
      <c r="BS72" s="608" t="str">
        <f t="shared" si="229"/>
        <v>No Data</v>
      </c>
      <c r="BT72" s="434">
        <f t="shared" si="229"/>
        <v>0.24099999999999999</v>
      </c>
      <c r="BU72" s="251">
        <f t="shared" si="229"/>
        <v>0.64500000000000002</v>
      </c>
      <c r="BV72" s="251">
        <f t="shared" si="229"/>
        <v>0</v>
      </c>
      <c r="BW72" s="608">
        <f t="shared" si="229"/>
        <v>0</v>
      </c>
      <c r="BX72" s="434">
        <f t="shared" si="229"/>
        <v>0</v>
      </c>
      <c r="BY72" s="251">
        <f t="shared" si="229"/>
        <v>1.05</v>
      </c>
      <c r="BZ72" s="251">
        <f t="shared" si="229"/>
        <v>0</v>
      </c>
      <c r="CA72" s="608"/>
      <c r="CB72" s="608">
        <f t="shared" ref="CB72:CG72" si="230">CB12</f>
        <v>0.18</v>
      </c>
      <c r="CC72" s="608"/>
      <c r="CD72" s="608"/>
      <c r="CE72" s="608"/>
      <c r="CF72" s="608"/>
      <c r="CG72" s="608">
        <f t="shared" si="230"/>
        <v>0.40600000000000003</v>
      </c>
      <c r="CH72" s="608">
        <f t="shared" ref="CH72:CI72" si="231">CH12</f>
        <v>0</v>
      </c>
      <c r="CI72" s="608">
        <f t="shared" si="231"/>
        <v>0</v>
      </c>
      <c r="CJ72" s="608"/>
      <c r="CK72" s="608"/>
      <c r="CL72" s="608"/>
      <c r="CM72" s="608"/>
      <c r="CN72" s="608">
        <f>CN12</f>
        <v>1.7999999999999999E-2</v>
      </c>
      <c r="CO72" s="608">
        <f t="shared" ref="CO72:CQ72" si="232">CO12</f>
        <v>0</v>
      </c>
      <c r="CP72" s="608">
        <f t="shared" si="232"/>
        <v>0</v>
      </c>
      <c r="CQ72" s="608">
        <f t="shared" si="232"/>
        <v>0</v>
      </c>
      <c r="CR72" s="107"/>
      <c r="CS72" s="107"/>
      <c r="CT72" s="107"/>
      <c r="CU72" s="3750" t="s">
        <v>249</v>
      </c>
      <c r="CV72" s="617">
        <v>1</v>
      </c>
      <c r="CW72" s="434">
        <f>CW12</f>
        <v>0</v>
      </c>
      <c r="CX72" s="251">
        <f t="shared" ref="CX72:DH72" si="233">CX12</f>
        <v>0</v>
      </c>
      <c r="CY72" s="251">
        <f t="shared" si="233"/>
        <v>0</v>
      </c>
      <c r="CZ72" s="608">
        <f t="shared" si="233"/>
        <v>2.4900000000000002</v>
      </c>
      <c r="DA72" s="434">
        <f t="shared" si="233"/>
        <v>2.4900000000000002</v>
      </c>
      <c r="DB72" s="251">
        <f t="shared" si="233"/>
        <v>2.41</v>
      </c>
      <c r="DC72" s="251" t="str">
        <f t="shared" si="233"/>
        <v>No Data</v>
      </c>
      <c r="DD72" s="608">
        <f t="shared" si="233"/>
        <v>0</v>
      </c>
      <c r="DE72" s="434">
        <f t="shared" si="233"/>
        <v>2.59</v>
      </c>
      <c r="DF72" s="251">
        <f t="shared" si="233"/>
        <v>2.66</v>
      </c>
      <c r="DG72" s="251">
        <v>2.33</v>
      </c>
      <c r="DH72" s="608">
        <f t="shared" si="233"/>
        <v>0</v>
      </c>
      <c r="DI72" s="608">
        <f t="shared" ref="DI72:DP72" si="234">DI12</f>
        <v>2.5099999999999998</v>
      </c>
      <c r="DJ72" s="608">
        <f t="shared" si="234"/>
        <v>2.59</v>
      </c>
      <c r="DK72" s="608">
        <f t="shared" si="234"/>
        <v>2.2200000000000002</v>
      </c>
      <c r="DL72" s="608"/>
      <c r="DM72" s="608">
        <f t="shared" si="234"/>
        <v>2.4500000000000002</v>
      </c>
      <c r="DN72" s="608">
        <f t="shared" si="234"/>
        <v>2.58</v>
      </c>
      <c r="DO72" s="608">
        <f t="shared" si="234"/>
        <v>2.23</v>
      </c>
      <c r="DP72" s="608">
        <f t="shared" si="234"/>
        <v>0</v>
      </c>
      <c r="DQ72" s="608">
        <f>DQ12</f>
        <v>2.57</v>
      </c>
      <c r="DR72" s="608">
        <f t="shared" ref="DR72:DT72" si="235">DR12</f>
        <v>2.46</v>
      </c>
      <c r="DS72" s="608">
        <f t="shared" si="235"/>
        <v>1.8</v>
      </c>
      <c r="DT72" s="608">
        <f t="shared" si="235"/>
        <v>2.4700000000000002</v>
      </c>
      <c r="DU72" s="608">
        <f t="shared" ref="DU72:DX72" si="236">DU12</f>
        <v>2.5</v>
      </c>
      <c r="DV72" s="608">
        <f t="shared" si="236"/>
        <v>0</v>
      </c>
      <c r="DW72" s="608">
        <f t="shared" si="236"/>
        <v>0</v>
      </c>
      <c r="DX72" s="608">
        <f t="shared" si="236"/>
        <v>0</v>
      </c>
      <c r="DY72" s="107"/>
      <c r="DZ72" s="107"/>
      <c r="EA72" s="107"/>
      <c r="EB72" s="3750" t="s">
        <v>252</v>
      </c>
      <c r="EC72" s="617">
        <v>1</v>
      </c>
      <c r="ED72" s="434">
        <f>ED12</f>
        <v>0</v>
      </c>
      <c r="EE72" s="251">
        <f t="shared" ref="EE72:EO72" si="237">EE12</f>
        <v>0</v>
      </c>
      <c r="EF72" s="251">
        <f t="shared" si="237"/>
        <v>0</v>
      </c>
      <c r="EG72" s="608">
        <f t="shared" si="237"/>
        <v>39</v>
      </c>
      <c r="EH72" s="434">
        <f t="shared" si="237"/>
        <v>39</v>
      </c>
      <c r="EI72" s="251">
        <f t="shared" si="237"/>
        <v>37.799999999999997</v>
      </c>
      <c r="EJ72" s="251" t="str">
        <f t="shared" si="237"/>
        <v>No Data</v>
      </c>
      <c r="EK72" s="608">
        <f t="shared" si="237"/>
        <v>0</v>
      </c>
      <c r="EL72" s="434">
        <f t="shared" si="237"/>
        <v>40.200000000000003</v>
      </c>
      <c r="EM72" s="251">
        <f t="shared" si="237"/>
        <v>41.3</v>
      </c>
      <c r="EN72" s="251">
        <v>36.6</v>
      </c>
      <c r="EO72" s="608">
        <f t="shared" si="237"/>
        <v>0</v>
      </c>
      <c r="EP72" s="608">
        <f t="shared" ref="EP72:EQ72" si="238">EP12</f>
        <v>39.200000000000003</v>
      </c>
      <c r="EQ72" s="608">
        <f t="shared" si="238"/>
        <v>40.4</v>
      </c>
      <c r="ER72" s="608">
        <f t="shared" ref="ER72:EW72" si="239">ER12</f>
        <v>35</v>
      </c>
      <c r="ES72" s="620">
        <f t="shared" si="239"/>
        <v>0</v>
      </c>
      <c r="ET72" s="434">
        <f t="shared" si="239"/>
        <v>38.4</v>
      </c>
      <c r="EU72" s="251">
        <f t="shared" si="239"/>
        <v>40.1</v>
      </c>
      <c r="EV72" s="251">
        <f t="shared" si="239"/>
        <v>35.1</v>
      </c>
      <c r="EW72" s="608">
        <f t="shared" si="239"/>
        <v>0</v>
      </c>
      <c r="EX72" s="434">
        <f>EX12</f>
        <v>40</v>
      </c>
      <c r="EY72" s="434">
        <f t="shared" ref="EY72:FA72" si="240">EY12</f>
        <v>37.799999999999997</v>
      </c>
      <c r="EZ72" s="434">
        <f t="shared" si="240"/>
        <v>28.9</v>
      </c>
      <c r="FA72" s="434">
        <f t="shared" si="240"/>
        <v>38.5</v>
      </c>
      <c r="FB72" s="434">
        <f t="shared" ref="FB72:FE72" si="241">FB12</f>
        <v>39</v>
      </c>
      <c r="FC72" s="434">
        <f t="shared" si="241"/>
        <v>0</v>
      </c>
      <c r="FD72" s="434">
        <f t="shared" si="241"/>
        <v>0</v>
      </c>
      <c r="FE72" s="434">
        <f t="shared" si="241"/>
        <v>0</v>
      </c>
    </row>
    <row r="73" spans="1:161">
      <c r="A73" s="107"/>
      <c r="B73" s="3749"/>
      <c r="C73" s="615">
        <v>2</v>
      </c>
      <c r="D73" s="435">
        <f>D17</f>
        <v>5.85</v>
      </c>
      <c r="E73" s="41" t="str">
        <f t="shared" ref="E73:O73" si="242">E17</f>
        <v>No Data</v>
      </c>
      <c r="F73" s="41" t="str">
        <f t="shared" si="242"/>
        <v>No Data</v>
      </c>
      <c r="G73" s="609">
        <f t="shared" si="242"/>
        <v>5.2</v>
      </c>
      <c r="H73" s="435">
        <f t="shared" si="242"/>
        <v>5.71</v>
      </c>
      <c r="I73" s="41">
        <f t="shared" si="242"/>
        <v>6.07</v>
      </c>
      <c r="J73" s="41">
        <f t="shared" si="242"/>
        <v>3.41</v>
      </c>
      <c r="K73" s="609">
        <f t="shared" si="242"/>
        <v>4.5199999999999996</v>
      </c>
      <c r="L73" s="570">
        <f t="shared" si="242"/>
        <v>6.68</v>
      </c>
      <c r="M73" s="41">
        <f t="shared" si="242"/>
        <v>5.88</v>
      </c>
      <c r="N73" s="41">
        <v>7.46</v>
      </c>
      <c r="O73" s="609">
        <f t="shared" si="242"/>
        <v>0</v>
      </c>
      <c r="P73" s="570">
        <f>P17</f>
        <v>6.46</v>
      </c>
      <c r="Q73" s="304">
        <v>3.1</v>
      </c>
      <c r="R73" s="570" t="str">
        <f t="shared" ref="R73" si="243">R17</f>
        <v>no data</v>
      </c>
      <c r="S73" s="304"/>
      <c r="T73" s="570"/>
      <c r="U73" s="570">
        <f t="shared" ref="U73" si="244">U17</f>
        <v>6.01</v>
      </c>
      <c r="V73" s="570">
        <f>V17</f>
        <v>4.9800000000000004</v>
      </c>
      <c r="W73" s="570"/>
      <c r="X73" s="570">
        <f>X17</f>
        <v>7.66</v>
      </c>
      <c r="Y73" s="570">
        <f t="shared" ref="Y73:AA73" si="245">Y17</f>
        <v>5.86</v>
      </c>
      <c r="Z73" s="570">
        <f t="shared" si="245"/>
        <v>5.51</v>
      </c>
      <c r="AA73" s="570">
        <f t="shared" si="245"/>
        <v>6.16</v>
      </c>
      <c r="AB73" s="570">
        <f t="shared" ref="AB73:AE73" si="246">AB17</f>
        <v>6.52</v>
      </c>
      <c r="AC73" s="570">
        <f t="shared" si="246"/>
        <v>0</v>
      </c>
      <c r="AD73" s="570">
        <f t="shared" si="246"/>
        <v>0</v>
      </c>
      <c r="AE73" s="570">
        <f t="shared" si="246"/>
        <v>0</v>
      </c>
      <c r="AF73" s="107"/>
      <c r="AG73" s="107"/>
      <c r="AH73" s="3749"/>
      <c r="AI73" s="615">
        <v>2</v>
      </c>
      <c r="AJ73" s="435" t="str">
        <f>AJ17</f>
        <v>No Data</v>
      </c>
      <c r="AK73" s="41" t="str">
        <f t="shared" ref="AK73:AU73" si="247">AK17</f>
        <v>No Data</v>
      </c>
      <c r="AL73" s="41" t="str">
        <f t="shared" si="247"/>
        <v>No Data</v>
      </c>
      <c r="AM73" s="609">
        <f t="shared" si="247"/>
        <v>9.77</v>
      </c>
      <c r="AN73" s="435">
        <f t="shared" si="247"/>
        <v>10.1</v>
      </c>
      <c r="AO73" s="41">
        <f t="shared" si="247"/>
        <v>9.1199999999999992</v>
      </c>
      <c r="AP73" s="41">
        <f t="shared" si="247"/>
        <v>8.76</v>
      </c>
      <c r="AQ73" s="609">
        <f t="shared" si="247"/>
        <v>8.7100000000000009</v>
      </c>
      <c r="AR73" s="570">
        <f t="shared" si="247"/>
        <v>9.01</v>
      </c>
      <c r="AS73" s="41">
        <f t="shared" si="247"/>
        <v>8.65</v>
      </c>
      <c r="AT73" s="41">
        <v>8.9600000000000009</v>
      </c>
      <c r="AU73" s="614">
        <f t="shared" si="247"/>
        <v>0</v>
      </c>
      <c r="AV73" s="318">
        <v>9.4600000000000009</v>
      </c>
      <c r="AW73" s="304">
        <v>9.0299999999999994</v>
      </c>
      <c r="AX73" s="304">
        <v>8.66</v>
      </c>
      <c r="AY73" s="319"/>
      <c r="AZ73" s="319">
        <f>AZ17</f>
        <v>9.11</v>
      </c>
      <c r="BA73" s="319">
        <f t="shared" ref="BA73:BC73" si="248">BA17</f>
        <v>8.82</v>
      </c>
      <c r="BB73" s="319">
        <f t="shared" si="248"/>
        <v>9.3699999999999992</v>
      </c>
      <c r="BC73" s="319">
        <f t="shared" si="248"/>
        <v>0</v>
      </c>
      <c r="BD73" s="319">
        <f>BD17</f>
        <v>9.58</v>
      </c>
      <c r="BE73" s="319">
        <f t="shared" ref="BE73:BG73" si="249">BE17</f>
        <v>8.1300000000000008</v>
      </c>
      <c r="BF73" s="319">
        <f t="shared" si="249"/>
        <v>7.23</v>
      </c>
      <c r="BG73" s="319">
        <f t="shared" si="249"/>
        <v>7.46</v>
      </c>
      <c r="BH73" s="319">
        <f t="shared" ref="BH73:BK73" si="250">BH17</f>
        <v>5.95</v>
      </c>
      <c r="BI73" s="319">
        <f t="shared" si="250"/>
        <v>0</v>
      </c>
      <c r="BJ73" s="319">
        <f t="shared" si="250"/>
        <v>0</v>
      </c>
      <c r="BK73" s="319">
        <f t="shared" si="250"/>
        <v>0</v>
      </c>
      <c r="BL73" s="107"/>
      <c r="BM73" s="107"/>
      <c r="BN73" s="3749"/>
      <c r="BO73" s="615">
        <v>2</v>
      </c>
      <c r="BP73" s="435" t="str">
        <f>BP17</f>
        <v>No Data</v>
      </c>
      <c r="BQ73" s="41" t="str">
        <f t="shared" ref="BQ73:BZ73" si="251">BQ17</f>
        <v>No Data</v>
      </c>
      <c r="BR73" s="41" t="str">
        <f t="shared" si="251"/>
        <v>No Data</v>
      </c>
      <c r="BS73" s="609" t="str">
        <f t="shared" si="251"/>
        <v>No Data</v>
      </c>
      <c r="BT73" s="435">
        <f t="shared" si="251"/>
        <v>0.23200000000000001</v>
      </c>
      <c r="BU73" s="41">
        <f t="shared" si="251"/>
        <v>0.68799999999999994</v>
      </c>
      <c r="BV73" s="41">
        <f t="shared" si="251"/>
        <v>0.94299999999999995</v>
      </c>
      <c r="BW73" s="609">
        <f t="shared" si="251"/>
        <v>0</v>
      </c>
      <c r="BX73" s="435">
        <f t="shared" si="251"/>
        <v>0</v>
      </c>
      <c r="BY73" s="41">
        <f t="shared" si="251"/>
        <v>1.0549999999999999</v>
      </c>
      <c r="BZ73" s="41">
        <f t="shared" si="251"/>
        <v>0</v>
      </c>
      <c r="CA73" s="609"/>
      <c r="CB73" s="609">
        <f t="shared" ref="CB73:CG73" si="252">CB17</f>
        <v>0.13</v>
      </c>
      <c r="CC73" s="609"/>
      <c r="CD73" s="609"/>
      <c r="CE73" s="609"/>
      <c r="CF73" s="609"/>
      <c r="CG73" s="609">
        <f t="shared" si="252"/>
        <v>0.32600000000000001</v>
      </c>
      <c r="CH73" s="609">
        <f t="shared" ref="CH73:CI73" si="253">CH17</f>
        <v>0</v>
      </c>
      <c r="CI73" s="609">
        <f t="shared" si="253"/>
        <v>0</v>
      </c>
      <c r="CJ73" s="609"/>
      <c r="CK73" s="609"/>
      <c r="CL73" s="609"/>
      <c r="CM73" s="609"/>
      <c r="CN73" s="609" t="str">
        <f>CN17</f>
        <v>&lt;0.013</v>
      </c>
      <c r="CO73" s="609">
        <f t="shared" ref="CO73:CQ73" si="254">CO17</f>
        <v>0</v>
      </c>
      <c r="CP73" s="609">
        <f t="shared" si="254"/>
        <v>0</v>
      </c>
      <c r="CQ73" s="609">
        <f t="shared" si="254"/>
        <v>0</v>
      </c>
      <c r="CR73" s="107"/>
      <c r="CS73" s="107"/>
      <c r="CT73" s="107"/>
      <c r="CU73" s="3749"/>
      <c r="CV73" s="615">
        <v>2</v>
      </c>
      <c r="CW73" s="435">
        <f>CW17</f>
        <v>0</v>
      </c>
      <c r="CX73" s="41">
        <f t="shared" ref="CX73:DH73" si="255">CX17</f>
        <v>0</v>
      </c>
      <c r="CY73" s="41">
        <f t="shared" si="255"/>
        <v>0</v>
      </c>
      <c r="CZ73" s="609">
        <f t="shared" si="255"/>
        <v>2.35</v>
      </c>
      <c r="DA73" s="435">
        <f t="shared" si="255"/>
        <v>2.5299999999999998</v>
      </c>
      <c r="DB73" s="41">
        <f t="shared" si="255"/>
        <v>2.44</v>
      </c>
      <c r="DC73" s="41">
        <f t="shared" si="255"/>
        <v>2.2200000000000002</v>
      </c>
      <c r="DD73" s="609">
        <f t="shared" si="255"/>
        <v>0</v>
      </c>
      <c r="DE73" s="435">
        <f t="shared" si="255"/>
        <v>2.59</v>
      </c>
      <c r="DF73" s="41">
        <f t="shared" si="255"/>
        <v>2.66</v>
      </c>
      <c r="DG73" s="41">
        <v>2.38</v>
      </c>
      <c r="DH73" s="609">
        <f t="shared" si="255"/>
        <v>0</v>
      </c>
      <c r="DI73" s="609">
        <f t="shared" ref="DI73:DP73" si="256">DI17</f>
        <v>2.5299999999999998</v>
      </c>
      <c r="DJ73" s="609">
        <f t="shared" si="256"/>
        <v>2.59</v>
      </c>
      <c r="DK73" s="609">
        <f t="shared" si="256"/>
        <v>2.35</v>
      </c>
      <c r="DL73" s="609"/>
      <c r="DM73" s="609">
        <f t="shared" si="256"/>
        <v>2.46</v>
      </c>
      <c r="DN73" s="609">
        <f t="shared" si="256"/>
        <v>2.58</v>
      </c>
      <c r="DO73" s="609">
        <f t="shared" si="256"/>
        <v>2.27</v>
      </c>
      <c r="DP73" s="609">
        <f t="shared" si="256"/>
        <v>0</v>
      </c>
      <c r="DQ73" s="609">
        <f>DQ17</f>
        <v>2.54</v>
      </c>
      <c r="DR73" s="609">
        <f t="shared" ref="DR73:DT73" si="257">DR17</f>
        <v>2.5</v>
      </c>
      <c r="DS73" s="609">
        <f t="shared" si="257"/>
        <v>1.93</v>
      </c>
      <c r="DT73" s="609">
        <f t="shared" si="257"/>
        <v>2.5</v>
      </c>
      <c r="DU73" s="609">
        <f t="shared" ref="DU73:DX73" si="258">DU17</f>
        <v>2.4700000000000002</v>
      </c>
      <c r="DV73" s="609">
        <f t="shared" si="258"/>
        <v>0</v>
      </c>
      <c r="DW73" s="609">
        <f t="shared" si="258"/>
        <v>0</v>
      </c>
      <c r="DX73" s="609">
        <f t="shared" si="258"/>
        <v>0</v>
      </c>
      <c r="DY73" s="107"/>
      <c r="DZ73" s="107"/>
      <c r="EA73" s="107"/>
      <c r="EB73" s="3749"/>
      <c r="EC73" s="615">
        <v>2</v>
      </c>
      <c r="ED73" s="435">
        <f>ED17</f>
        <v>0</v>
      </c>
      <c r="EE73" s="41">
        <f t="shared" ref="EE73:EO73" si="259">EE17</f>
        <v>0</v>
      </c>
      <c r="EF73" s="41">
        <f t="shared" si="259"/>
        <v>0</v>
      </c>
      <c r="EG73" s="609">
        <f t="shared" si="259"/>
        <v>37.1</v>
      </c>
      <c r="EH73" s="435">
        <f t="shared" si="259"/>
        <v>39.4</v>
      </c>
      <c r="EI73" s="41">
        <f t="shared" si="259"/>
        <v>38.299999999999997</v>
      </c>
      <c r="EJ73" s="41">
        <f t="shared" si="259"/>
        <v>35</v>
      </c>
      <c r="EK73" s="609">
        <f t="shared" si="259"/>
        <v>0</v>
      </c>
      <c r="EL73" s="435">
        <f t="shared" si="259"/>
        <v>40.200000000000003</v>
      </c>
      <c r="EM73" s="41">
        <f t="shared" si="259"/>
        <v>41.3</v>
      </c>
      <c r="EN73" s="41">
        <v>37.200000000000003</v>
      </c>
      <c r="EO73" s="609">
        <f t="shared" si="259"/>
        <v>0</v>
      </c>
      <c r="EP73" s="609">
        <f t="shared" ref="EP73:EQ73" si="260">EP17</f>
        <v>39.4</v>
      </c>
      <c r="EQ73" s="609">
        <f t="shared" si="260"/>
        <v>40.299999999999997</v>
      </c>
      <c r="ER73" s="609">
        <f t="shared" ref="ER73:EW73" si="261">ER17</f>
        <v>36.799999999999997</v>
      </c>
      <c r="ES73" s="614">
        <f t="shared" si="261"/>
        <v>0</v>
      </c>
      <c r="ET73" s="435">
        <f t="shared" si="261"/>
        <v>38.4</v>
      </c>
      <c r="EU73" s="41">
        <f t="shared" si="261"/>
        <v>40.200000000000003</v>
      </c>
      <c r="EV73" s="41">
        <f t="shared" si="261"/>
        <v>35.799999999999997</v>
      </c>
      <c r="EW73" s="609">
        <f t="shared" si="261"/>
        <v>0</v>
      </c>
      <c r="EX73" s="435">
        <f>EX17</f>
        <v>39.5</v>
      </c>
      <c r="EY73" s="435">
        <f t="shared" ref="EY73:FA73" si="262">EY17</f>
        <v>38.9</v>
      </c>
      <c r="EZ73" s="435">
        <f t="shared" si="262"/>
        <v>30.9</v>
      </c>
      <c r="FA73" s="435">
        <f t="shared" si="262"/>
        <v>39</v>
      </c>
      <c r="FB73" s="435">
        <f t="shared" ref="FB73:FE73" si="263">FB17</f>
        <v>38.5</v>
      </c>
      <c r="FC73" s="435">
        <f t="shared" si="263"/>
        <v>0</v>
      </c>
      <c r="FD73" s="435">
        <f t="shared" si="263"/>
        <v>0</v>
      </c>
      <c r="FE73" s="435">
        <f t="shared" si="263"/>
        <v>0</v>
      </c>
    </row>
    <row r="74" spans="1:161">
      <c r="A74" s="107"/>
      <c r="B74" s="3749"/>
      <c r="C74" s="615">
        <v>3</v>
      </c>
      <c r="D74" s="435">
        <f>D22</f>
        <v>5.37</v>
      </c>
      <c r="E74" s="41" t="str">
        <f t="shared" ref="E74:O74" si="264">E22</f>
        <v>No Data</v>
      </c>
      <c r="F74" s="41">
        <f t="shared" si="264"/>
        <v>5.2</v>
      </c>
      <c r="G74" s="609">
        <f t="shared" si="264"/>
        <v>5.12</v>
      </c>
      <c r="H74" s="435">
        <f t="shared" si="264"/>
        <v>4.96</v>
      </c>
      <c r="I74" s="41">
        <f t="shared" si="264"/>
        <v>5.75</v>
      </c>
      <c r="J74" s="41">
        <f t="shared" si="264"/>
        <v>3.29</v>
      </c>
      <c r="K74" s="609">
        <f t="shared" si="264"/>
        <v>4.3600000000000003</v>
      </c>
      <c r="L74" s="570">
        <f t="shared" si="264"/>
        <v>6.46</v>
      </c>
      <c r="M74" s="41">
        <f t="shared" si="264"/>
        <v>7.49</v>
      </c>
      <c r="N74" s="41">
        <v>6.85</v>
      </c>
      <c r="O74" s="609">
        <f t="shared" si="264"/>
        <v>0</v>
      </c>
      <c r="P74" s="570">
        <f>P22</f>
        <v>6.38</v>
      </c>
      <c r="Q74" s="304">
        <v>7.4</v>
      </c>
      <c r="R74" s="570" t="str">
        <f t="shared" ref="R74" si="265">R22</f>
        <v>no data</v>
      </c>
      <c r="S74" s="304"/>
      <c r="T74" s="570"/>
      <c r="U74" s="570">
        <f t="shared" ref="U74" si="266">U22</f>
        <v>6.39</v>
      </c>
      <c r="V74" s="570">
        <f>V22</f>
        <v>5.07</v>
      </c>
      <c r="W74" s="570"/>
      <c r="X74" s="570">
        <f>X22</f>
        <v>8.74</v>
      </c>
      <c r="Y74" s="570">
        <f t="shared" ref="Y74:AA74" si="267">Y22</f>
        <v>4.59</v>
      </c>
      <c r="Z74" s="570">
        <f t="shared" si="267"/>
        <v>5.54</v>
      </c>
      <c r="AA74" s="570">
        <f t="shared" si="267"/>
        <v>6.91</v>
      </c>
      <c r="AB74" s="570">
        <f t="shared" ref="AB74:AE74" si="268">AB22</f>
        <v>6.62</v>
      </c>
      <c r="AC74" s="570">
        <f t="shared" si="268"/>
        <v>0</v>
      </c>
      <c r="AD74" s="570">
        <f t="shared" si="268"/>
        <v>0</v>
      </c>
      <c r="AE74" s="570">
        <f t="shared" si="268"/>
        <v>0</v>
      </c>
      <c r="AF74" s="107"/>
      <c r="AG74" s="107"/>
      <c r="AH74" s="3749"/>
      <c r="AI74" s="615">
        <v>3</v>
      </c>
      <c r="AJ74" s="435" t="str">
        <f>AJ22</f>
        <v>No Data</v>
      </c>
      <c r="AK74" s="41" t="str">
        <f>AK22</f>
        <v>No Data</v>
      </c>
      <c r="AL74" s="41" t="str">
        <f t="shared" ref="AL74:AU74" si="269">AL22</f>
        <v>No Data</v>
      </c>
      <c r="AM74" s="609">
        <f t="shared" si="269"/>
        <v>9.7899999999999991</v>
      </c>
      <c r="AN74" s="435">
        <f t="shared" si="269"/>
        <v>10.15</v>
      </c>
      <c r="AO74" s="41">
        <f t="shared" si="269"/>
        <v>9.1199999999999992</v>
      </c>
      <c r="AP74" s="41">
        <f t="shared" si="269"/>
        <v>8.75</v>
      </c>
      <c r="AQ74" s="609">
        <f t="shared" si="269"/>
        <v>8.81</v>
      </c>
      <c r="AR74" s="570">
        <f t="shared" si="269"/>
        <v>8.99</v>
      </c>
      <c r="AS74" s="41">
        <f t="shared" si="269"/>
        <v>8.92</v>
      </c>
      <c r="AT74" s="41">
        <v>8.89</v>
      </c>
      <c r="AU74" s="614">
        <f t="shared" si="269"/>
        <v>0</v>
      </c>
      <c r="AV74" s="318">
        <v>9.48</v>
      </c>
      <c r="AW74" s="304">
        <v>9.18</v>
      </c>
      <c r="AX74" s="304">
        <v>9.1999999999999993</v>
      </c>
      <c r="AY74" s="319"/>
      <c r="AZ74" s="319">
        <f>AZ22</f>
        <v>9.01</v>
      </c>
      <c r="BA74" s="319">
        <f t="shared" ref="BA74:BC74" si="270">BA22</f>
        <v>8.92</v>
      </c>
      <c r="BB74" s="319">
        <f t="shared" si="270"/>
        <v>9.41</v>
      </c>
      <c r="BC74" s="319">
        <f t="shared" si="270"/>
        <v>0</v>
      </c>
      <c r="BD74" s="319">
        <f>BD22</f>
        <v>9.58</v>
      </c>
      <c r="BE74" s="319">
        <f t="shared" ref="BE74:BG74" si="271">BE22</f>
        <v>8.06</v>
      </c>
      <c r="BF74" s="319">
        <f t="shared" si="271"/>
        <v>7.14</v>
      </c>
      <c r="BG74" s="319">
        <f t="shared" si="271"/>
        <v>7.39</v>
      </c>
      <c r="BH74" s="319">
        <f t="shared" ref="BH74:BK74" si="272">BH22</f>
        <v>6.88</v>
      </c>
      <c r="BI74" s="319">
        <f t="shared" si="272"/>
        <v>0</v>
      </c>
      <c r="BJ74" s="319">
        <f t="shared" si="272"/>
        <v>0</v>
      </c>
      <c r="BK74" s="319">
        <f t="shared" si="272"/>
        <v>0</v>
      </c>
      <c r="BL74" s="107"/>
      <c r="BM74" s="107"/>
      <c r="BN74" s="3749"/>
      <c r="BO74" s="615">
        <v>3</v>
      </c>
      <c r="BP74" s="435" t="str">
        <f>BP22</f>
        <v>No Data</v>
      </c>
      <c r="BQ74" s="41" t="str">
        <f t="shared" ref="BQ74:BZ74" si="273">BQ22</f>
        <v>No Data</v>
      </c>
      <c r="BR74" s="41" t="str">
        <f t="shared" si="273"/>
        <v>No Data</v>
      </c>
      <c r="BS74" s="609" t="str">
        <f t="shared" si="273"/>
        <v>No Data</v>
      </c>
      <c r="BT74" s="435">
        <f t="shared" si="273"/>
        <v>0.24</v>
      </c>
      <c r="BU74" s="41">
        <f t="shared" si="273"/>
        <v>0.748</v>
      </c>
      <c r="BV74" s="41">
        <f t="shared" si="273"/>
        <v>0.69</v>
      </c>
      <c r="BW74" s="609">
        <f t="shared" si="273"/>
        <v>0</v>
      </c>
      <c r="BX74" s="435">
        <f t="shared" si="273"/>
        <v>0</v>
      </c>
      <c r="BY74" s="41">
        <f t="shared" si="273"/>
        <v>1.083</v>
      </c>
      <c r="BZ74" s="41">
        <f t="shared" si="273"/>
        <v>0</v>
      </c>
      <c r="CA74" s="609"/>
      <c r="CB74" s="609">
        <f t="shared" ref="CB74:CG74" si="274">CB22</f>
        <v>0.11</v>
      </c>
      <c r="CC74" s="609"/>
      <c r="CD74" s="609"/>
      <c r="CE74" s="609"/>
      <c r="CF74" s="609"/>
      <c r="CG74" s="609">
        <f t="shared" si="274"/>
        <v>0.21199999999999999</v>
      </c>
      <c r="CH74" s="609">
        <f t="shared" ref="CH74:CI74" si="275">CH22</f>
        <v>0</v>
      </c>
      <c r="CI74" s="609">
        <f t="shared" si="275"/>
        <v>0</v>
      </c>
      <c r="CJ74" s="609"/>
      <c r="CK74" s="609"/>
      <c r="CL74" s="609"/>
      <c r="CM74" s="609"/>
      <c r="CN74" s="609" t="str">
        <f>CN22</f>
        <v>&lt;0.013</v>
      </c>
      <c r="CO74" s="609">
        <f t="shared" ref="CO74:CQ74" si="276">CO22</f>
        <v>0</v>
      </c>
      <c r="CP74" s="609">
        <f t="shared" si="276"/>
        <v>0</v>
      </c>
      <c r="CQ74" s="609">
        <f t="shared" si="276"/>
        <v>0</v>
      </c>
      <c r="CR74" s="107"/>
      <c r="CS74" s="107"/>
      <c r="CT74" s="107"/>
      <c r="CU74" s="3749"/>
      <c r="CV74" s="615">
        <v>3</v>
      </c>
      <c r="CW74" s="435">
        <f>CW22</f>
        <v>0</v>
      </c>
      <c r="CX74" s="41">
        <f t="shared" ref="CX74:DH74" si="277">CX22</f>
        <v>0</v>
      </c>
      <c r="CY74" s="41">
        <f t="shared" si="277"/>
        <v>0</v>
      </c>
      <c r="CZ74" s="609">
        <f t="shared" si="277"/>
        <v>2.52</v>
      </c>
      <c r="DA74" s="435">
        <f t="shared" si="277"/>
        <v>2.54</v>
      </c>
      <c r="DB74" s="41">
        <f t="shared" si="277"/>
        <v>2.48</v>
      </c>
      <c r="DC74" s="41">
        <f t="shared" si="277"/>
        <v>2.35</v>
      </c>
      <c r="DD74" s="609">
        <f t="shared" si="277"/>
        <v>0</v>
      </c>
      <c r="DE74" s="435">
        <f t="shared" si="277"/>
        <v>2.58</v>
      </c>
      <c r="DF74" s="41">
        <f t="shared" si="277"/>
        <v>2.59</v>
      </c>
      <c r="DG74" s="41">
        <v>2.41</v>
      </c>
      <c r="DH74" s="609">
        <f t="shared" si="277"/>
        <v>0</v>
      </c>
      <c r="DI74" s="609">
        <f t="shared" ref="DI74:DP74" si="278">DI22</f>
        <v>2.54</v>
      </c>
      <c r="DJ74" s="609">
        <f t="shared" si="278"/>
        <v>2.59</v>
      </c>
      <c r="DK74" s="609">
        <f t="shared" si="278"/>
        <v>1.92</v>
      </c>
      <c r="DL74" s="609"/>
      <c r="DM74" s="609">
        <f t="shared" si="278"/>
        <v>2.4700000000000002</v>
      </c>
      <c r="DN74" s="609">
        <f t="shared" si="278"/>
        <v>2.54</v>
      </c>
      <c r="DO74" s="609">
        <f t="shared" si="278"/>
        <v>2.17</v>
      </c>
      <c r="DP74" s="609">
        <f t="shared" si="278"/>
        <v>0</v>
      </c>
      <c r="DQ74" s="609">
        <f>DQ22</f>
        <v>2.52</v>
      </c>
      <c r="DR74" s="609">
        <f t="shared" ref="DR74:DT74" si="279">DR22</f>
        <v>2.5499999999999998</v>
      </c>
      <c r="DS74" s="609">
        <f t="shared" si="279"/>
        <v>1.89</v>
      </c>
      <c r="DT74" s="609">
        <f t="shared" si="279"/>
        <v>2.5</v>
      </c>
      <c r="DU74" s="609">
        <f t="shared" ref="DU74:DX74" si="280">DU22</f>
        <v>2.52</v>
      </c>
      <c r="DV74" s="609">
        <f t="shared" si="280"/>
        <v>0</v>
      </c>
      <c r="DW74" s="609">
        <f t="shared" si="280"/>
        <v>0</v>
      </c>
      <c r="DX74" s="609">
        <f t="shared" si="280"/>
        <v>0</v>
      </c>
      <c r="DY74" s="107"/>
      <c r="DZ74" s="107"/>
      <c r="EA74" s="107"/>
      <c r="EB74" s="3749"/>
      <c r="EC74" s="615">
        <v>3</v>
      </c>
      <c r="ED74" s="435">
        <f>ED22</f>
        <v>0</v>
      </c>
      <c r="EE74" s="41">
        <f t="shared" ref="EE74:EO74" si="281">EE22</f>
        <v>0</v>
      </c>
      <c r="EF74" s="41">
        <f t="shared" si="281"/>
        <v>0</v>
      </c>
      <c r="EG74" s="609">
        <f t="shared" si="281"/>
        <v>39.200000000000003</v>
      </c>
      <c r="EH74" s="435">
        <f t="shared" si="281"/>
        <v>39.5</v>
      </c>
      <c r="EI74" s="41">
        <f t="shared" si="281"/>
        <v>38.799999999999997</v>
      </c>
      <c r="EJ74" s="41">
        <f t="shared" si="281"/>
        <v>36.9</v>
      </c>
      <c r="EK74" s="609">
        <f t="shared" si="281"/>
        <v>0</v>
      </c>
      <c r="EL74" s="435">
        <f t="shared" si="281"/>
        <v>40.1</v>
      </c>
      <c r="EM74" s="41">
        <f t="shared" si="281"/>
        <v>40.299999999999997</v>
      </c>
      <c r="EN74" s="41">
        <v>37.700000000000003</v>
      </c>
      <c r="EO74" s="609">
        <f t="shared" si="281"/>
        <v>0</v>
      </c>
      <c r="EP74" s="609">
        <f t="shared" ref="EP74:EQ74" si="282">EP22</f>
        <v>39.6</v>
      </c>
      <c r="EQ74" s="609">
        <f t="shared" si="282"/>
        <v>40.1</v>
      </c>
      <c r="ER74" s="609">
        <f t="shared" ref="ER74:EW74" si="283">ER22</f>
        <v>30.7</v>
      </c>
      <c r="ES74" s="614">
        <f t="shared" si="283"/>
        <v>0</v>
      </c>
      <c r="ET74" s="435">
        <f t="shared" si="283"/>
        <v>38.5</v>
      </c>
      <c r="EU74" s="41">
        <f t="shared" si="283"/>
        <v>39.6</v>
      </c>
      <c r="EV74" s="41">
        <f t="shared" si="283"/>
        <v>34.299999999999997</v>
      </c>
      <c r="EW74" s="609">
        <f t="shared" si="283"/>
        <v>0</v>
      </c>
      <c r="EX74" s="435">
        <f>EX22</f>
        <v>39.200000000000003</v>
      </c>
      <c r="EY74" s="435">
        <f t="shared" ref="EY74:FA74" si="284">EY22</f>
        <v>39.700000000000003</v>
      </c>
      <c r="EZ74" s="435">
        <f t="shared" si="284"/>
        <v>30.3</v>
      </c>
      <c r="FA74" s="435">
        <f t="shared" si="284"/>
        <v>39</v>
      </c>
      <c r="FB74" s="435">
        <f t="shared" ref="FB74:FE74" si="285">FB22</f>
        <v>39.200000000000003</v>
      </c>
      <c r="FC74" s="435">
        <f t="shared" si="285"/>
        <v>0</v>
      </c>
      <c r="FD74" s="435">
        <f t="shared" si="285"/>
        <v>0</v>
      </c>
      <c r="FE74" s="435">
        <f t="shared" si="285"/>
        <v>0</v>
      </c>
    </row>
    <row r="75" spans="1:161">
      <c r="A75" s="107"/>
      <c r="B75" s="3749"/>
      <c r="C75" s="615">
        <v>4</v>
      </c>
      <c r="D75" s="435">
        <f>D27</f>
        <v>6.81</v>
      </c>
      <c r="E75" s="41" t="str">
        <f t="shared" ref="E75:O75" si="286">E27</f>
        <v>No Data</v>
      </c>
      <c r="F75" s="41" t="str">
        <f t="shared" si="286"/>
        <v>No Data</v>
      </c>
      <c r="G75" s="609" t="str">
        <f t="shared" si="286"/>
        <v>No Data</v>
      </c>
      <c r="H75" s="435">
        <f t="shared" si="286"/>
        <v>4.68</v>
      </c>
      <c r="I75" s="41">
        <f t="shared" si="286"/>
        <v>5.0999999999999996</v>
      </c>
      <c r="J75" s="41">
        <f t="shared" si="286"/>
        <v>4.43</v>
      </c>
      <c r="K75" s="609">
        <f t="shared" si="286"/>
        <v>3.97</v>
      </c>
      <c r="L75" s="570">
        <f t="shared" si="286"/>
        <v>6.17</v>
      </c>
      <c r="M75" s="41">
        <f t="shared" si="286"/>
        <v>7.39</v>
      </c>
      <c r="N75" s="41">
        <v>7.84</v>
      </c>
      <c r="O75" s="609">
        <f t="shared" si="286"/>
        <v>0</v>
      </c>
      <c r="P75" s="570">
        <f>P27</f>
        <v>6.32</v>
      </c>
      <c r="Q75" s="304">
        <v>4.21</v>
      </c>
      <c r="R75" s="570" t="str">
        <f t="shared" ref="R75" si="287">R27</f>
        <v>no data</v>
      </c>
      <c r="S75" s="304"/>
      <c r="T75" s="570"/>
      <c r="U75" s="570">
        <f t="shared" ref="U75" si="288">U27</f>
        <v>6.43</v>
      </c>
      <c r="V75" s="570">
        <f>V27</f>
        <v>2.87</v>
      </c>
      <c r="W75" s="570"/>
      <c r="X75" s="570">
        <f>X27</f>
        <v>8.58</v>
      </c>
      <c r="Y75" s="570">
        <f t="shared" ref="Y75:AA75" si="289">Y27</f>
        <v>6.34</v>
      </c>
      <c r="Z75" s="570">
        <f t="shared" si="289"/>
        <v>3.44</v>
      </c>
      <c r="AA75" s="570">
        <f t="shared" si="289"/>
        <v>6.39</v>
      </c>
      <c r="AB75" s="570">
        <f t="shared" ref="AB75:AE75" si="290">AB27</f>
        <v>6.28</v>
      </c>
      <c r="AC75" s="570">
        <f t="shared" si="290"/>
        <v>0</v>
      </c>
      <c r="AD75" s="570">
        <f t="shared" si="290"/>
        <v>0</v>
      </c>
      <c r="AE75" s="570">
        <f t="shared" si="290"/>
        <v>0</v>
      </c>
      <c r="AF75" s="107"/>
      <c r="AG75" s="107"/>
      <c r="AH75" s="3749"/>
      <c r="AI75" s="615">
        <v>4</v>
      </c>
      <c r="AJ75" s="435" t="str">
        <f>AJ27</f>
        <v>No Data</v>
      </c>
      <c r="AK75" s="41" t="str">
        <f t="shared" ref="AK75:AU75" si="291">AK27</f>
        <v>No Data</v>
      </c>
      <c r="AL75" s="41" t="str">
        <f t="shared" si="291"/>
        <v>No Data</v>
      </c>
      <c r="AM75" s="609" t="str">
        <f t="shared" si="291"/>
        <v>No Data</v>
      </c>
      <c r="AN75" s="435">
        <f t="shared" si="291"/>
        <v>9.91</v>
      </c>
      <c r="AO75" s="41">
        <f t="shared" si="291"/>
        <v>8.94</v>
      </c>
      <c r="AP75" s="41">
        <f t="shared" si="291"/>
        <v>8.91</v>
      </c>
      <c r="AQ75" s="609">
        <f t="shared" si="291"/>
        <v>8.74</v>
      </c>
      <c r="AR75" s="570">
        <f t="shared" si="291"/>
        <v>8.89</v>
      </c>
      <c r="AS75" s="41">
        <f t="shared" si="291"/>
        <v>8.68</v>
      </c>
      <c r="AT75" s="41">
        <v>8.9499999999999993</v>
      </c>
      <c r="AU75" s="614">
        <f t="shared" si="291"/>
        <v>0</v>
      </c>
      <c r="AV75" s="318">
        <v>9.4600000000000009</v>
      </c>
      <c r="AW75" s="304">
        <v>8.82</v>
      </c>
      <c r="AX75" s="304">
        <v>8.7899999999999991</v>
      </c>
      <c r="AY75" s="319"/>
      <c r="AZ75" s="319">
        <f>AZ27</f>
        <v>9.0299999999999994</v>
      </c>
      <c r="BA75" s="319">
        <f t="shared" ref="BA75:BC75" si="292">BA27</f>
        <v>9.02</v>
      </c>
      <c r="BB75" s="319">
        <f t="shared" si="292"/>
        <v>9.14</v>
      </c>
      <c r="BC75" s="319">
        <f t="shared" si="292"/>
        <v>0</v>
      </c>
      <c r="BD75" s="319">
        <f>BD27</f>
        <v>9.59</v>
      </c>
      <c r="BE75" s="319">
        <f t="shared" ref="BE75:BG75" si="293">BE27</f>
        <v>8.11</v>
      </c>
      <c r="BF75" s="319">
        <f t="shared" si="293"/>
        <v>7.14</v>
      </c>
      <c r="BG75" s="319">
        <f t="shared" si="293"/>
        <v>7.3</v>
      </c>
      <c r="BH75" s="319">
        <f t="shared" ref="BH75:BK75" si="294">BH27</f>
        <v>5.74</v>
      </c>
      <c r="BI75" s="319">
        <f t="shared" si="294"/>
        <v>0</v>
      </c>
      <c r="BJ75" s="319">
        <f t="shared" si="294"/>
        <v>0</v>
      </c>
      <c r="BK75" s="319">
        <f t="shared" si="294"/>
        <v>0</v>
      </c>
      <c r="BL75" s="107"/>
      <c r="BM75" s="107"/>
      <c r="BN75" s="3749"/>
      <c r="BO75" s="615">
        <v>4</v>
      </c>
      <c r="BP75" s="435" t="str">
        <f>BP27</f>
        <v>No Data</v>
      </c>
      <c r="BQ75" s="41" t="str">
        <f t="shared" ref="BQ75:BZ75" si="295">BQ27</f>
        <v>No Data</v>
      </c>
      <c r="BR75" s="41" t="str">
        <f t="shared" si="295"/>
        <v>No Data</v>
      </c>
      <c r="BS75" s="609" t="str">
        <f t="shared" si="295"/>
        <v>No Data</v>
      </c>
      <c r="BT75" s="435">
        <f t="shared" si="295"/>
        <v>0.24099999999999999</v>
      </c>
      <c r="BU75" s="41">
        <f t="shared" si="295"/>
        <v>0.78600000000000003</v>
      </c>
      <c r="BV75" s="41">
        <f t="shared" si="295"/>
        <v>0.69</v>
      </c>
      <c r="BW75" s="609">
        <f t="shared" si="295"/>
        <v>0</v>
      </c>
      <c r="BX75" s="435">
        <f t="shared" si="295"/>
        <v>0</v>
      </c>
      <c r="BY75" s="41">
        <f t="shared" si="295"/>
        <v>0.94699999999999995</v>
      </c>
      <c r="BZ75" s="41">
        <f t="shared" si="295"/>
        <v>0</v>
      </c>
      <c r="CA75" s="609"/>
      <c r="CB75" s="609">
        <f t="shared" ref="CB75:CG75" si="296">CB27</f>
        <v>0.14000000000000001</v>
      </c>
      <c r="CC75" s="609"/>
      <c r="CD75" s="609"/>
      <c r="CE75" s="609"/>
      <c r="CF75" s="609"/>
      <c r="CG75" s="609">
        <f t="shared" si="296"/>
        <v>0.28299999999999997</v>
      </c>
      <c r="CH75" s="609">
        <f t="shared" ref="CH75:CI75" si="297">CH27</f>
        <v>0</v>
      </c>
      <c r="CI75" s="609">
        <f t="shared" si="297"/>
        <v>0</v>
      </c>
      <c r="CJ75" s="609"/>
      <c r="CK75" s="609"/>
      <c r="CL75" s="609"/>
      <c r="CM75" s="609"/>
      <c r="CN75" s="609" t="str">
        <f>CN27</f>
        <v>&lt;0.013</v>
      </c>
      <c r="CO75" s="609">
        <f t="shared" ref="CO75:CQ75" si="298">CO27</f>
        <v>0</v>
      </c>
      <c r="CP75" s="609">
        <f t="shared" si="298"/>
        <v>0</v>
      </c>
      <c r="CQ75" s="609">
        <f t="shared" si="298"/>
        <v>0</v>
      </c>
      <c r="CR75" s="107"/>
      <c r="CS75" s="107"/>
      <c r="CT75" s="107"/>
      <c r="CU75" s="3749"/>
      <c r="CV75" s="615">
        <v>4</v>
      </c>
      <c r="CW75" s="435">
        <f>CW27</f>
        <v>0</v>
      </c>
      <c r="CX75" s="41">
        <f t="shared" ref="CX75:DH75" si="299">CX27</f>
        <v>0</v>
      </c>
      <c r="CY75" s="41">
        <f t="shared" si="299"/>
        <v>0</v>
      </c>
      <c r="CZ75" s="609">
        <f t="shared" si="299"/>
        <v>0</v>
      </c>
      <c r="DA75" s="435">
        <f t="shared" si="299"/>
        <v>2.56</v>
      </c>
      <c r="DB75" s="41">
        <f t="shared" si="299"/>
        <v>2.4900000000000002</v>
      </c>
      <c r="DC75" s="41">
        <f t="shared" si="299"/>
        <v>2.41</v>
      </c>
      <c r="DD75" s="609">
        <f t="shared" si="299"/>
        <v>0</v>
      </c>
      <c r="DE75" s="435">
        <f t="shared" si="299"/>
        <v>2.61</v>
      </c>
      <c r="DF75" s="41">
        <f t="shared" si="299"/>
        <v>2.62</v>
      </c>
      <c r="DG75" s="41">
        <v>2.44</v>
      </c>
      <c r="DH75" s="609">
        <f t="shared" si="299"/>
        <v>0</v>
      </c>
      <c r="DI75" s="609">
        <f t="shared" ref="DI75:DP75" si="300">DI27</f>
        <v>2.56</v>
      </c>
      <c r="DJ75" s="609">
        <f t="shared" si="300"/>
        <v>2.6</v>
      </c>
      <c r="DK75" s="609">
        <f t="shared" si="300"/>
        <v>2.4300000000000002</v>
      </c>
      <c r="DL75" s="609"/>
      <c r="DM75" s="609">
        <f t="shared" si="300"/>
        <v>2.4500000000000002</v>
      </c>
      <c r="DN75" s="609">
        <f t="shared" si="300"/>
        <v>2.56</v>
      </c>
      <c r="DO75" s="609">
        <f t="shared" si="300"/>
        <v>2.44</v>
      </c>
      <c r="DP75" s="609">
        <f t="shared" si="300"/>
        <v>0</v>
      </c>
      <c r="DQ75" s="609">
        <f>DQ27</f>
        <v>2.42</v>
      </c>
      <c r="DR75" s="609">
        <f t="shared" ref="DR75:DT75" si="301">DR27</f>
        <v>2.57</v>
      </c>
      <c r="DS75" s="609">
        <f t="shared" si="301"/>
        <v>2.41</v>
      </c>
      <c r="DT75" s="609">
        <f t="shared" si="301"/>
        <v>2.52</v>
      </c>
      <c r="DU75" s="609">
        <f t="shared" ref="DU75:DX75" si="302">DU27</f>
        <v>2.5299999999999998</v>
      </c>
      <c r="DV75" s="609">
        <f t="shared" si="302"/>
        <v>0</v>
      </c>
      <c r="DW75" s="609">
        <f t="shared" si="302"/>
        <v>0</v>
      </c>
      <c r="DX75" s="609">
        <f t="shared" si="302"/>
        <v>0</v>
      </c>
      <c r="DY75" s="107"/>
      <c r="DZ75" s="107"/>
      <c r="EA75" s="107"/>
      <c r="EB75" s="3749"/>
      <c r="EC75" s="615">
        <v>4</v>
      </c>
      <c r="ED75" s="435">
        <f>ED27</f>
        <v>0</v>
      </c>
      <c r="EE75" s="41">
        <f t="shared" ref="EE75:EO75" si="303">EE27</f>
        <v>0</v>
      </c>
      <c r="EF75" s="41">
        <f t="shared" si="303"/>
        <v>0</v>
      </c>
      <c r="EG75" s="609">
        <f t="shared" si="303"/>
        <v>0</v>
      </c>
      <c r="EH75" s="435">
        <f t="shared" si="303"/>
        <v>40</v>
      </c>
      <c r="EI75" s="41">
        <f t="shared" si="303"/>
        <v>38.799999999999997</v>
      </c>
      <c r="EJ75" s="41">
        <f t="shared" si="303"/>
        <v>37.799999999999997</v>
      </c>
      <c r="EK75" s="609">
        <f t="shared" si="303"/>
        <v>0</v>
      </c>
      <c r="EL75" s="435">
        <f t="shared" si="303"/>
        <v>40.5</v>
      </c>
      <c r="EM75" s="41">
        <f t="shared" si="303"/>
        <v>40.799999999999997</v>
      </c>
      <c r="EN75" s="41">
        <v>38.1</v>
      </c>
      <c r="EO75" s="609">
        <f t="shared" si="303"/>
        <v>0</v>
      </c>
      <c r="EP75" s="609">
        <f t="shared" ref="EP75:EQ75" si="304">EP27</f>
        <v>39.799999999999997</v>
      </c>
      <c r="EQ75" s="609">
        <f t="shared" si="304"/>
        <v>40.6</v>
      </c>
      <c r="ER75" s="609">
        <f t="shared" ref="ER75:EW75" si="305">ER27</f>
        <v>38</v>
      </c>
      <c r="ES75" s="614">
        <f t="shared" si="305"/>
        <v>0</v>
      </c>
      <c r="ET75" s="435">
        <f t="shared" si="305"/>
        <v>38.4</v>
      </c>
      <c r="EU75" s="41">
        <f t="shared" si="305"/>
        <v>39.9</v>
      </c>
      <c r="EV75" s="41">
        <f t="shared" si="305"/>
        <v>38.200000000000003</v>
      </c>
      <c r="EW75" s="609">
        <f t="shared" si="305"/>
        <v>0</v>
      </c>
      <c r="EX75" s="435">
        <f>EX27</f>
        <v>37.700000000000003</v>
      </c>
      <c r="EY75" s="435">
        <f t="shared" ref="EY75:FA75" si="306">EY27</f>
        <v>40</v>
      </c>
      <c r="EZ75" s="435">
        <f t="shared" si="306"/>
        <v>37.799999999999997</v>
      </c>
      <c r="FA75" s="435">
        <f t="shared" si="306"/>
        <v>39.299999999999997</v>
      </c>
      <c r="FB75" s="435">
        <f t="shared" ref="FB75:FE75" si="307">FB27</f>
        <v>39.4</v>
      </c>
      <c r="FC75" s="435">
        <f t="shared" si="307"/>
        <v>0</v>
      </c>
      <c r="FD75" s="435">
        <f t="shared" si="307"/>
        <v>0</v>
      </c>
      <c r="FE75" s="435">
        <f t="shared" si="307"/>
        <v>0</v>
      </c>
    </row>
    <row r="76" spans="1:161">
      <c r="A76" s="107"/>
      <c r="B76" s="3749"/>
      <c r="C76" s="615">
        <v>5</v>
      </c>
      <c r="D76" s="435">
        <f>D32</f>
        <v>5.71</v>
      </c>
      <c r="E76" s="41" t="str">
        <f t="shared" ref="E76:O76" si="308">E32</f>
        <v>No Data</v>
      </c>
      <c r="F76" s="41" t="str">
        <f t="shared" si="308"/>
        <v>No Data</v>
      </c>
      <c r="G76" s="609" t="str">
        <f t="shared" si="308"/>
        <v>No Data</v>
      </c>
      <c r="H76" s="435">
        <f t="shared" si="308"/>
        <v>5.82</v>
      </c>
      <c r="I76" s="41">
        <f t="shared" si="308"/>
        <v>4.75</v>
      </c>
      <c r="J76" s="41">
        <f t="shared" si="308"/>
        <v>5.0999999999999996</v>
      </c>
      <c r="K76" s="609">
        <f t="shared" si="308"/>
        <v>5.54</v>
      </c>
      <c r="L76" s="570">
        <f t="shared" si="308"/>
        <v>6.94</v>
      </c>
      <c r="M76" s="41">
        <f t="shared" si="308"/>
        <v>7.14</v>
      </c>
      <c r="N76" s="41"/>
      <c r="O76" s="609">
        <f t="shared" si="308"/>
        <v>0</v>
      </c>
      <c r="P76" s="570">
        <f>P32</f>
        <v>6.19</v>
      </c>
      <c r="Q76" s="304">
        <v>5.78</v>
      </c>
      <c r="R76" s="570" t="str">
        <f t="shared" ref="R76" si="309">R32</f>
        <v>no data</v>
      </c>
      <c r="S76" s="304"/>
      <c r="T76" s="570"/>
      <c r="U76" s="570">
        <f t="shared" ref="U76" si="310">U32</f>
        <v>4.84</v>
      </c>
      <c r="V76" s="570">
        <f>V32</f>
        <v>3.55</v>
      </c>
      <c r="W76" s="570"/>
      <c r="X76" s="570">
        <f>X32</f>
        <v>5.99</v>
      </c>
      <c r="Y76" s="570">
        <f t="shared" ref="Y76:AA76" si="311">Y32</f>
        <v>4.04</v>
      </c>
      <c r="Z76" s="570">
        <f t="shared" si="311"/>
        <v>4.04</v>
      </c>
      <c r="AA76" s="570">
        <f t="shared" si="311"/>
        <v>4.8</v>
      </c>
      <c r="AB76" s="570">
        <f t="shared" ref="AB76:AE76" si="312">AB32</f>
        <v>6.27</v>
      </c>
      <c r="AC76" s="570">
        <f t="shared" si="312"/>
        <v>0</v>
      </c>
      <c r="AD76" s="570">
        <f t="shared" si="312"/>
        <v>0</v>
      </c>
      <c r="AE76" s="570">
        <f t="shared" si="312"/>
        <v>0</v>
      </c>
      <c r="AF76" s="107"/>
      <c r="AG76" s="107"/>
      <c r="AH76" s="3749"/>
      <c r="AI76" s="615">
        <v>5</v>
      </c>
      <c r="AJ76" s="435" t="str">
        <f>AJ32</f>
        <v>No Data</v>
      </c>
      <c r="AK76" s="41" t="str">
        <f t="shared" ref="AK76:AU76" si="313">AK32</f>
        <v>No Data</v>
      </c>
      <c r="AL76" s="41" t="str">
        <f t="shared" si="313"/>
        <v>No Data</v>
      </c>
      <c r="AM76" s="609" t="str">
        <f t="shared" si="313"/>
        <v>No Data</v>
      </c>
      <c r="AN76" s="435">
        <f t="shared" si="313"/>
        <v>10.050000000000001</v>
      </c>
      <c r="AO76" s="41">
        <f t="shared" si="313"/>
        <v>8.91</v>
      </c>
      <c r="AP76" s="41">
        <f t="shared" si="313"/>
        <v>8.76</v>
      </c>
      <c r="AQ76" s="609">
        <f t="shared" si="313"/>
        <v>8.89</v>
      </c>
      <c r="AR76" s="570">
        <f t="shared" si="313"/>
        <v>8.9499999999999993</v>
      </c>
      <c r="AS76" s="41">
        <f t="shared" si="313"/>
        <v>8.82</v>
      </c>
      <c r="AT76" s="41"/>
      <c r="AU76" s="614">
        <f t="shared" si="313"/>
        <v>0</v>
      </c>
      <c r="AV76" s="318">
        <v>9.08</v>
      </c>
      <c r="AW76" s="304">
        <v>8.99</v>
      </c>
      <c r="AX76" s="304">
        <v>8.92</v>
      </c>
      <c r="AY76" s="319"/>
      <c r="AZ76" s="319">
        <f>AZ32</f>
        <v>8.9700000000000006</v>
      </c>
      <c r="BA76" s="319">
        <f t="shared" ref="BA76:BC76" si="314">BA32</f>
        <v>9.07</v>
      </c>
      <c r="BB76" s="319">
        <f t="shared" si="314"/>
        <v>9.23</v>
      </c>
      <c r="BC76" s="319">
        <f t="shared" si="314"/>
        <v>0</v>
      </c>
      <c r="BD76" s="319">
        <f>BD32</f>
        <v>9.32</v>
      </c>
      <c r="BE76" s="319">
        <f t="shared" ref="BE76:BG76" si="315">BE32</f>
        <v>7.93</v>
      </c>
      <c r="BF76" s="319">
        <f t="shared" si="315"/>
        <v>7.05</v>
      </c>
      <c r="BG76" s="319">
        <f t="shared" si="315"/>
        <v>7.18</v>
      </c>
      <c r="BH76" s="319">
        <f t="shared" ref="BH76:BK76" si="316">BH32</f>
        <v>6.63</v>
      </c>
      <c r="BI76" s="319">
        <f t="shared" si="316"/>
        <v>0</v>
      </c>
      <c r="BJ76" s="319">
        <f t="shared" si="316"/>
        <v>0</v>
      </c>
      <c r="BK76" s="319">
        <f t="shared" si="316"/>
        <v>0</v>
      </c>
      <c r="BL76" s="107"/>
      <c r="BM76" s="107"/>
      <c r="BN76" s="3749"/>
      <c r="BO76" s="615">
        <v>5</v>
      </c>
      <c r="BP76" s="435" t="str">
        <f>BP32</f>
        <v>No Data</v>
      </c>
      <c r="BQ76" s="41" t="str">
        <f t="shared" ref="BQ76:BZ76" si="317">BQ32</f>
        <v>No Data</v>
      </c>
      <c r="BR76" s="41" t="str">
        <f t="shared" si="317"/>
        <v>No Data</v>
      </c>
      <c r="BS76" s="609" t="str">
        <f t="shared" si="317"/>
        <v>No Data</v>
      </c>
      <c r="BT76" s="435">
        <f t="shared" si="317"/>
        <v>0.28499999999999998</v>
      </c>
      <c r="BU76" s="41">
        <f t="shared" si="317"/>
        <v>0.622</v>
      </c>
      <c r="BV76" s="41">
        <f t="shared" si="317"/>
        <v>0.64600000000000002</v>
      </c>
      <c r="BW76" s="609">
        <f t="shared" si="317"/>
        <v>0</v>
      </c>
      <c r="BX76" s="435">
        <f t="shared" si="317"/>
        <v>0</v>
      </c>
      <c r="BY76" s="41">
        <f t="shared" si="317"/>
        <v>0.91700000000000004</v>
      </c>
      <c r="BZ76" s="41">
        <f t="shared" si="317"/>
        <v>0</v>
      </c>
      <c r="CA76" s="609"/>
      <c r="CB76" s="609">
        <f t="shared" ref="CB76:CG76" si="318">CB32</f>
        <v>0.17</v>
      </c>
      <c r="CC76" s="609"/>
      <c r="CD76" s="609"/>
      <c r="CE76" s="609"/>
      <c r="CF76" s="609"/>
      <c r="CG76" s="609">
        <f t="shared" si="318"/>
        <v>0.152</v>
      </c>
      <c r="CH76" s="609">
        <f t="shared" ref="CH76:CI76" si="319">CH32</f>
        <v>0</v>
      </c>
      <c r="CI76" s="609">
        <f t="shared" si="319"/>
        <v>0</v>
      </c>
      <c r="CJ76" s="609"/>
      <c r="CK76" s="609"/>
      <c r="CL76" s="609"/>
      <c r="CM76" s="609"/>
      <c r="CN76" s="609" t="str">
        <f>CN32</f>
        <v>&lt;0.013</v>
      </c>
      <c r="CO76" s="609">
        <f t="shared" ref="CO76:CQ76" si="320">CO32</f>
        <v>0</v>
      </c>
      <c r="CP76" s="609">
        <f t="shared" si="320"/>
        <v>0</v>
      </c>
      <c r="CQ76" s="609">
        <f t="shared" si="320"/>
        <v>0</v>
      </c>
      <c r="CR76" s="107"/>
      <c r="CS76" s="107"/>
      <c r="CT76" s="107"/>
      <c r="CU76" s="3749"/>
      <c r="CV76" s="615">
        <v>5</v>
      </c>
      <c r="CW76" s="435">
        <f>CW32</f>
        <v>0</v>
      </c>
      <c r="CX76" s="41">
        <f t="shared" ref="CX76:DH76" si="321">CX32</f>
        <v>0</v>
      </c>
      <c r="CY76" s="41">
        <f t="shared" si="321"/>
        <v>0</v>
      </c>
      <c r="CZ76" s="609">
        <f t="shared" si="321"/>
        <v>0</v>
      </c>
      <c r="DA76" s="435">
        <f t="shared" si="321"/>
        <v>2.59</v>
      </c>
      <c r="DB76" s="41">
        <f t="shared" si="321"/>
        <v>2.5499999999999998</v>
      </c>
      <c r="DC76" s="41">
        <f t="shared" si="321"/>
        <v>2.4300000000000002</v>
      </c>
      <c r="DD76" s="609">
        <f t="shared" si="321"/>
        <v>0</v>
      </c>
      <c r="DE76" s="435">
        <f t="shared" si="321"/>
        <v>2.6</v>
      </c>
      <c r="DF76" s="41">
        <f t="shared" si="321"/>
        <v>2.66</v>
      </c>
      <c r="DG76" s="41"/>
      <c r="DH76" s="609">
        <f t="shared" si="321"/>
        <v>0</v>
      </c>
      <c r="DI76" s="609">
        <f t="shared" ref="DI76:DP76" si="322">DI32</f>
        <v>2.56</v>
      </c>
      <c r="DJ76" s="609">
        <f t="shared" si="322"/>
        <v>2.6</v>
      </c>
      <c r="DK76" s="609">
        <f t="shared" si="322"/>
        <v>2.4500000000000002</v>
      </c>
      <c r="DL76" s="609"/>
      <c r="DM76" s="609">
        <f t="shared" si="322"/>
        <v>2.4900000000000002</v>
      </c>
      <c r="DN76" s="609">
        <f t="shared" si="322"/>
        <v>2.6</v>
      </c>
      <c r="DO76" s="609">
        <f t="shared" si="322"/>
        <v>2.5099999999999998</v>
      </c>
      <c r="DP76" s="609">
        <f t="shared" si="322"/>
        <v>0</v>
      </c>
      <c r="DQ76" s="609">
        <f>DQ32</f>
        <v>2.5499999999999998</v>
      </c>
      <c r="DR76" s="609">
        <f t="shared" ref="DR76:DT76" si="323">DR32</f>
        <v>2.5499999999999998</v>
      </c>
      <c r="DS76" s="609">
        <f t="shared" si="323"/>
        <v>2.5299999999999998</v>
      </c>
      <c r="DT76" s="609">
        <f t="shared" si="323"/>
        <v>2.56</v>
      </c>
      <c r="DU76" s="609">
        <f t="shared" ref="DU76:DX76" si="324">DU32</f>
        <v>2.54</v>
      </c>
      <c r="DV76" s="609">
        <f t="shared" si="324"/>
        <v>0</v>
      </c>
      <c r="DW76" s="609">
        <f t="shared" si="324"/>
        <v>0</v>
      </c>
      <c r="DX76" s="609">
        <f t="shared" si="324"/>
        <v>0</v>
      </c>
      <c r="DY76" s="107"/>
      <c r="DZ76" s="107"/>
      <c r="EA76" s="107"/>
      <c r="EB76" s="3749"/>
      <c r="EC76" s="615">
        <v>5</v>
      </c>
      <c r="ED76" s="435">
        <f>ED32</f>
        <v>0</v>
      </c>
      <c r="EE76" s="41">
        <f t="shared" ref="EE76:EO76" si="325">EE32</f>
        <v>0</v>
      </c>
      <c r="EF76" s="41">
        <f t="shared" si="325"/>
        <v>0</v>
      </c>
      <c r="EG76" s="609">
        <f t="shared" si="325"/>
        <v>0</v>
      </c>
      <c r="EH76" s="435">
        <f t="shared" si="325"/>
        <v>40.299999999999997</v>
      </c>
      <c r="EI76" s="41">
        <f t="shared" si="325"/>
        <v>39.700000000000003</v>
      </c>
      <c r="EJ76" s="41">
        <f t="shared" si="325"/>
        <v>38</v>
      </c>
      <c r="EK76" s="609">
        <f t="shared" si="325"/>
        <v>0</v>
      </c>
      <c r="EL76" s="435">
        <f t="shared" si="325"/>
        <v>40.799999999999997</v>
      </c>
      <c r="EM76" s="41">
        <f t="shared" si="325"/>
        <v>41.4</v>
      </c>
      <c r="EN76" s="41"/>
      <c r="EO76" s="609">
        <f t="shared" si="325"/>
        <v>0</v>
      </c>
      <c r="EP76" s="609">
        <f t="shared" ref="EP76:EQ76" si="326">EP32</f>
        <v>39.9</v>
      </c>
      <c r="EQ76" s="609">
        <f t="shared" si="326"/>
        <v>40.5</v>
      </c>
      <c r="ER76" s="609">
        <f t="shared" ref="ER76:EW76" si="327">ER32</f>
        <v>38.299999999999997</v>
      </c>
      <c r="ES76" s="614">
        <f t="shared" si="327"/>
        <v>0</v>
      </c>
      <c r="ET76" s="435">
        <f t="shared" si="327"/>
        <v>38.9</v>
      </c>
      <c r="EU76" s="41">
        <f t="shared" si="327"/>
        <v>40.5</v>
      </c>
      <c r="EV76" s="41">
        <f t="shared" si="327"/>
        <v>39.1</v>
      </c>
      <c r="EW76" s="609">
        <f t="shared" si="327"/>
        <v>0</v>
      </c>
      <c r="EX76" s="435">
        <f>EX32</f>
        <v>39.700000000000003</v>
      </c>
      <c r="EY76" s="435">
        <f t="shared" ref="EY76:FA76" si="328">EY32</f>
        <v>39.700000000000003</v>
      </c>
      <c r="EZ76" s="435">
        <f t="shared" si="328"/>
        <v>39.4</v>
      </c>
      <c r="FA76" s="435">
        <f t="shared" si="328"/>
        <v>39.799999999999997</v>
      </c>
      <c r="FB76" s="435">
        <f t="shared" ref="FB76:FE76" si="329">FB32</f>
        <v>39.5</v>
      </c>
      <c r="FC76" s="435">
        <f t="shared" si="329"/>
        <v>0</v>
      </c>
      <c r="FD76" s="435">
        <f t="shared" si="329"/>
        <v>0</v>
      </c>
      <c r="FE76" s="435">
        <f t="shared" si="329"/>
        <v>0</v>
      </c>
    </row>
    <row r="77" spans="1:161">
      <c r="A77" s="107"/>
      <c r="B77" s="3749"/>
      <c r="C77" s="615">
        <v>6</v>
      </c>
      <c r="D77" s="435">
        <f>D37</f>
        <v>6.89</v>
      </c>
      <c r="E77" s="41" t="str">
        <f t="shared" ref="E77:O77" si="330">E37</f>
        <v>No Data</v>
      </c>
      <c r="F77" s="41">
        <f t="shared" si="330"/>
        <v>4.83</v>
      </c>
      <c r="G77" s="609">
        <f t="shared" si="330"/>
        <v>3.32</v>
      </c>
      <c r="H77" s="435">
        <f t="shared" si="330"/>
        <v>5.08</v>
      </c>
      <c r="I77" s="41">
        <f t="shared" si="330"/>
        <v>4.2</v>
      </c>
      <c r="J77" s="41">
        <f t="shared" si="330"/>
        <v>3.69</v>
      </c>
      <c r="K77" s="609">
        <f t="shared" si="330"/>
        <v>6.19</v>
      </c>
      <c r="L77" s="570">
        <f t="shared" si="330"/>
        <v>6.18</v>
      </c>
      <c r="M77" s="41">
        <f t="shared" si="330"/>
        <v>7.18</v>
      </c>
      <c r="N77" s="41"/>
      <c r="O77" s="609">
        <f t="shared" si="330"/>
        <v>0</v>
      </c>
      <c r="P77" s="570">
        <f>P37</f>
        <v>6.02</v>
      </c>
      <c r="Q77" s="304">
        <v>6.63</v>
      </c>
      <c r="R77" s="570" t="str">
        <f t="shared" ref="R77" si="331">R37</f>
        <v>no data</v>
      </c>
      <c r="S77" s="304"/>
      <c r="T77" s="570"/>
      <c r="U77" s="570">
        <f t="shared" ref="U77" si="332">U37</f>
        <v>5.71</v>
      </c>
      <c r="V77" s="570">
        <f>V37</f>
        <v>4.03</v>
      </c>
      <c r="W77" s="570"/>
      <c r="X77" s="570">
        <f>X37</f>
        <v>8.0399999999999991</v>
      </c>
      <c r="Y77" s="570">
        <f t="shared" ref="Y77:AA77" si="333">Y37</f>
        <v>4.3899999999999997</v>
      </c>
      <c r="Z77" s="570">
        <f t="shared" si="333"/>
        <v>4.26</v>
      </c>
      <c r="AA77" s="570">
        <f t="shared" si="333"/>
        <v>5.59</v>
      </c>
      <c r="AB77" s="570">
        <f t="shared" ref="AB77:AE77" si="334">AB37</f>
        <v>6.03</v>
      </c>
      <c r="AC77" s="570">
        <f t="shared" si="334"/>
        <v>0</v>
      </c>
      <c r="AD77" s="570">
        <f t="shared" si="334"/>
        <v>0</v>
      </c>
      <c r="AE77" s="570">
        <f t="shared" si="334"/>
        <v>0</v>
      </c>
      <c r="AF77" s="107"/>
      <c r="AG77" s="107"/>
      <c r="AH77" s="3749"/>
      <c r="AI77" s="615">
        <v>6</v>
      </c>
      <c r="AJ77" s="435" t="str">
        <f>AJ37</f>
        <v>No Data</v>
      </c>
      <c r="AK77" s="41" t="str">
        <f t="shared" ref="AK77:AU77" si="335">AK37</f>
        <v>No Data</v>
      </c>
      <c r="AL77" s="41" t="str">
        <f t="shared" si="335"/>
        <v>No Data</v>
      </c>
      <c r="AM77" s="609">
        <f t="shared" si="335"/>
        <v>9.68</v>
      </c>
      <c r="AN77" s="435">
        <f t="shared" si="335"/>
        <v>9.9700000000000006</v>
      </c>
      <c r="AO77" s="41">
        <f t="shared" si="335"/>
        <v>8.85</v>
      </c>
      <c r="AP77" s="41">
        <f t="shared" si="335"/>
        <v>8.9499999999999993</v>
      </c>
      <c r="AQ77" s="609">
        <f t="shared" si="335"/>
        <v>8.8699999999999992</v>
      </c>
      <c r="AR77" s="570">
        <f t="shared" si="335"/>
        <v>8.84</v>
      </c>
      <c r="AS77" s="41">
        <f t="shared" si="335"/>
        <v>8.9600000000000009</v>
      </c>
      <c r="AT77" s="41"/>
      <c r="AU77" s="614">
        <f t="shared" si="335"/>
        <v>0</v>
      </c>
      <c r="AV77" s="318">
        <v>8.9499999999999993</v>
      </c>
      <c r="AW77" s="304">
        <v>8.9700000000000006</v>
      </c>
      <c r="AX77" s="304">
        <v>9.06</v>
      </c>
      <c r="AY77" s="319"/>
      <c r="AZ77" s="319">
        <f>AZ37</f>
        <v>8.9600000000000009</v>
      </c>
      <c r="BA77" s="319">
        <f t="shared" ref="BA77:BC77" si="336">BA37</f>
        <v>8.9499999999999993</v>
      </c>
      <c r="BB77" s="319">
        <f t="shared" si="336"/>
        <v>9.2899999999999991</v>
      </c>
      <c r="BC77" s="319">
        <f t="shared" si="336"/>
        <v>0</v>
      </c>
      <c r="BD77" s="319">
        <f>BD37</f>
        <v>9.3699999999999992</v>
      </c>
      <c r="BE77" s="319">
        <f t="shared" ref="BE77:BG77" si="337">BE37</f>
        <v>8</v>
      </c>
      <c r="BF77" s="319">
        <f t="shared" si="337"/>
        <v>7.01</v>
      </c>
      <c r="BG77" s="319">
        <f t="shared" si="337"/>
        <v>7.16</v>
      </c>
      <c r="BH77" s="319">
        <f t="shared" ref="BH77:BK77" si="338">BH37</f>
        <v>8.25</v>
      </c>
      <c r="BI77" s="319">
        <f t="shared" si="338"/>
        <v>0</v>
      </c>
      <c r="BJ77" s="319">
        <f t="shared" si="338"/>
        <v>0</v>
      </c>
      <c r="BK77" s="319">
        <f t="shared" si="338"/>
        <v>0</v>
      </c>
      <c r="BL77" s="107"/>
      <c r="BM77" s="107"/>
      <c r="BN77" s="3749"/>
      <c r="BO77" s="615">
        <v>6</v>
      </c>
      <c r="BP77" s="435" t="str">
        <f>BP37</f>
        <v>No Data</v>
      </c>
      <c r="BQ77" s="41" t="str">
        <f t="shared" ref="BQ77:BZ77" si="339">BQ37</f>
        <v>No Data</v>
      </c>
      <c r="BR77" s="41" t="str">
        <f t="shared" si="339"/>
        <v>No Data</v>
      </c>
      <c r="BS77" s="609" t="str">
        <f t="shared" si="339"/>
        <v>No Data</v>
      </c>
      <c r="BT77" s="435">
        <f t="shared" si="339"/>
        <v>0.27</v>
      </c>
      <c r="BU77" s="41">
        <f t="shared" si="339"/>
        <v>0.65600000000000003</v>
      </c>
      <c r="BV77" s="41">
        <f t="shared" si="339"/>
        <v>0.91600000000000004</v>
      </c>
      <c r="BW77" s="609">
        <f t="shared" si="339"/>
        <v>0</v>
      </c>
      <c r="BX77" s="435">
        <f t="shared" si="339"/>
        <v>0</v>
      </c>
      <c r="BY77" s="41">
        <f t="shared" si="339"/>
        <v>0.88800000000000001</v>
      </c>
      <c r="BZ77" s="41">
        <f t="shared" si="339"/>
        <v>0</v>
      </c>
      <c r="CA77" s="609"/>
      <c r="CB77" s="609">
        <f t="shared" ref="CB77:CG77" si="340">CB37</f>
        <v>0.17</v>
      </c>
      <c r="CC77" s="609"/>
      <c r="CD77" s="609"/>
      <c r="CE77" s="609"/>
      <c r="CF77" s="609"/>
      <c r="CG77" s="609">
        <f t="shared" si="340"/>
        <v>0.17499999999999999</v>
      </c>
      <c r="CH77" s="609">
        <f t="shared" ref="CH77:CI77" si="341">CH37</f>
        <v>0</v>
      </c>
      <c r="CI77" s="609">
        <f t="shared" si="341"/>
        <v>0</v>
      </c>
      <c r="CJ77" s="609"/>
      <c r="CK77" s="609"/>
      <c r="CL77" s="609"/>
      <c r="CM77" s="609"/>
      <c r="CN77" s="609">
        <f>CN37</f>
        <v>1.2999999999999999E-2</v>
      </c>
      <c r="CO77" s="609">
        <f t="shared" ref="CO77:CQ77" si="342">CO37</f>
        <v>0</v>
      </c>
      <c r="CP77" s="609">
        <f t="shared" si="342"/>
        <v>0</v>
      </c>
      <c r="CQ77" s="609">
        <f t="shared" si="342"/>
        <v>0</v>
      </c>
      <c r="CR77" s="107"/>
      <c r="CS77" s="107"/>
      <c r="CT77" s="107"/>
      <c r="CU77" s="3749"/>
      <c r="CV77" s="615">
        <v>6</v>
      </c>
      <c r="CW77" s="435">
        <f>CW37</f>
        <v>0</v>
      </c>
      <c r="CX77" s="41">
        <f t="shared" ref="CX77:DH77" si="343">CX37</f>
        <v>0</v>
      </c>
      <c r="CY77" s="41">
        <f t="shared" si="343"/>
        <v>0</v>
      </c>
      <c r="CZ77" s="609">
        <f t="shared" si="343"/>
        <v>2.58</v>
      </c>
      <c r="DA77" s="435">
        <f t="shared" si="343"/>
        <v>2.61</v>
      </c>
      <c r="DB77" s="41">
        <f t="shared" si="343"/>
        <v>2.5</v>
      </c>
      <c r="DC77" s="41">
        <f t="shared" si="343"/>
        <v>2.4</v>
      </c>
      <c r="DD77" s="609">
        <f t="shared" si="343"/>
        <v>0</v>
      </c>
      <c r="DE77" s="435">
        <f t="shared" si="343"/>
        <v>2.62</v>
      </c>
      <c r="DF77" s="41">
        <f t="shared" si="343"/>
        <v>2.59</v>
      </c>
      <c r="DG77" s="41"/>
      <c r="DH77" s="609">
        <f t="shared" si="343"/>
        <v>0</v>
      </c>
      <c r="DI77" s="609">
        <f t="shared" ref="DI77:DP77" si="344">DI37</f>
        <v>2.5499999999999998</v>
      </c>
      <c r="DJ77" s="609">
        <f t="shared" si="344"/>
        <v>2.62</v>
      </c>
      <c r="DK77" s="609">
        <f t="shared" si="344"/>
        <v>2.41</v>
      </c>
      <c r="DL77" s="609"/>
      <c r="DM77" s="609">
        <f t="shared" si="344"/>
        <v>2.4900000000000002</v>
      </c>
      <c r="DN77" s="609">
        <f t="shared" si="344"/>
        <v>2.6</v>
      </c>
      <c r="DO77" s="609">
        <f t="shared" si="344"/>
        <v>2.52</v>
      </c>
      <c r="DP77" s="609">
        <f t="shared" si="344"/>
        <v>0</v>
      </c>
      <c r="DQ77" s="609">
        <f>DQ37</f>
        <v>2.57</v>
      </c>
      <c r="DR77" s="609">
        <f t="shared" ref="DR77:DT77" si="345">DR37</f>
        <v>2.58</v>
      </c>
      <c r="DS77" s="609">
        <f t="shared" si="345"/>
        <v>2.5499999999999998</v>
      </c>
      <c r="DT77" s="609">
        <f t="shared" si="345"/>
        <v>2.56</v>
      </c>
      <c r="DU77" s="609">
        <f t="shared" ref="DU77:DX77" si="346">DU37</f>
        <v>2.5299999999999998</v>
      </c>
      <c r="DV77" s="609">
        <f t="shared" si="346"/>
        <v>0</v>
      </c>
      <c r="DW77" s="609">
        <f t="shared" si="346"/>
        <v>0</v>
      </c>
      <c r="DX77" s="609">
        <f t="shared" si="346"/>
        <v>0</v>
      </c>
      <c r="DY77" s="107"/>
      <c r="DZ77" s="107"/>
      <c r="EA77" s="107"/>
      <c r="EB77" s="3749"/>
      <c r="EC77" s="615">
        <v>6</v>
      </c>
      <c r="ED77" s="435">
        <f>ED37</f>
        <v>0</v>
      </c>
      <c r="EE77" s="41">
        <f t="shared" ref="EE77:EO77" si="347">EE37</f>
        <v>0</v>
      </c>
      <c r="EF77" s="41">
        <f t="shared" si="347"/>
        <v>0</v>
      </c>
      <c r="EG77" s="609">
        <f t="shared" si="347"/>
        <v>40.200000000000003</v>
      </c>
      <c r="EH77" s="435">
        <f t="shared" si="347"/>
        <v>40.6</v>
      </c>
      <c r="EI77" s="41">
        <f t="shared" si="347"/>
        <v>39.1</v>
      </c>
      <c r="EJ77" s="41">
        <f t="shared" si="347"/>
        <v>37.6</v>
      </c>
      <c r="EK77" s="609">
        <f t="shared" si="347"/>
        <v>0</v>
      </c>
      <c r="EL77" s="435">
        <f t="shared" si="347"/>
        <v>40.9</v>
      </c>
      <c r="EM77" s="41">
        <f t="shared" si="347"/>
        <v>40.4</v>
      </c>
      <c r="EN77" s="41"/>
      <c r="EO77" s="609">
        <f t="shared" si="347"/>
        <v>0</v>
      </c>
      <c r="EP77" s="609">
        <f t="shared" ref="EP77:EQ77" si="348">EP37</f>
        <v>39.799999999999997</v>
      </c>
      <c r="EQ77" s="609">
        <f t="shared" si="348"/>
        <v>40.700000000000003</v>
      </c>
      <c r="ER77" s="609">
        <f t="shared" ref="ER77:EW77" si="349">ER37</f>
        <v>37.799999999999997</v>
      </c>
      <c r="ES77" s="614">
        <f t="shared" si="349"/>
        <v>0</v>
      </c>
      <c r="ET77" s="435">
        <f t="shared" si="349"/>
        <v>38.799999999999997</v>
      </c>
      <c r="EU77" s="41">
        <f t="shared" si="349"/>
        <v>40.299999999999997</v>
      </c>
      <c r="EV77" s="41">
        <f t="shared" si="349"/>
        <v>39.200000000000003</v>
      </c>
      <c r="EW77" s="609">
        <f t="shared" si="349"/>
        <v>0</v>
      </c>
      <c r="EX77" s="435">
        <f>EX37</f>
        <v>40.1</v>
      </c>
      <c r="EY77" s="435">
        <f t="shared" ref="EY77:FA77" si="350">EY37</f>
        <v>40.1</v>
      </c>
      <c r="EZ77" s="435">
        <f t="shared" si="350"/>
        <v>39.700000000000003</v>
      </c>
      <c r="FA77" s="435">
        <f t="shared" si="350"/>
        <v>39.799999999999997</v>
      </c>
      <c r="FB77" s="435">
        <f t="shared" ref="FB77:FE77" si="351">FB37</f>
        <v>39.5</v>
      </c>
      <c r="FC77" s="435">
        <f t="shared" si="351"/>
        <v>0</v>
      </c>
      <c r="FD77" s="435">
        <f t="shared" si="351"/>
        <v>0</v>
      </c>
      <c r="FE77" s="435">
        <f t="shared" si="351"/>
        <v>0</v>
      </c>
    </row>
    <row r="78" spans="1:161">
      <c r="A78" s="107"/>
      <c r="B78" s="3749"/>
      <c r="C78" s="615">
        <v>7</v>
      </c>
      <c r="D78" s="435">
        <f>D42</f>
        <v>6.23</v>
      </c>
      <c r="E78" s="41" t="str">
        <f t="shared" ref="E78:O78" si="352">E42</f>
        <v>No Data</v>
      </c>
      <c r="F78" s="41" t="str">
        <f t="shared" si="352"/>
        <v>No Data</v>
      </c>
      <c r="G78" s="609">
        <f t="shared" si="352"/>
        <v>4.87</v>
      </c>
      <c r="H78" s="435">
        <f t="shared" si="352"/>
        <v>4.8499999999999996</v>
      </c>
      <c r="I78" s="41">
        <f t="shared" si="352"/>
        <v>5.08</v>
      </c>
      <c r="J78" s="41">
        <f t="shared" si="352"/>
        <v>2.15</v>
      </c>
      <c r="K78" s="609">
        <f t="shared" si="352"/>
        <v>5.37</v>
      </c>
      <c r="L78" s="570">
        <f t="shared" si="352"/>
        <v>5.89</v>
      </c>
      <c r="M78" s="41">
        <f t="shared" si="352"/>
        <v>8.1199999999999992</v>
      </c>
      <c r="N78" s="41"/>
      <c r="O78" s="609">
        <f t="shared" si="352"/>
        <v>0</v>
      </c>
      <c r="P78" s="570">
        <f>P42</f>
        <v>5.6</v>
      </c>
      <c r="Q78" s="304">
        <v>6.4</v>
      </c>
      <c r="R78" s="570" t="str">
        <f t="shared" ref="R78" si="353">R42</f>
        <v>no data</v>
      </c>
      <c r="S78" s="304"/>
      <c r="T78" s="570"/>
      <c r="U78" s="570">
        <f t="shared" ref="U78" si="354">U42</f>
        <v>5.15</v>
      </c>
      <c r="V78" s="570">
        <f>V42</f>
        <v>5.01</v>
      </c>
      <c r="W78" s="570"/>
      <c r="X78" s="570">
        <f>X42</f>
        <v>7.04</v>
      </c>
      <c r="Y78" s="570">
        <f t="shared" ref="Y78:AA78" si="355">Y42</f>
        <v>6.41</v>
      </c>
      <c r="Z78" s="570">
        <f t="shared" si="355"/>
        <v>3.02</v>
      </c>
      <c r="AA78" s="570">
        <f t="shared" si="355"/>
        <v>5.49</v>
      </c>
      <c r="AB78" s="570">
        <f t="shared" ref="AB78:AE78" si="356">AB42</f>
        <v>6.51</v>
      </c>
      <c r="AC78" s="570">
        <f t="shared" si="356"/>
        <v>0</v>
      </c>
      <c r="AD78" s="570">
        <f t="shared" si="356"/>
        <v>0</v>
      </c>
      <c r="AE78" s="570">
        <f t="shared" si="356"/>
        <v>0</v>
      </c>
      <c r="AF78" s="107"/>
      <c r="AG78" s="107"/>
      <c r="AH78" s="3749"/>
      <c r="AI78" s="615">
        <v>7</v>
      </c>
      <c r="AJ78" s="435" t="str">
        <f>AJ42</f>
        <v>No Data</v>
      </c>
      <c r="AK78" s="41" t="str">
        <f t="shared" ref="AK78:AU78" si="357">AK42</f>
        <v>No Data</v>
      </c>
      <c r="AL78" s="41" t="str">
        <f t="shared" si="357"/>
        <v>No Data</v>
      </c>
      <c r="AM78" s="609">
        <f t="shared" si="357"/>
        <v>9.81</v>
      </c>
      <c r="AN78" s="435">
        <f t="shared" si="357"/>
        <v>9.9600000000000009</v>
      </c>
      <c r="AO78" s="41">
        <f t="shared" si="357"/>
        <v>8.8800000000000008</v>
      </c>
      <c r="AP78" s="41">
        <f t="shared" si="357"/>
        <v>8.85</v>
      </c>
      <c r="AQ78" s="609">
        <f t="shared" si="357"/>
        <v>8.99</v>
      </c>
      <c r="AR78" s="570">
        <f t="shared" si="357"/>
        <v>8.91</v>
      </c>
      <c r="AS78" s="41">
        <f t="shared" si="357"/>
        <v>8.99</v>
      </c>
      <c r="AT78" s="41"/>
      <c r="AU78" s="614">
        <f t="shared" si="357"/>
        <v>0</v>
      </c>
      <c r="AV78" s="318">
        <v>5.6</v>
      </c>
      <c r="AW78" s="304">
        <v>8.89</v>
      </c>
      <c r="AX78" s="387" t="s">
        <v>109</v>
      </c>
      <c r="AY78" s="319"/>
      <c r="AZ78" s="319">
        <f>AZ42</f>
        <v>8.9499999999999993</v>
      </c>
      <c r="BA78" s="319">
        <f t="shared" ref="BA78:BC78" si="358">BA42</f>
        <v>9.02</v>
      </c>
      <c r="BB78" s="319">
        <f t="shared" si="358"/>
        <v>9.39</v>
      </c>
      <c r="BC78" s="319">
        <f t="shared" si="358"/>
        <v>0</v>
      </c>
      <c r="BD78" s="319">
        <f>BD42</f>
        <v>9.41</v>
      </c>
      <c r="BE78" s="319">
        <f t="shared" ref="BE78:BG78" si="359">BE42</f>
        <v>8.1300000000000008</v>
      </c>
      <c r="BF78" s="319">
        <f t="shared" si="359"/>
        <v>6.92</v>
      </c>
      <c r="BG78" s="319">
        <f t="shared" si="359"/>
        <v>6.97</v>
      </c>
      <c r="BH78" s="319">
        <f t="shared" ref="BH78:BK78" si="360">BH42</f>
        <v>8.25</v>
      </c>
      <c r="BI78" s="319">
        <f t="shared" si="360"/>
        <v>0</v>
      </c>
      <c r="BJ78" s="319">
        <f t="shared" si="360"/>
        <v>0</v>
      </c>
      <c r="BK78" s="319">
        <f t="shared" si="360"/>
        <v>0</v>
      </c>
      <c r="BL78" s="107"/>
      <c r="BM78" s="107"/>
      <c r="BN78" s="3749"/>
      <c r="BO78" s="615">
        <v>7</v>
      </c>
      <c r="BP78" s="435" t="str">
        <f>BP42</f>
        <v>No Data</v>
      </c>
      <c r="BQ78" s="41" t="str">
        <f t="shared" ref="BQ78:BZ78" si="361">BQ42</f>
        <v>No Data</v>
      </c>
      <c r="BR78" s="41" t="str">
        <f t="shared" si="361"/>
        <v>No Data</v>
      </c>
      <c r="BS78" s="609" t="str">
        <f t="shared" si="361"/>
        <v>No Data</v>
      </c>
      <c r="BT78" s="435">
        <f t="shared" si="361"/>
        <v>0.27</v>
      </c>
      <c r="BU78" s="41">
        <f t="shared" si="361"/>
        <v>0.64600000000000002</v>
      </c>
      <c r="BV78" s="41">
        <f t="shared" si="361"/>
        <v>0.58699999999999997</v>
      </c>
      <c r="BW78" s="609">
        <f t="shared" si="361"/>
        <v>0</v>
      </c>
      <c r="BX78" s="435">
        <f t="shared" si="361"/>
        <v>0</v>
      </c>
      <c r="BY78" s="41">
        <f t="shared" si="361"/>
        <v>0.877</v>
      </c>
      <c r="BZ78" s="41">
        <f t="shared" si="361"/>
        <v>0</v>
      </c>
      <c r="CA78" s="609"/>
      <c r="CB78" s="609">
        <f t="shared" ref="CB78:CG78" si="362">CB42</f>
        <v>0.17</v>
      </c>
      <c r="CC78" s="609"/>
      <c r="CD78" s="609"/>
      <c r="CE78" s="609"/>
      <c r="CF78" s="609"/>
      <c r="CG78" s="609">
        <f t="shared" si="362"/>
        <v>0.112</v>
      </c>
      <c r="CH78" s="609">
        <f t="shared" ref="CH78:CI78" si="363">CH42</f>
        <v>0</v>
      </c>
      <c r="CI78" s="609">
        <f t="shared" si="363"/>
        <v>0</v>
      </c>
      <c r="CJ78" s="609"/>
      <c r="CK78" s="609"/>
      <c r="CL78" s="609"/>
      <c r="CM78" s="609"/>
      <c r="CN78" s="609">
        <f>CN42</f>
        <v>2.5999999999999999E-2</v>
      </c>
      <c r="CO78" s="609">
        <f t="shared" ref="CO78:CQ78" si="364">CO42</f>
        <v>0</v>
      </c>
      <c r="CP78" s="609">
        <f t="shared" si="364"/>
        <v>0</v>
      </c>
      <c r="CQ78" s="609">
        <f t="shared" si="364"/>
        <v>0</v>
      </c>
      <c r="CR78" s="107"/>
      <c r="CS78" s="107"/>
      <c r="CT78" s="107"/>
      <c r="CU78" s="3749"/>
      <c r="CV78" s="615">
        <v>7</v>
      </c>
      <c r="CW78" s="435">
        <f>CW42</f>
        <v>0</v>
      </c>
      <c r="CX78" s="41">
        <f t="shared" ref="CX78:DH78" si="365">CX42</f>
        <v>0</v>
      </c>
      <c r="CY78" s="41">
        <f t="shared" si="365"/>
        <v>0</v>
      </c>
      <c r="CZ78" s="609">
        <f t="shared" si="365"/>
        <v>2.57</v>
      </c>
      <c r="DA78" s="435">
        <f t="shared" si="365"/>
        <v>2.61</v>
      </c>
      <c r="DB78" s="41">
        <f t="shared" si="365"/>
        <v>2.4700000000000002</v>
      </c>
      <c r="DC78" s="41">
        <f t="shared" si="365"/>
        <v>2.37</v>
      </c>
      <c r="DD78" s="609">
        <f t="shared" si="365"/>
        <v>0</v>
      </c>
      <c r="DE78" s="435">
        <f t="shared" si="365"/>
        <v>2.64</v>
      </c>
      <c r="DF78" s="41">
        <f t="shared" si="365"/>
        <v>2.57</v>
      </c>
      <c r="DG78" s="41"/>
      <c r="DH78" s="609">
        <f t="shared" si="365"/>
        <v>0</v>
      </c>
      <c r="DI78" s="609">
        <f t="shared" ref="DI78:DP78" si="366">DI42</f>
        <v>2.54</v>
      </c>
      <c r="DJ78" s="609">
        <f t="shared" si="366"/>
        <v>2.6</v>
      </c>
      <c r="DK78" s="609" t="str">
        <f t="shared" si="366"/>
        <v>no data</v>
      </c>
      <c r="DL78" s="609"/>
      <c r="DM78" s="609">
        <f t="shared" si="366"/>
        <v>2.4900000000000002</v>
      </c>
      <c r="DN78" s="609">
        <f t="shared" si="366"/>
        <v>2.59</v>
      </c>
      <c r="DO78" s="609">
        <f t="shared" si="366"/>
        <v>2.4500000000000002</v>
      </c>
      <c r="DP78" s="609">
        <f t="shared" si="366"/>
        <v>0</v>
      </c>
      <c r="DQ78" s="609">
        <f>DQ42</f>
        <v>2.58</v>
      </c>
      <c r="DR78" s="609">
        <f t="shared" ref="DR78:DT78" si="367">DR42</f>
        <v>2.4700000000000002</v>
      </c>
      <c r="DS78" s="609">
        <f t="shared" si="367"/>
        <v>2.5099999999999998</v>
      </c>
      <c r="DT78" s="609">
        <f t="shared" si="367"/>
        <v>2.56</v>
      </c>
      <c r="DU78" s="609">
        <f t="shared" ref="DU78:DX78" si="368">DU42</f>
        <v>2.5</v>
      </c>
      <c r="DV78" s="609">
        <f t="shared" si="368"/>
        <v>0</v>
      </c>
      <c r="DW78" s="609">
        <f t="shared" si="368"/>
        <v>0</v>
      </c>
      <c r="DX78" s="609">
        <f t="shared" si="368"/>
        <v>0</v>
      </c>
      <c r="DY78" s="107"/>
      <c r="DZ78" s="107"/>
      <c r="EA78" s="107"/>
      <c r="EB78" s="3749"/>
      <c r="EC78" s="615">
        <v>7</v>
      </c>
      <c r="ED78" s="435">
        <f>ED42</f>
        <v>0</v>
      </c>
      <c r="EE78" s="41">
        <f t="shared" ref="EE78:EO78" si="369">EE42</f>
        <v>0</v>
      </c>
      <c r="EF78" s="41">
        <f t="shared" si="369"/>
        <v>0</v>
      </c>
      <c r="EG78" s="609">
        <f t="shared" si="369"/>
        <v>40</v>
      </c>
      <c r="EH78" s="435">
        <f t="shared" si="369"/>
        <v>40.6</v>
      </c>
      <c r="EI78" s="41">
        <f t="shared" si="369"/>
        <v>38.700000000000003</v>
      </c>
      <c r="EJ78" s="41">
        <f t="shared" si="369"/>
        <v>37.1</v>
      </c>
      <c r="EK78" s="609">
        <f t="shared" si="369"/>
        <v>0</v>
      </c>
      <c r="EL78" s="435">
        <f t="shared" si="369"/>
        <v>41</v>
      </c>
      <c r="EM78" s="41">
        <f t="shared" si="369"/>
        <v>40.200000000000003</v>
      </c>
      <c r="EN78" s="41"/>
      <c r="EO78" s="609">
        <f t="shared" si="369"/>
        <v>0</v>
      </c>
      <c r="EP78" s="609">
        <f t="shared" ref="EP78:EQ78" si="370">EP42</f>
        <v>39.700000000000003</v>
      </c>
      <c r="EQ78" s="609">
        <f t="shared" si="370"/>
        <v>40.5</v>
      </c>
      <c r="ER78" s="609" t="str">
        <f t="shared" ref="ER78:EW78" si="371">ER42</f>
        <v>no data</v>
      </c>
      <c r="ES78" s="614">
        <f t="shared" si="371"/>
        <v>0</v>
      </c>
      <c r="ET78" s="435">
        <f t="shared" si="371"/>
        <v>38.700000000000003</v>
      </c>
      <c r="EU78" s="41">
        <f t="shared" si="371"/>
        <v>40.299999999999997</v>
      </c>
      <c r="EV78" s="41">
        <f t="shared" si="371"/>
        <v>38.200000000000003</v>
      </c>
      <c r="EW78" s="609">
        <f t="shared" si="371"/>
        <v>0</v>
      </c>
      <c r="EX78" s="435">
        <f>EX42</f>
        <v>40.200000000000003</v>
      </c>
      <c r="EY78" s="435">
        <f t="shared" ref="EY78:FA78" si="372">EY42</f>
        <v>38.6</v>
      </c>
      <c r="EZ78" s="435">
        <f t="shared" si="372"/>
        <v>39.1</v>
      </c>
      <c r="FA78" s="435">
        <f t="shared" si="372"/>
        <v>39.799999999999997</v>
      </c>
      <c r="FB78" s="435">
        <f t="shared" ref="FB78:FE78" si="373">FB42</f>
        <v>38.9</v>
      </c>
      <c r="FC78" s="435">
        <f t="shared" si="373"/>
        <v>0</v>
      </c>
      <c r="FD78" s="435">
        <f t="shared" si="373"/>
        <v>0</v>
      </c>
      <c r="FE78" s="435">
        <f t="shared" si="373"/>
        <v>0</v>
      </c>
    </row>
    <row r="79" spans="1:161">
      <c r="A79" s="107"/>
      <c r="B79" s="3749"/>
      <c r="C79" s="615">
        <v>8</v>
      </c>
      <c r="D79" s="435">
        <f>D47</f>
        <v>6.48</v>
      </c>
      <c r="E79" s="41" t="str">
        <f t="shared" ref="E79:O79" si="374">E47</f>
        <v>No Data</v>
      </c>
      <c r="F79" s="41">
        <f t="shared" si="374"/>
        <v>5.05</v>
      </c>
      <c r="G79" s="609">
        <f t="shared" si="374"/>
        <v>6.86</v>
      </c>
      <c r="H79" s="435">
        <f t="shared" si="374"/>
        <v>4.78</v>
      </c>
      <c r="I79" s="41">
        <f t="shared" si="374"/>
        <v>5.31</v>
      </c>
      <c r="J79" s="41">
        <f t="shared" si="374"/>
        <v>2.74</v>
      </c>
      <c r="K79" s="609">
        <f t="shared" si="374"/>
        <v>5.29</v>
      </c>
      <c r="L79" s="570">
        <f t="shared" si="374"/>
        <v>6.37</v>
      </c>
      <c r="M79" s="41">
        <f t="shared" si="374"/>
        <v>7.3</v>
      </c>
      <c r="N79" s="41">
        <v>7.01</v>
      </c>
      <c r="O79" s="609">
        <f t="shared" si="374"/>
        <v>0</v>
      </c>
      <c r="P79" s="570">
        <f>P47</f>
        <v>6.53</v>
      </c>
      <c r="Q79" s="304">
        <v>5.45</v>
      </c>
      <c r="R79" s="570" t="str">
        <f t="shared" ref="R79" si="375">R47</f>
        <v>no data</v>
      </c>
      <c r="S79" s="304"/>
      <c r="T79" s="570"/>
      <c r="U79" s="570">
        <f t="shared" ref="U79" si="376">U47</f>
        <v>5.93</v>
      </c>
      <c r="V79" s="570">
        <f>V47</f>
        <v>3.72</v>
      </c>
      <c r="W79" s="570"/>
      <c r="X79" s="570">
        <f>X47</f>
        <v>6.15</v>
      </c>
      <c r="Y79" s="570">
        <f t="shared" ref="Y79:AA79" si="377">Y47</f>
        <v>6.16</v>
      </c>
      <c r="Z79" s="570">
        <f t="shared" si="377"/>
        <v>3.94</v>
      </c>
      <c r="AA79" s="570">
        <f t="shared" si="377"/>
        <v>5.75</v>
      </c>
      <c r="AB79" s="570">
        <f t="shared" ref="AB79:AE79" si="378">AB47</f>
        <v>6.52</v>
      </c>
      <c r="AC79" s="570">
        <f t="shared" si="378"/>
        <v>0</v>
      </c>
      <c r="AD79" s="570">
        <f t="shared" si="378"/>
        <v>0</v>
      </c>
      <c r="AE79" s="570">
        <f t="shared" si="378"/>
        <v>0</v>
      </c>
      <c r="AF79" s="107"/>
      <c r="AG79" s="107"/>
      <c r="AH79" s="3749"/>
      <c r="AI79" s="615">
        <v>8</v>
      </c>
      <c r="AJ79" s="435" t="str">
        <f>AJ47</f>
        <v>No Data</v>
      </c>
      <c r="AK79" s="41" t="str">
        <f t="shared" ref="AK79:AU79" si="379">AK47</f>
        <v>No Data</v>
      </c>
      <c r="AL79" s="41" t="str">
        <f t="shared" si="379"/>
        <v>No Data</v>
      </c>
      <c r="AM79" s="609">
        <f t="shared" si="379"/>
        <v>9.6</v>
      </c>
      <c r="AN79" s="435">
        <f t="shared" si="379"/>
        <v>9.92</v>
      </c>
      <c r="AO79" s="41">
        <f t="shared" si="379"/>
        <v>8.73</v>
      </c>
      <c r="AP79" s="41">
        <f t="shared" si="379"/>
        <v>9.16</v>
      </c>
      <c r="AQ79" s="609">
        <f t="shared" si="379"/>
        <v>8.75</v>
      </c>
      <c r="AR79" s="570">
        <f t="shared" si="379"/>
        <v>8.84</v>
      </c>
      <c r="AS79" s="41">
        <f t="shared" si="379"/>
        <v>8.82</v>
      </c>
      <c r="AT79" s="41">
        <v>8.94</v>
      </c>
      <c r="AU79" s="614">
        <f t="shared" si="379"/>
        <v>0</v>
      </c>
      <c r="AV79" s="318">
        <v>9.07</v>
      </c>
      <c r="AW79" s="304">
        <v>8.99</v>
      </c>
      <c r="AX79" s="387" t="s">
        <v>109</v>
      </c>
      <c r="AY79" s="319"/>
      <c r="AZ79" s="319">
        <f>AZ47</f>
        <v>9.02</v>
      </c>
      <c r="BA79" s="319">
        <f t="shared" ref="BA79:BC79" si="380">BA47</f>
        <v>9.0399999999999991</v>
      </c>
      <c r="BB79" s="319">
        <f t="shared" si="380"/>
        <v>9.24</v>
      </c>
      <c r="BC79" s="319">
        <f t="shared" si="380"/>
        <v>0</v>
      </c>
      <c r="BD79" s="319">
        <f>BD47</f>
        <v>9.2799999999999994</v>
      </c>
      <c r="BE79" s="319">
        <f t="shared" ref="BE79:BG79" si="381">BE47</f>
        <v>8.19</v>
      </c>
      <c r="BF79" s="319">
        <f t="shared" si="381"/>
        <v>6.81</v>
      </c>
      <c r="BG79" s="319">
        <f t="shared" si="381"/>
        <v>6.96</v>
      </c>
      <c r="BH79" s="319">
        <f t="shared" ref="BH79:BK79" si="382">BH47</f>
        <v>8.1999999999999993</v>
      </c>
      <c r="BI79" s="319">
        <f t="shared" si="382"/>
        <v>0</v>
      </c>
      <c r="BJ79" s="319">
        <f t="shared" si="382"/>
        <v>0</v>
      </c>
      <c r="BK79" s="319">
        <f t="shared" si="382"/>
        <v>0</v>
      </c>
      <c r="BL79" s="107"/>
      <c r="BM79" s="107"/>
      <c r="BN79" s="3749"/>
      <c r="BO79" s="615">
        <v>8</v>
      </c>
      <c r="BP79" s="435" t="str">
        <f>BP47</f>
        <v>No Data</v>
      </c>
      <c r="BQ79" s="41" t="str">
        <f t="shared" ref="BQ79:BZ79" si="383">BQ47</f>
        <v>No Data</v>
      </c>
      <c r="BR79" s="41" t="str">
        <f t="shared" si="383"/>
        <v>No Data</v>
      </c>
      <c r="BS79" s="609" t="str">
        <f t="shared" si="383"/>
        <v>No Data</v>
      </c>
      <c r="BT79" s="435">
        <f t="shared" si="383"/>
        <v>0.28499999999999998</v>
      </c>
      <c r="BU79" s="41">
        <f t="shared" si="383"/>
        <v>0.58699999999999997</v>
      </c>
      <c r="BV79" s="41">
        <f t="shared" si="383"/>
        <v>0.73499999999999999</v>
      </c>
      <c r="BW79" s="609">
        <f t="shared" si="383"/>
        <v>0</v>
      </c>
      <c r="BX79" s="435">
        <f t="shared" si="383"/>
        <v>0</v>
      </c>
      <c r="BY79" s="41">
        <f t="shared" si="383"/>
        <v>1.0960000000000001</v>
      </c>
      <c r="BZ79" s="41">
        <f t="shared" si="383"/>
        <v>0</v>
      </c>
      <c r="CA79" s="609"/>
      <c r="CB79" s="609">
        <f t="shared" ref="CB79:CG79" si="384">CB47</f>
        <v>0.28999999999999998</v>
      </c>
      <c r="CC79" s="609"/>
      <c r="CD79" s="609"/>
      <c r="CE79" s="609"/>
      <c r="CF79" s="609"/>
      <c r="CG79" s="609">
        <f t="shared" si="384"/>
        <v>0.30599999999999999</v>
      </c>
      <c r="CH79" s="609">
        <f t="shared" ref="CH79:CI79" si="385">CH47</f>
        <v>0</v>
      </c>
      <c r="CI79" s="609">
        <f t="shared" si="385"/>
        <v>0</v>
      </c>
      <c r="CJ79" s="609"/>
      <c r="CK79" s="609"/>
      <c r="CL79" s="609"/>
      <c r="CM79" s="609"/>
      <c r="CN79" s="609">
        <f>CN47</f>
        <v>2.1999999999999999E-2</v>
      </c>
      <c r="CO79" s="609">
        <f t="shared" ref="CO79:CQ79" si="386">CO47</f>
        <v>0</v>
      </c>
      <c r="CP79" s="609">
        <f t="shared" si="386"/>
        <v>0</v>
      </c>
      <c r="CQ79" s="609">
        <f t="shared" si="386"/>
        <v>0</v>
      </c>
      <c r="CR79" s="107"/>
      <c r="CS79" s="107"/>
      <c r="CT79" s="107"/>
      <c r="CU79" s="3749"/>
      <c r="CV79" s="615">
        <v>8</v>
      </c>
      <c r="CW79" s="435">
        <f>CW47</f>
        <v>0</v>
      </c>
      <c r="CX79" s="41">
        <f t="shared" ref="CX79:DH79" si="387">CX47</f>
        <v>0</v>
      </c>
      <c r="CY79" s="41">
        <f t="shared" si="387"/>
        <v>0</v>
      </c>
      <c r="CZ79" s="609">
        <f t="shared" si="387"/>
        <v>2.6</v>
      </c>
      <c r="DA79" s="435">
        <f t="shared" si="387"/>
        <v>2.56</v>
      </c>
      <c r="DB79" s="41">
        <f t="shared" si="387"/>
        <v>2.4900000000000002</v>
      </c>
      <c r="DC79" s="41">
        <f t="shared" si="387"/>
        <v>2.39</v>
      </c>
      <c r="DD79" s="609">
        <f t="shared" si="387"/>
        <v>0</v>
      </c>
      <c r="DE79" s="435">
        <f t="shared" si="387"/>
        <v>2.59</v>
      </c>
      <c r="DF79" s="41">
        <f t="shared" si="387"/>
        <v>2.67</v>
      </c>
      <c r="DG79" s="41">
        <v>2.44</v>
      </c>
      <c r="DH79" s="609">
        <f t="shared" si="387"/>
        <v>0</v>
      </c>
      <c r="DI79" s="609">
        <f t="shared" ref="DI79:DP79" si="388">DI47</f>
        <v>2.52</v>
      </c>
      <c r="DJ79" s="609">
        <f t="shared" si="388"/>
        <v>2.56</v>
      </c>
      <c r="DK79" s="609" t="str">
        <f t="shared" si="388"/>
        <v>no data</v>
      </c>
      <c r="DL79" s="609"/>
      <c r="DM79" s="609">
        <f t="shared" si="388"/>
        <v>2.46</v>
      </c>
      <c r="DN79" s="609">
        <f t="shared" si="388"/>
        <v>2.57</v>
      </c>
      <c r="DO79" s="609">
        <f t="shared" si="388"/>
        <v>2.48</v>
      </c>
      <c r="DP79" s="609">
        <f t="shared" si="388"/>
        <v>0</v>
      </c>
      <c r="DQ79" s="609">
        <f>DQ47</f>
        <v>2.5499999999999998</v>
      </c>
      <c r="DR79" s="609">
        <f t="shared" ref="DR79:DT79" si="389">DR47</f>
        <v>2.57</v>
      </c>
      <c r="DS79" s="609">
        <f t="shared" si="389"/>
        <v>2.48</v>
      </c>
      <c r="DT79" s="609">
        <f t="shared" si="389"/>
        <v>2.4900000000000002</v>
      </c>
      <c r="DU79" s="609">
        <f t="shared" ref="DU79:DX79" si="390">DU47</f>
        <v>2.5099999999999998</v>
      </c>
      <c r="DV79" s="609">
        <f t="shared" si="390"/>
        <v>0</v>
      </c>
      <c r="DW79" s="609">
        <f t="shared" si="390"/>
        <v>0</v>
      </c>
      <c r="DX79" s="609">
        <f t="shared" si="390"/>
        <v>0</v>
      </c>
      <c r="DY79" s="107"/>
      <c r="DZ79" s="107"/>
      <c r="EA79" s="107"/>
      <c r="EB79" s="3749"/>
      <c r="EC79" s="615">
        <v>8</v>
      </c>
      <c r="ED79" s="435">
        <f>ED47</f>
        <v>0</v>
      </c>
      <c r="EE79" s="41">
        <f t="shared" ref="EE79:EO79" si="391">EE47</f>
        <v>0</v>
      </c>
      <c r="EF79" s="41">
        <f t="shared" si="391"/>
        <v>0</v>
      </c>
      <c r="EG79" s="609">
        <f t="shared" si="391"/>
        <v>40.4</v>
      </c>
      <c r="EH79" s="435">
        <f t="shared" si="391"/>
        <v>39.9</v>
      </c>
      <c r="EI79" s="41">
        <f t="shared" si="391"/>
        <v>38.799999999999997</v>
      </c>
      <c r="EJ79" s="41">
        <f t="shared" si="391"/>
        <v>37.6</v>
      </c>
      <c r="EK79" s="609">
        <f t="shared" si="391"/>
        <v>0</v>
      </c>
      <c r="EL79" s="435">
        <f t="shared" si="391"/>
        <v>40.200000000000003</v>
      </c>
      <c r="EM79" s="41">
        <f t="shared" si="391"/>
        <v>41.3</v>
      </c>
      <c r="EN79" s="41">
        <v>37.9</v>
      </c>
      <c r="EO79" s="609">
        <f t="shared" si="391"/>
        <v>0</v>
      </c>
      <c r="EP79" s="609">
        <f t="shared" ref="EP79:EQ79" si="392">EP47</f>
        <v>39.299999999999997</v>
      </c>
      <c r="EQ79" s="609">
        <f t="shared" si="392"/>
        <v>40</v>
      </c>
      <c r="ER79" s="609" t="str">
        <f t="shared" ref="ER79:EW79" si="393">ER47</f>
        <v>no data</v>
      </c>
      <c r="ES79" s="614">
        <f t="shared" si="393"/>
        <v>0</v>
      </c>
      <c r="ET79" s="435">
        <f t="shared" si="393"/>
        <v>38.5</v>
      </c>
      <c r="EU79" s="41">
        <f t="shared" si="393"/>
        <v>40</v>
      </c>
      <c r="EV79" s="41">
        <f t="shared" si="393"/>
        <v>38.700000000000003</v>
      </c>
      <c r="EW79" s="609">
        <f t="shared" si="393"/>
        <v>0</v>
      </c>
      <c r="EX79" s="435">
        <f>EX47</f>
        <v>39.700000000000003</v>
      </c>
      <c r="EY79" s="435">
        <f t="shared" ref="EY79:FA79" si="394">EY47</f>
        <v>40</v>
      </c>
      <c r="EZ79" s="435">
        <f t="shared" si="394"/>
        <v>38.700000000000003</v>
      </c>
      <c r="FA79" s="435">
        <f t="shared" si="394"/>
        <v>38.799999999999997</v>
      </c>
      <c r="FB79" s="435">
        <f t="shared" ref="FB79:FE79" si="395">FB47</f>
        <v>39.1</v>
      </c>
      <c r="FC79" s="435">
        <f t="shared" si="395"/>
        <v>0</v>
      </c>
      <c r="FD79" s="435">
        <f t="shared" si="395"/>
        <v>0</v>
      </c>
      <c r="FE79" s="435">
        <f t="shared" si="395"/>
        <v>0</v>
      </c>
    </row>
    <row r="80" spans="1:161" ht="15.75" thickBot="1">
      <c r="A80" s="107"/>
      <c r="B80" s="3751"/>
      <c r="C80" s="618">
        <v>9</v>
      </c>
      <c r="D80" s="436">
        <f>D52</f>
        <v>4.71</v>
      </c>
      <c r="E80" s="62" t="str">
        <f t="shared" ref="E80:O80" si="396">E52</f>
        <v>No Data</v>
      </c>
      <c r="F80" s="62">
        <f t="shared" si="396"/>
        <v>5.75</v>
      </c>
      <c r="G80" s="611">
        <f t="shared" si="396"/>
        <v>5.49</v>
      </c>
      <c r="H80" s="436">
        <f t="shared" si="396"/>
        <v>2.87</v>
      </c>
      <c r="I80" s="62">
        <f t="shared" si="396"/>
        <v>5.31</v>
      </c>
      <c r="J80" s="62">
        <f t="shared" si="396"/>
        <v>2.15</v>
      </c>
      <c r="K80" s="611">
        <f t="shared" si="396"/>
        <v>5.03</v>
      </c>
      <c r="L80" s="571">
        <f t="shared" si="396"/>
        <v>5.4</v>
      </c>
      <c r="M80" s="62">
        <f t="shared" si="396"/>
        <v>5.4</v>
      </c>
      <c r="N80" s="62" t="s">
        <v>342</v>
      </c>
      <c r="O80" s="611">
        <f t="shared" si="396"/>
        <v>0</v>
      </c>
      <c r="P80" s="571">
        <f>P52</f>
        <v>5.61</v>
      </c>
      <c r="Q80" s="540">
        <v>5.45</v>
      </c>
      <c r="R80" s="571" t="str">
        <f t="shared" ref="R80" si="397">R52</f>
        <v>no data</v>
      </c>
      <c r="S80" s="540"/>
      <c r="T80" s="571"/>
      <c r="U80" s="571">
        <f t="shared" ref="U80" si="398">U52</f>
        <v>6.11</v>
      </c>
      <c r="V80" s="571">
        <f>V52</f>
        <v>5.12</v>
      </c>
      <c r="W80" s="571"/>
      <c r="X80" s="571">
        <f>X52</f>
        <v>5.7</v>
      </c>
      <c r="Y80" s="571">
        <f t="shared" ref="Y80:AA80" si="399">Y52</f>
        <v>6.38</v>
      </c>
      <c r="Z80" s="571">
        <f t="shared" si="399"/>
        <v>2.37</v>
      </c>
      <c r="AA80" s="571">
        <f t="shared" si="399"/>
        <v>3.03</v>
      </c>
      <c r="AB80" s="571">
        <f t="shared" ref="AB80:AE80" si="400">AB52</f>
        <v>5.99</v>
      </c>
      <c r="AC80" s="571">
        <f t="shared" si="400"/>
        <v>0</v>
      </c>
      <c r="AD80" s="571">
        <f t="shared" si="400"/>
        <v>0</v>
      </c>
      <c r="AE80" s="571">
        <f t="shared" si="400"/>
        <v>0</v>
      </c>
      <c r="AF80" s="107"/>
      <c r="AG80" s="107"/>
      <c r="AH80" s="3751"/>
      <c r="AI80" s="618">
        <v>9</v>
      </c>
      <c r="AJ80" s="436" t="str">
        <f>AJ52</f>
        <v>No Data</v>
      </c>
      <c r="AK80" s="62" t="str">
        <f t="shared" ref="AK80:AU80" si="401">AK52</f>
        <v>No Data</v>
      </c>
      <c r="AL80" s="62" t="str">
        <f t="shared" si="401"/>
        <v>No Data</v>
      </c>
      <c r="AM80" s="611">
        <f t="shared" si="401"/>
        <v>9.51</v>
      </c>
      <c r="AN80" s="436">
        <f t="shared" si="401"/>
        <v>9.64</v>
      </c>
      <c r="AO80" s="62">
        <f t="shared" si="401"/>
        <v>8.6999999999999993</v>
      </c>
      <c r="AP80" s="62">
        <f t="shared" si="401"/>
        <v>8.85</v>
      </c>
      <c r="AQ80" s="611">
        <f t="shared" si="401"/>
        <v>8.58</v>
      </c>
      <c r="AR80" s="571">
        <f t="shared" si="401"/>
        <v>8.6300000000000008</v>
      </c>
      <c r="AS80" s="62">
        <f t="shared" si="401"/>
        <v>8.65</v>
      </c>
      <c r="AT80" s="62">
        <v>8.6999999999999993</v>
      </c>
      <c r="AU80" s="621">
        <f t="shared" si="401"/>
        <v>0</v>
      </c>
      <c r="AV80" s="318">
        <v>8.92</v>
      </c>
      <c r="AW80" s="540">
        <v>9</v>
      </c>
      <c r="AX80" s="387" t="s">
        <v>109</v>
      </c>
      <c r="AY80" s="541"/>
      <c r="AZ80" s="541">
        <f>AZ52</f>
        <v>8.7899999999999991</v>
      </c>
      <c r="BA80" s="541">
        <f t="shared" ref="BA80:BC80" si="402">BA52</f>
        <v>9.19</v>
      </c>
      <c r="BB80" s="541">
        <f t="shared" si="402"/>
        <v>9.49</v>
      </c>
      <c r="BC80" s="541">
        <f t="shared" si="402"/>
        <v>0</v>
      </c>
      <c r="BD80" s="541">
        <f>BD52</f>
        <v>9.4</v>
      </c>
      <c r="BE80" s="541">
        <f t="shared" ref="BE80:BG80" si="403">BE52</f>
        <v>8.27</v>
      </c>
      <c r="BF80" s="541">
        <f t="shared" si="403"/>
        <v>6.57</v>
      </c>
      <c r="BG80" s="541">
        <f t="shared" si="403"/>
        <v>6.92</v>
      </c>
      <c r="BH80" s="541">
        <f t="shared" ref="BH80:BK80" si="404">BH52</f>
        <v>8.18</v>
      </c>
      <c r="BI80" s="541">
        <f t="shared" si="404"/>
        <v>0</v>
      </c>
      <c r="BJ80" s="541">
        <f t="shared" si="404"/>
        <v>0</v>
      </c>
      <c r="BK80" s="541">
        <f t="shared" si="404"/>
        <v>0</v>
      </c>
      <c r="BL80" s="107"/>
      <c r="BM80" s="107"/>
      <c r="BN80" s="3751"/>
      <c r="BO80" s="618">
        <v>9</v>
      </c>
      <c r="BP80" s="436" t="str">
        <f>BP52</f>
        <v>No Data</v>
      </c>
      <c r="BQ80" s="62" t="str">
        <f t="shared" ref="BQ80:BZ80" si="405">BQ52</f>
        <v>No Data</v>
      </c>
      <c r="BR80" s="62" t="str">
        <f t="shared" si="405"/>
        <v>No Data</v>
      </c>
      <c r="BS80" s="611" t="str">
        <f t="shared" si="405"/>
        <v>No Data</v>
      </c>
      <c r="BT80" s="436">
        <f t="shared" si="405"/>
        <v>0.24</v>
      </c>
      <c r="BU80" s="62">
        <f t="shared" si="405"/>
        <v>0.80500000000000005</v>
      </c>
      <c r="BV80" s="62">
        <f t="shared" si="405"/>
        <v>0.82399999999999995</v>
      </c>
      <c r="BW80" s="611">
        <f t="shared" si="405"/>
        <v>0</v>
      </c>
      <c r="BX80" s="435">
        <f t="shared" si="405"/>
        <v>0</v>
      </c>
      <c r="BY80" s="41">
        <f t="shared" si="405"/>
        <v>0.81399999999999995</v>
      </c>
      <c r="BZ80" s="41">
        <f t="shared" si="405"/>
        <v>0</v>
      </c>
      <c r="CA80" s="609"/>
      <c r="CB80" s="609">
        <f t="shared" ref="CB80:CG80" si="406">CB52</f>
        <v>0.4</v>
      </c>
      <c r="CC80" s="609"/>
      <c r="CD80" s="609"/>
      <c r="CE80" s="609"/>
      <c r="CF80" s="609"/>
      <c r="CG80" s="609">
        <f t="shared" si="406"/>
        <v>0.109</v>
      </c>
      <c r="CH80" s="609">
        <f t="shared" ref="CH80:CI80" si="407">CH52</f>
        <v>0</v>
      </c>
      <c r="CI80" s="609">
        <f t="shared" si="407"/>
        <v>0</v>
      </c>
      <c r="CJ80" s="609"/>
      <c r="CK80" s="609"/>
      <c r="CL80" s="609"/>
      <c r="CM80" s="609"/>
      <c r="CN80" s="609" t="str">
        <f>CN52</f>
        <v>&lt;0.013</v>
      </c>
      <c r="CO80" s="609">
        <f t="shared" ref="CO80:CQ80" si="408">CO52</f>
        <v>0</v>
      </c>
      <c r="CP80" s="609">
        <f t="shared" si="408"/>
        <v>0</v>
      </c>
      <c r="CQ80" s="609">
        <f t="shared" si="408"/>
        <v>0</v>
      </c>
      <c r="CR80" s="107"/>
      <c r="CS80" s="107"/>
      <c r="CT80" s="107"/>
      <c r="CU80" s="3751"/>
      <c r="CV80" s="618">
        <v>9</v>
      </c>
      <c r="CW80" s="436">
        <f>CW52</f>
        <v>0</v>
      </c>
      <c r="CX80" s="62">
        <f t="shared" ref="CX80:DH80" si="409">CX52</f>
        <v>0</v>
      </c>
      <c r="CY80" s="62">
        <f t="shared" si="409"/>
        <v>0</v>
      </c>
      <c r="CZ80" s="611">
        <f t="shared" si="409"/>
        <v>2.58</v>
      </c>
      <c r="DA80" s="579">
        <f t="shared" si="409"/>
        <v>2.57</v>
      </c>
      <c r="DB80" s="624">
        <f t="shared" si="409"/>
        <v>2.46</v>
      </c>
      <c r="DC80" s="624">
        <f t="shared" si="409"/>
        <v>2.37</v>
      </c>
      <c r="DD80" s="625">
        <f t="shared" si="409"/>
        <v>0</v>
      </c>
      <c r="DE80" s="579">
        <f t="shared" si="409"/>
        <v>2.59</v>
      </c>
      <c r="DF80" s="624">
        <f t="shared" si="409"/>
        <v>2.66</v>
      </c>
      <c r="DG80" s="624">
        <v>2.46</v>
      </c>
      <c r="DH80" s="625">
        <f t="shared" si="409"/>
        <v>0</v>
      </c>
      <c r="DI80" s="625">
        <f t="shared" ref="DI80:DP80" si="410">DI52</f>
        <v>2.5299999999999998</v>
      </c>
      <c r="DJ80" s="625">
        <f t="shared" si="410"/>
        <v>2.58</v>
      </c>
      <c r="DK80" s="625" t="str">
        <f t="shared" si="410"/>
        <v>no data</v>
      </c>
      <c r="DL80" s="625"/>
      <c r="DM80" s="625">
        <f t="shared" si="410"/>
        <v>2.4500000000000002</v>
      </c>
      <c r="DN80" s="625">
        <f t="shared" si="410"/>
        <v>2.58</v>
      </c>
      <c r="DO80" s="625">
        <f t="shared" si="410"/>
        <v>2.29</v>
      </c>
      <c r="DP80" s="625">
        <f t="shared" si="410"/>
        <v>0</v>
      </c>
      <c r="DQ80" s="625">
        <f>DQ52</f>
        <v>2.58</v>
      </c>
      <c r="DR80" s="625">
        <f t="shared" ref="DR80:DT80" si="411">DR52</f>
        <v>2.57</v>
      </c>
      <c r="DS80" s="625">
        <f t="shared" si="411"/>
        <v>2.4300000000000002</v>
      </c>
      <c r="DT80" s="625">
        <f t="shared" si="411"/>
        <v>2.58</v>
      </c>
      <c r="DU80" s="625">
        <f t="shared" ref="DU80:DX80" si="412">DU52</f>
        <v>2.4900000000000002</v>
      </c>
      <c r="DV80" s="625">
        <f t="shared" si="412"/>
        <v>0</v>
      </c>
      <c r="DW80" s="625">
        <f t="shared" si="412"/>
        <v>0</v>
      </c>
      <c r="DX80" s="625">
        <f t="shared" si="412"/>
        <v>0</v>
      </c>
      <c r="DY80" s="107"/>
      <c r="DZ80" s="107"/>
      <c r="EA80" s="107"/>
      <c r="EB80" s="3751"/>
      <c r="EC80" s="618">
        <v>9</v>
      </c>
      <c r="ED80" s="436">
        <f>ED52</f>
        <v>0</v>
      </c>
      <c r="EE80" s="62">
        <f t="shared" ref="EE80:EO80" si="413">EE52</f>
        <v>0</v>
      </c>
      <c r="EF80" s="62">
        <f t="shared" si="413"/>
        <v>0</v>
      </c>
      <c r="EG80" s="611">
        <f t="shared" si="413"/>
        <v>40.1</v>
      </c>
      <c r="EH80" s="436">
        <f t="shared" si="413"/>
        <v>40.200000000000003</v>
      </c>
      <c r="EI80" s="62">
        <f t="shared" si="413"/>
        <v>38.1</v>
      </c>
      <c r="EJ80" s="62">
        <f t="shared" si="413"/>
        <v>37.1</v>
      </c>
      <c r="EK80" s="611">
        <f t="shared" si="413"/>
        <v>0</v>
      </c>
      <c r="EL80" s="436">
        <f t="shared" si="413"/>
        <v>40.299999999999997</v>
      </c>
      <c r="EM80" s="62">
        <f t="shared" si="413"/>
        <v>41.2</v>
      </c>
      <c r="EN80" s="62">
        <v>38.6</v>
      </c>
      <c r="EO80" s="611">
        <f t="shared" si="413"/>
        <v>0</v>
      </c>
      <c r="EP80" s="611">
        <f t="shared" ref="EP80:EQ80" si="414">EP52</f>
        <v>39.5</v>
      </c>
      <c r="EQ80" s="611">
        <f t="shared" si="414"/>
        <v>40</v>
      </c>
      <c r="ER80" s="611" t="str">
        <f t="shared" ref="ER80:EW80" si="415">ER52</f>
        <v>no data</v>
      </c>
      <c r="ES80" s="621">
        <f t="shared" si="415"/>
        <v>0</v>
      </c>
      <c r="ET80" s="436">
        <f t="shared" si="415"/>
        <v>38.299999999999997</v>
      </c>
      <c r="EU80" s="62">
        <f t="shared" si="415"/>
        <v>40.1</v>
      </c>
      <c r="EV80" s="62">
        <f t="shared" si="415"/>
        <v>36</v>
      </c>
      <c r="EW80" s="611">
        <f t="shared" si="415"/>
        <v>0</v>
      </c>
      <c r="EX80" s="436">
        <f>EX52</f>
        <v>40.1</v>
      </c>
      <c r="EY80" s="436">
        <f t="shared" ref="EY80:FA80" si="416">EY52</f>
        <v>40</v>
      </c>
      <c r="EZ80" s="436">
        <f t="shared" si="416"/>
        <v>37.9</v>
      </c>
      <c r="FA80" s="436">
        <f t="shared" si="416"/>
        <v>40.1</v>
      </c>
      <c r="FB80" s="436">
        <f t="shared" ref="FB80:FE80" si="417">FB52</f>
        <v>38.799999999999997</v>
      </c>
      <c r="FC80" s="436">
        <f t="shared" si="417"/>
        <v>0</v>
      </c>
      <c r="FD80" s="436">
        <f t="shared" si="417"/>
        <v>0</v>
      </c>
      <c r="FE80" s="436">
        <f t="shared" si="417"/>
        <v>0</v>
      </c>
    </row>
    <row r="81" spans="1:161" ht="15.75" thickBot="1">
      <c r="A81" s="107"/>
      <c r="B81" s="3758" t="s">
        <v>200</v>
      </c>
      <c r="C81" s="3759"/>
      <c r="D81" s="607">
        <f>COUNTIF(D72:D80,"&gt;=5")/COUNT(D72:D80)</f>
        <v>0.88888888888888884</v>
      </c>
      <c r="E81" s="612" t="e">
        <f t="shared" ref="E81:Q81" si="418">COUNTIF(E72:E80,"&gt;=5")/COUNT(E72:E80)</f>
        <v>#DIV/0!</v>
      </c>
      <c r="F81" s="612">
        <f t="shared" si="418"/>
        <v>0.6</v>
      </c>
      <c r="G81" s="613">
        <f t="shared" si="418"/>
        <v>0.7142857142857143</v>
      </c>
      <c r="H81" s="607">
        <f t="shared" si="418"/>
        <v>0.44444444444444442</v>
      </c>
      <c r="I81" s="612">
        <f t="shared" si="418"/>
        <v>0.77777777777777779</v>
      </c>
      <c r="J81" s="612">
        <f t="shared" si="418"/>
        <v>0.125</v>
      </c>
      <c r="K81" s="613">
        <f t="shared" si="418"/>
        <v>0.55555555555555558</v>
      </c>
      <c r="L81" s="607">
        <f t="shared" si="418"/>
        <v>1</v>
      </c>
      <c r="M81" s="612">
        <f t="shared" si="418"/>
        <v>1</v>
      </c>
      <c r="N81" s="612">
        <f t="shared" si="418"/>
        <v>1</v>
      </c>
      <c r="O81" s="901">
        <f t="shared" si="418"/>
        <v>0</v>
      </c>
      <c r="P81" s="902">
        <f t="shared" si="418"/>
        <v>1</v>
      </c>
      <c r="Q81" s="903">
        <f t="shared" si="418"/>
        <v>0.77777777777777779</v>
      </c>
      <c r="R81" s="902" t="e">
        <f>COUNTIF(R72:R80,"&gt;=5")/COUNT(R72:R80)</f>
        <v>#DIV/0!</v>
      </c>
      <c r="S81" s="903" t="e">
        <f t="shared" ref="S81:T81" si="419">COUNTIF(S72:S80,"&gt;=5")/COUNT(S72:S80)</f>
        <v>#DIV/0!</v>
      </c>
      <c r="T81" s="902" t="e">
        <f t="shared" si="419"/>
        <v>#DIV/0!</v>
      </c>
      <c r="U81" s="902">
        <f t="shared" ref="U81:W81" si="420">COUNTIF(U72:U80,"&gt;=5")/COUNT(U72:U80)</f>
        <v>0.88888888888888884</v>
      </c>
      <c r="V81" s="902">
        <f t="shared" si="420"/>
        <v>0.44444444444444442</v>
      </c>
      <c r="W81" s="902" t="e">
        <f t="shared" si="420"/>
        <v>#DIV/0!</v>
      </c>
      <c r="X81" s="902">
        <f t="shared" ref="X81:AA81" si="421">COUNTIF(X72:X80,"&gt;=5")/COUNT(X72:X80)</f>
        <v>0.88888888888888884</v>
      </c>
      <c r="Y81" s="902">
        <f t="shared" si="421"/>
        <v>0.66666666666666663</v>
      </c>
      <c r="Z81" s="902">
        <f t="shared" si="421"/>
        <v>0.33333333333333331</v>
      </c>
      <c r="AA81" s="902">
        <f t="shared" si="421"/>
        <v>0.77777777777777779</v>
      </c>
      <c r="AB81" s="902">
        <f t="shared" ref="AB81:AE81" si="422">COUNTIF(AB72:AB80,"&gt;=5")/COUNT(AB72:AB80)</f>
        <v>1</v>
      </c>
      <c r="AC81" s="902">
        <f t="shared" si="422"/>
        <v>0</v>
      </c>
      <c r="AD81" s="902">
        <f t="shared" si="422"/>
        <v>0</v>
      </c>
      <c r="AE81" s="902">
        <f t="shared" si="422"/>
        <v>0</v>
      </c>
      <c r="AF81" s="120"/>
      <c r="AG81" s="120"/>
      <c r="AH81" s="3756" t="s">
        <v>200</v>
      </c>
      <c r="AI81" s="3757"/>
      <c r="AJ81" s="426" t="e">
        <f>COUNTIFS(AJ72:AJ80,"&gt;=6",AJ72:AJ80,"&lt;=8.5")/COUNT(AJ72:AJ80)</f>
        <v>#DIV/0!</v>
      </c>
      <c r="AK81" s="275" t="e">
        <f t="shared" ref="AK81:AY81" si="423">COUNTIFS(AK72:AK80,"&gt;=6",AK72:AK80,"&lt;=8.5")/COUNT(AK72:AK80)</f>
        <v>#DIV/0!</v>
      </c>
      <c r="AL81" s="275" t="e">
        <f t="shared" si="423"/>
        <v>#DIV/0!</v>
      </c>
      <c r="AM81" s="425">
        <f t="shared" si="423"/>
        <v>0</v>
      </c>
      <c r="AN81" s="426">
        <f t="shared" si="423"/>
        <v>0</v>
      </c>
      <c r="AO81" s="275">
        <f t="shared" si="423"/>
        <v>0</v>
      </c>
      <c r="AP81" s="275">
        <f t="shared" si="423"/>
        <v>0</v>
      </c>
      <c r="AQ81" s="427">
        <f t="shared" si="423"/>
        <v>0</v>
      </c>
      <c r="AR81" s="623">
        <f t="shared" si="423"/>
        <v>0</v>
      </c>
      <c r="AS81" s="275">
        <f t="shared" si="423"/>
        <v>0</v>
      </c>
      <c r="AT81" s="275">
        <f t="shared" si="423"/>
        <v>0</v>
      </c>
      <c r="AU81" s="425">
        <f t="shared" si="423"/>
        <v>0</v>
      </c>
      <c r="AV81" s="426">
        <f t="shared" si="423"/>
        <v>0</v>
      </c>
      <c r="AW81" s="275">
        <f t="shared" si="423"/>
        <v>0</v>
      </c>
      <c r="AX81" s="275">
        <f t="shared" si="423"/>
        <v>0</v>
      </c>
      <c r="AY81" s="427" t="e">
        <f t="shared" si="423"/>
        <v>#DIV/0!</v>
      </c>
      <c r="AZ81" s="427">
        <f t="shared" ref="AZ81:BC81" si="424">COUNTIFS(AZ72:AZ80,"&gt;=6",AZ72:AZ80,"&lt;=8.5")/COUNT(AZ72:AZ80)</f>
        <v>0</v>
      </c>
      <c r="BA81" s="427">
        <f t="shared" si="424"/>
        <v>0</v>
      </c>
      <c r="BB81" s="427">
        <f t="shared" si="424"/>
        <v>0</v>
      </c>
      <c r="BC81" s="427">
        <f t="shared" si="424"/>
        <v>0</v>
      </c>
      <c r="BD81" s="427">
        <f t="shared" ref="BD81:BE81" si="425">COUNTIFS(BD72:BD80,"&gt;=6",BD72:BD80,"&lt;=8.5")/COUNT(BD72:BD80)</f>
        <v>0.1111111111111111</v>
      </c>
      <c r="BE81" s="427">
        <f t="shared" si="425"/>
        <v>1</v>
      </c>
      <c r="BF81" s="427">
        <f>COUNTIFS(BF72:BF80,"&gt;=7",BF72:BF80,"&lt;=8.5")/COUNT(BF72:BF80)</f>
        <v>0.66666666666666663</v>
      </c>
      <c r="BG81" s="427">
        <f>COUNTIFS(BG72:BG80,"&gt;=7",BG72:BG80,"&lt;=8.5")/COUNT(BG72:BG80)</f>
        <v>0.66666666666666663</v>
      </c>
      <c r="BH81" s="427">
        <f t="shared" ref="BH81:BK81" si="426">COUNTIFS(BH72:BH80,"&gt;=7",BH72:BH80,"&lt;=8.5")/COUNT(BH72:BH80)</f>
        <v>0.44444444444444442</v>
      </c>
      <c r="BI81" s="427">
        <f t="shared" si="426"/>
        <v>0</v>
      </c>
      <c r="BJ81" s="427">
        <f t="shared" si="426"/>
        <v>0</v>
      </c>
      <c r="BK81" s="427">
        <f t="shared" si="426"/>
        <v>0</v>
      </c>
      <c r="BL81" s="120"/>
      <c r="BM81" s="120"/>
      <c r="BN81" s="3756" t="s">
        <v>200</v>
      </c>
      <c r="BO81" s="3757"/>
      <c r="BP81" s="546" t="e">
        <f>COUNTIF(BP72:BP80,"&lt;=0.40")/COUNT(BP72:BP80)</f>
        <v>#DIV/0!</v>
      </c>
      <c r="BQ81" s="544" t="e">
        <f t="shared" ref="BQ81:CE81" si="427">COUNTIF(BQ72:BQ80,"&lt;=0.40")/COUNT(BQ72:BQ80)</f>
        <v>#DIV/0!</v>
      </c>
      <c r="BR81" s="544" t="e">
        <f t="shared" si="427"/>
        <v>#DIV/0!</v>
      </c>
      <c r="BS81" s="533" t="e">
        <f t="shared" si="427"/>
        <v>#DIV/0!</v>
      </c>
      <c r="BT81" s="546">
        <f t="shared" si="427"/>
        <v>1</v>
      </c>
      <c r="BU81" s="544">
        <f t="shared" si="427"/>
        <v>0</v>
      </c>
      <c r="BV81" s="544">
        <f t="shared" si="427"/>
        <v>0.1111111111111111</v>
      </c>
      <c r="BW81" s="533">
        <f t="shared" si="427"/>
        <v>1</v>
      </c>
      <c r="BX81" s="546">
        <f t="shared" si="427"/>
        <v>1</v>
      </c>
      <c r="BY81" s="544">
        <f t="shared" si="427"/>
        <v>0</v>
      </c>
      <c r="BZ81" s="544">
        <f t="shared" si="427"/>
        <v>1</v>
      </c>
      <c r="CA81" s="533" t="e">
        <f t="shared" si="427"/>
        <v>#DIV/0!</v>
      </c>
      <c r="CB81" s="546">
        <f t="shared" si="427"/>
        <v>1</v>
      </c>
      <c r="CC81" s="544" t="e">
        <f t="shared" si="427"/>
        <v>#DIV/0!</v>
      </c>
      <c r="CD81" s="544" t="e">
        <f t="shared" si="427"/>
        <v>#DIV/0!</v>
      </c>
      <c r="CE81" s="533" t="e">
        <f t="shared" si="427"/>
        <v>#DIV/0!</v>
      </c>
      <c r="CF81" s="546" t="e">
        <f t="shared" ref="CF81:CI81" si="428">COUNTIF(CF72:CF80,"&lt;=0.40")/COUNT(CF72:CF80)</f>
        <v>#DIV/0!</v>
      </c>
      <c r="CG81" s="544">
        <f t="shared" si="428"/>
        <v>0.88888888888888884</v>
      </c>
      <c r="CH81" s="544">
        <f t="shared" si="428"/>
        <v>1</v>
      </c>
      <c r="CI81" s="533">
        <f t="shared" si="428"/>
        <v>1</v>
      </c>
      <c r="CJ81" s="533" t="e">
        <f t="shared" ref="CJ81:CM81" si="429">COUNTIF(CJ72:CJ80,"&lt;=0.40")/COUNT(CJ72:CJ80)</f>
        <v>#DIV/0!</v>
      </c>
      <c r="CK81" s="533" t="e">
        <f t="shared" si="429"/>
        <v>#DIV/0!</v>
      </c>
      <c r="CL81" s="533" t="e">
        <f t="shared" si="429"/>
        <v>#DIV/0!</v>
      </c>
      <c r="CM81" s="533" t="e">
        <f t="shared" si="429"/>
        <v>#DIV/0!</v>
      </c>
      <c r="CN81" s="533">
        <f t="shared" ref="CN81:CQ81" si="430">COUNTIF(CN72:CN80,"&lt;=0.40")/COUNT(CN72:CN80)</f>
        <v>1</v>
      </c>
      <c r="CO81" s="533">
        <f t="shared" si="430"/>
        <v>1</v>
      </c>
      <c r="CP81" s="533">
        <f t="shared" si="430"/>
        <v>1</v>
      </c>
      <c r="CQ81" s="533">
        <f t="shared" si="430"/>
        <v>1</v>
      </c>
      <c r="CR81" s="120"/>
      <c r="CS81" s="120"/>
      <c r="CT81" s="120"/>
      <c r="CU81" s="3758" t="s">
        <v>200</v>
      </c>
      <c r="CV81" s="3759"/>
      <c r="CW81" s="601"/>
      <c r="CX81" s="599"/>
      <c r="CY81" s="599"/>
      <c r="CZ81" s="602"/>
      <c r="DA81" s="601"/>
      <c r="DB81" s="598"/>
      <c r="DC81" s="598"/>
      <c r="DD81" s="603"/>
      <c r="DE81" s="604"/>
      <c r="DF81" s="600"/>
      <c r="DG81" s="600"/>
      <c r="DH81" s="605"/>
      <c r="DI81" s="604"/>
      <c r="DJ81" s="600"/>
      <c r="DK81" s="600"/>
      <c r="DL81" s="605"/>
      <c r="DM81" s="605"/>
      <c r="DN81" s="605"/>
      <c r="DO81" s="605"/>
      <c r="DP81" s="605"/>
      <c r="DQ81" s="605"/>
      <c r="DR81" s="605"/>
      <c r="DS81" s="605"/>
      <c r="DT81" s="605"/>
      <c r="DU81" s="605"/>
      <c r="DV81" s="605"/>
      <c r="DW81" s="605"/>
      <c r="DX81" s="605"/>
      <c r="DY81" s="120"/>
      <c r="DZ81" s="120"/>
      <c r="EA81" s="120"/>
      <c r="EB81" s="3756" t="s">
        <v>200</v>
      </c>
      <c r="EC81" s="3757"/>
      <c r="ED81" s="637"/>
      <c r="EE81" s="630"/>
      <c r="EF81" s="630"/>
      <c r="EG81" s="638"/>
      <c r="EH81" s="637"/>
      <c r="EI81" s="629"/>
      <c r="EJ81" s="629"/>
      <c r="EK81" s="639"/>
      <c r="EL81" s="632"/>
      <c r="EM81" s="633"/>
      <c r="EN81" s="633"/>
      <c r="EO81" s="634"/>
      <c r="EP81" s="886"/>
      <c r="EQ81" s="633"/>
      <c r="ER81" s="633"/>
      <c r="ES81" s="634"/>
      <c r="ET81" s="61"/>
      <c r="EU81" s="61"/>
      <c r="EV81" s="61"/>
      <c r="EW81" s="61"/>
      <c r="EX81" s="767"/>
    </row>
    <row r="82" spans="1:161" s="1585" customFormat="1">
      <c r="A82" s="107"/>
      <c r="B82" s="1590" t="s">
        <v>326</v>
      </c>
      <c r="C82" s="554"/>
      <c r="D82" s="1591">
        <f>COUNT(D72:D80)</f>
        <v>9</v>
      </c>
      <c r="E82" s="1591">
        <f t="shared" ref="E82:S82" si="431">COUNT(E72:E80)</f>
        <v>0</v>
      </c>
      <c r="F82" s="1591">
        <f t="shared" si="431"/>
        <v>5</v>
      </c>
      <c r="G82" s="1591">
        <f t="shared" si="431"/>
        <v>7</v>
      </c>
      <c r="H82" s="1591">
        <f t="shared" si="431"/>
        <v>9</v>
      </c>
      <c r="I82" s="1591">
        <f t="shared" si="431"/>
        <v>9</v>
      </c>
      <c r="J82" s="1591">
        <f t="shared" si="431"/>
        <v>8</v>
      </c>
      <c r="K82" s="1591">
        <f t="shared" si="431"/>
        <v>9</v>
      </c>
      <c r="L82" s="1591">
        <f t="shared" si="431"/>
        <v>9</v>
      </c>
      <c r="M82" s="1591">
        <f t="shared" si="431"/>
        <v>9</v>
      </c>
      <c r="N82" s="1591">
        <f t="shared" si="431"/>
        <v>5</v>
      </c>
      <c r="O82" s="1591">
        <f t="shared" si="431"/>
        <v>9</v>
      </c>
      <c r="P82" s="1591">
        <f t="shared" si="431"/>
        <v>9</v>
      </c>
      <c r="Q82" s="1591">
        <f t="shared" si="431"/>
        <v>9</v>
      </c>
      <c r="R82" s="1591">
        <f t="shared" si="431"/>
        <v>0</v>
      </c>
      <c r="S82" s="1591">
        <f t="shared" si="431"/>
        <v>0</v>
      </c>
      <c r="T82" s="1591">
        <f t="shared" ref="T82:W82" si="432">COUNT(T72:T80)</f>
        <v>0</v>
      </c>
      <c r="U82" s="1591">
        <f t="shared" si="432"/>
        <v>9</v>
      </c>
      <c r="V82" s="1591">
        <f t="shared" si="432"/>
        <v>9</v>
      </c>
      <c r="W82" s="1591">
        <f t="shared" si="432"/>
        <v>0</v>
      </c>
      <c r="X82" s="1591">
        <f t="shared" ref="X82:AA82" si="433">COUNT(X72:X80)</f>
        <v>9</v>
      </c>
      <c r="Y82" s="1591">
        <f t="shared" si="433"/>
        <v>9</v>
      </c>
      <c r="Z82" s="1591">
        <f t="shared" si="433"/>
        <v>9</v>
      </c>
      <c r="AA82" s="1591">
        <f t="shared" si="433"/>
        <v>9</v>
      </c>
      <c r="AB82" s="1591">
        <f t="shared" ref="AB82:AE82" si="434">COUNT(AB72:AB80)</f>
        <v>9</v>
      </c>
      <c r="AC82" s="1591">
        <f t="shared" si="434"/>
        <v>9</v>
      </c>
      <c r="AD82" s="1591">
        <f t="shared" si="434"/>
        <v>9</v>
      </c>
      <c r="AE82" s="1591">
        <f t="shared" si="434"/>
        <v>9</v>
      </c>
      <c r="AF82" s="120"/>
      <c r="AG82" s="120"/>
      <c r="AH82" s="1590" t="s">
        <v>326</v>
      </c>
      <c r="AI82" s="554"/>
      <c r="AJ82" s="1591">
        <f>COUNT(AJ72:AJ80)</f>
        <v>0</v>
      </c>
      <c r="AK82" s="1591">
        <f t="shared" ref="AK82:AX82" si="435">COUNT(AK72:AK80)</f>
        <v>0</v>
      </c>
      <c r="AL82" s="1591">
        <f t="shared" si="435"/>
        <v>0</v>
      </c>
      <c r="AM82" s="1591">
        <f t="shared" si="435"/>
        <v>7</v>
      </c>
      <c r="AN82" s="1591">
        <f t="shared" si="435"/>
        <v>9</v>
      </c>
      <c r="AO82" s="1591">
        <f t="shared" si="435"/>
        <v>9</v>
      </c>
      <c r="AP82" s="1591">
        <f t="shared" si="435"/>
        <v>8</v>
      </c>
      <c r="AQ82" s="1591">
        <f t="shared" si="435"/>
        <v>9</v>
      </c>
      <c r="AR82" s="1591">
        <f t="shared" si="435"/>
        <v>9</v>
      </c>
      <c r="AS82" s="1591">
        <f t="shared" si="435"/>
        <v>9</v>
      </c>
      <c r="AT82" s="1591">
        <f t="shared" si="435"/>
        <v>6</v>
      </c>
      <c r="AU82" s="1591">
        <f t="shared" si="435"/>
        <v>9</v>
      </c>
      <c r="AV82" s="1591">
        <f t="shared" si="435"/>
        <v>9</v>
      </c>
      <c r="AW82" s="1591">
        <f t="shared" si="435"/>
        <v>9</v>
      </c>
      <c r="AX82" s="1591">
        <f t="shared" si="435"/>
        <v>6</v>
      </c>
      <c r="AY82" s="1591">
        <f t="shared" ref="AY82:BC82" si="436">COUNT(AY72:AY80)</f>
        <v>0</v>
      </c>
      <c r="AZ82" s="1591">
        <f t="shared" si="436"/>
        <v>9</v>
      </c>
      <c r="BA82" s="1591">
        <f t="shared" si="436"/>
        <v>9</v>
      </c>
      <c r="BB82" s="1591">
        <f t="shared" si="436"/>
        <v>9</v>
      </c>
      <c r="BC82" s="1591">
        <f t="shared" si="436"/>
        <v>9</v>
      </c>
      <c r="BD82" s="1591">
        <f t="shared" ref="BD82:BG82" si="437">COUNT(BD72:BD80)</f>
        <v>9</v>
      </c>
      <c r="BE82" s="1591">
        <f t="shared" si="437"/>
        <v>9</v>
      </c>
      <c r="BF82" s="1591">
        <f t="shared" si="437"/>
        <v>9</v>
      </c>
      <c r="BG82" s="1591">
        <f t="shared" si="437"/>
        <v>9</v>
      </c>
      <c r="BH82" s="1591">
        <f t="shared" ref="BH82:BK82" si="438">COUNT(BH72:BH80)</f>
        <v>9</v>
      </c>
      <c r="BI82" s="1591">
        <f t="shared" si="438"/>
        <v>9</v>
      </c>
      <c r="BJ82" s="1591">
        <f t="shared" si="438"/>
        <v>9</v>
      </c>
      <c r="BK82" s="1591">
        <f t="shared" si="438"/>
        <v>9</v>
      </c>
      <c r="BL82" s="120"/>
      <c r="BM82" s="120"/>
      <c r="BN82" s="1590" t="s">
        <v>326</v>
      </c>
      <c r="BO82" s="554"/>
      <c r="BP82" s="1591">
        <f>COUNT(BP72:BP80)</f>
        <v>0</v>
      </c>
      <c r="BQ82" s="1591">
        <f t="shared" ref="BQ82:CE82" si="439">COUNT(BQ72:BQ80)</f>
        <v>0</v>
      </c>
      <c r="BR82" s="1591">
        <f t="shared" si="439"/>
        <v>0</v>
      </c>
      <c r="BS82" s="1591">
        <f t="shared" si="439"/>
        <v>0</v>
      </c>
      <c r="BT82" s="1591">
        <f t="shared" si="439"/>
        <v>9</v>
      </c>
      <c r="BU82" s="1591">
        <f t="shared" si="439"/>
        <v>9</v>
      </c>
      <c r="BV82" s="1591">
        <f t="shared" si="439"/>
        <v>9</v>
      </c>
      <c r="BW82" s="1591">
        <f t="shared" si="439"/>
        <v>9</v>
      </c>
      <c r="BX82" s="1591">
        <f t="shared" si="439"/>
        <v>9</v>
      </c>
      <c r="BY82" s="1591">
        <f t="shared" si="439"/>
        <v>9</v>
      </c>
      <c r="BZ82" s="1591">
        <f t="shared" si="439"/>
        <v>9</v>
      </c>
      <c r="CA82" s="1591">
        <f t="shared" si="439"/>
        <v>0</v>
      </c>
      <c r="CB82" s="1591">
        <f t="shared" si="439"/>
        <v>9</v>
      </c>
      <c r="CC82" s="1591">
        <f t="shared" si="439"/>
        <v>0</v>
      </c>
      <c r="CD82" s="1591">
        <f t="shared" si="439"/>
        <v>0</v>
      </c>
      <c r="CE82" s="1591">
        <f t="shared" si="439"/>
        <v>0</v>
      </c>
      <c r="CF82" s="1591">
        <f t="shared" ref="CF82:CI82" si="440">COUNT(CF72:CF80)</f>
        <v>0</v>
      </c>
      <c r="CG82" s="1591">
        <f t="shared" si="440"/>
        <v>9</v>
      </c>
      <c r="CH82" s="1591">
        <f t="shared" si="440"/>
        <v>9</v>
      </c>
      <c r="CI82" s="1591">
        <f t="shared" si="440"/>
        <v>9</v>
      </c>
      <c r="CJ82" s="1591">
        <f t="shared" ref="CJ82:CM82" si="441">COUNT(CJ72:CJ80)</f>
        <v>0</v>
      </c>
      <c r="CK82" s="1591">
        <f t="shared" si="441"/>
        <v>0</v>
      </c>
      <c r="CL82" s="1591">
        <f t="shared" si="441"/>
        <v>0</v>
      </c>
      <c r="CM82" s="1591">
        <f t="shared" si="441"/>
        <v>0</v>
      </c>
      <c r="CN82" s="1591">
        <f t="shared" ref="CN82:CQ82" si="442">COUNT(CN72:CN80)</f>
        <v>4</v>
      </c>
      <c r="CO82" s="1591">
        <f t="shared" si="442"/>
        <v>9</v>
      </c>
      <c r="CP82" s="1591">
        <f t="shared" si="442"/>
        <v>9</v>
      </c>
      <c r="CQ82" s="1591">
        <f t="shared" si="442"/>
        <v>9</v>
      </c>
      <c r="CR82" s="120"/>
      <c r="CS82" s="120"/>
      <c r="CT82" s="120"/>
      <c r="CU82" s="1588"/>
      <c r="CV82" s="1588"/>
      <c r="CW82" s="38"/>
      <c r="CX82" s="40"/>
      <c r="CY82" s="40"/>
      <c r="CZ82" s="40"/>
      <c r="DA82" s="38"/>
      <c r="DB82" s="38"/>
      <c r="DC82" s="38"/>
      <c r="DD82" s="1589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107"/>
      <c r="DR82" s="107"/>
      <c r="DS82" s="107"/>
      <c r="DT82" s="107"/>
      <c r="DU82" s="107"/>
      <c r="DV82" s="107"/>
      <c r="DW82" s="107"/>
      <c r="DX82" s="107"/>
      <c r="DY82" s="120"/>
      <c r="DZ82" s="120"/>
      <c r="EA82" s="120"/>
      <c r="EB82" s="1588"/>
      <c r="EC82" s="1588"/>
      <c r="ED82" s="38"/>
      <c r="EE82" s="40"/>
      <c r="EF82" s="40"/>
      <c r="EG82" s="40"/>
      <c r="EH82" s="38"/>
      <c r="EI82" s="38"/>
      <c r="EJ82" s="38"/>
      <c r="EK82" s="1589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767"/>
    </row>
    <row r="83" spans="1:161">
      <c r="A83" s="107"/>
      <c r="B83" s="196" t="s">
        <v>325</v>
      </c>
      <c r="C83" s="192"/>
      <c r="D83" s="108">
        <f>COUNTIF(D72:D80,"&gt;=5")</f>
        <v>8</v>
      </c>
      <c r="E83" s="108">
        <f t="shared" ref="E83:S83" si="443">COUNTIF(E72:E80,"&gt;=5")</f>
        <v>0</v>
      </c>
      <c r="F83" s="108">
        <f t="shared" si="443"/>
        <v>3</v>
      </c>
      <c r="G83" s="108">
        <f t="shared" si="443"/>
        <v>5</v>
      </c>
      <c r="H83" s="108">
        <f t="shared" si="443"/>
        <v>4</v>
      </c>
      <c r="I83" s="108">
        <f t="shared" si="443"/>
        <v>7</v>
      </c>
      <c r="J83" s="108">
        <f t="shared" si="443"/>
        <v>1</v>
      </c>
      <c r="K83" s="108">
        <f t="shared" si="443"/>
        <v>5</v>
      </c>
      <c r="L83" s="108">
        <f t="shared" si="443"/>
        <v>9</v>
      </c>
      <c r="M83" s="108">
        <f t="shared" si="443"/>
        <v>9</v>
      </c>
      <c r="N83" s="108">
        <f t="shared" si="443"/>
        <v>5</v>
      </c>
      <c r="O83" s="108">
        <f t="shared" si="443"/>
        <v>0</v>
      </c>
      <c r="P83" s="108">
        <f t="shared" si="443"/>
        <v>9</v>
      </c>
      <c r="Q83" s="108">
        <f t="shared" si="443"/>
        <v>7</v>
      </c>
      <c r="R83" s="108">
        <f t="shared" si="443"/>
        <v>0</v>
      </c>
      <c r="S83" s="108">
        <f t="shared" si="443"/>
        <v>0</v>
      </c>
      <c r="T83" s="108">
        <f t="shared" ref="T83:W83" si="444">COUNTIF(T72:T80,"&gt;=5")</f>
        <v>0</v>
      </c>
      <c r="U83" s="108">
        <f t="shared" si="444"/>
        <v>8</v>
      </c>
      <c r="V83" s="108">
        <f t="shared" si="444"/>
        <v>4</v>
      </c>
      <c r="W83" s="108">
        <f t="shared" si="444"/>
        <v>0</v>
      </c>
      <c r="X83" s="108">
        <f t="shared" ref="X83:AA83" si="445">COUNTIF(X72:X80,"&gt;=5")</f>
        <v>8</v>
      </c>
      <c r="Y83" s="108">
        <f t="shared" si="445"/>
        <v>6</v>
      </c>
      <c r="Z83" s="108">
        <f t="shared" si="445"/>
        <v>3</v>
      </c>
      <c r="AA83" s="108">
        <f t="shared" si="445"/>
        <v>7</v>
      </c>
      <c r="AB83" s="108">
        <f t="shared" ref="AB83:AE83" si="446">COUNTIF(AB72:AB80,"&gt;=5")</f>
        <v>9</v>
      </c>
      <c r="AC83" s="108">
        <f t="shared" si="446"/>
        <v>0</v>
      </c>
      <c r="AD83" s="108">
        <f t="shared" si="446"/>
        <v>0</v>
      </c>
      <c r="AE83" s="108">
        <f t="shared" si="446"/>
        <v>0</v>
      </c>
      <c r="AF83" s="120"/>
      <c r="AG83" s="120"/>
      <c r="AH83" s="196" t="s">
        <v>325</v>
      </c>
      <c r="AI83" s="192"/>
      <c r="AJ83" s="108">
        <f>COUNTIF(AJ72:AJ80,"6-8.5")</f>
        <v>0</v>
      </c>
      <c r="AK83" s="108">
        <f t="shared" ref="AK83:AX83" si="447">COUNTIF(AK72:AK80,"6-8.5")</f>
        <v>0</v>
      </c>
      <c r="AL83" s="108">
        <f t="shared" si="447"/>
        <v>0</v>
      </c>
      <c r="AM83" s="108">
        <f t="shared" si="447"/>
        <v>0</v>
      </c>
      <c r="AN83" s="108">
        <f t="shared" si="447"/>
        <v>0</v>
      </c>
      <c r="AO83" s="108">
        <f t="shared" si="447"/>
        <v>0</v>
      </c>
      <c r="AP83" s="108">
        <f t="shared" si="447"/>
        <v>0</v>
      </c>
      <c r="AQ83" s="108">
        <f t="shared" si="447"/>
        <v>0</v>
      </c>
      <c r="AR83" s="108">
        <f t="shared" si="447"/>
        <v>0</v>
      </c>
      <c r="AS83" s="108">
        <f t="shared" si="447"/>
        <v>0</v>
      </c>
      <c r="AT83" s="108">
        <f t="shared" si="447"/>
        <v>0</v>
      </c>
      <c r="AU83" s="108">
        <f t="shared" si="447"/>
        <v>0</v>
      </c>
      <c r="AV83" s="108">
        <f t="shared" si="447"/>
        <v>0</v>
      </c>
      <c r="AW83" s="108">
        <f t="shared" si="447"/>
        <v>0</v>
      </c>
      <c r="AX83" s="108">
        <f t="shared" si="447"/>
        <v>0</v>
      </c>
      <c r="AY83" s="108">
        <f t="shared" ref="AY83:BC83" si="448">COUNTIF(AY72:AY80,"6-8.5")</f>
        <v>0</v>
      </c>
      <c r="AZ83" s="108">
        <f t="shared" si="448"/>
        <v>0</v>
      </c>
      <c r="BA83" s="108">
        <f t="shared" si="448"/>
        <v>0</v>
      </c>
      <c r="BB83" s="108">
        <f t="shared" si="448"/>
        <v>0</v>
      </c>
      <c r="BC83" s="108">
        <f t="shared" si="448"/>
        <v>0</v>
      </c>
      <c r="BD83" s="108">
        <f t="shared" ref="BD83:BF83" si="449">COUNTIF(BD72:BD80,"6-8.5")</f>
        <v>0</v>
      </c>
      <c r="BE83" s="108">
        <f t="shared" si="449"/>
        <v>0</v>
      </c>
      <c r="BF83" s="108">
        <f t="shared" si="449"/>
        <v>0</v>
      </c>
      <c r="BG83" s="108">
        <f>COUNTIF(BG72:BG80,"7-8.5")</f>
        <v>0</v>
      </c>
      <c r="BH83" s="108">
        <f t="shared" ref="BH83:BK83" si="450">COUNTIF(BH72:BH80,"7-8.5")</f>
        <v>0</v>
      </c>
      <c r="BI83" s="108">
        <f t="shared" si="450"/>
        <v>0</v>
      </c>
      <c r="BJ83" s="108">
        <f t="shared" si="450"/>
        <v>0</v>
      </c>
      <c r="BK83" s="108">
        <f t="shared" si="450"/>
        <v>0</v>
      </c>
      <c r="BL83" s="120"/>
      <c r="BM83" s="120"/>
      <c r="BN83" s="196" t="s">
        <v>325</v>
      </c>
      <c r="BO83" s="192"/>
      <c r="BP83" s="108">
        <f>COUNTIF(BP72:BP80,"&gt;=0.4")</f>
        <v>0</v>
      </c>
      <c r="BQ83" s="108">
        <f>COUNTIF(BQ72:BQ80,"&gt;=0.4")</f>
        <v>0</v>
      </c>
      <c r="BR83" s="108">
        <f t="shared" ref="BR83:CE83" si="451">COUNTIF(BR72:BR80,"&gt;=0.4")</f>
        <v>0</v>
      </c>
      <c r="BS83" s="108">
        <f t="shared" si="451"/>
        <v>0</v>
      </c>
      <c r="BT83" s="108">
        <f t="shared" si="451"/>
        <v>0</v>
      </c>
      <c r="BU83" s="108">
        <f t="shared" si="451"/>
        <v>9</v>
      </c>
      <c r="BV83" s="108">
        <f t="shared" si="451"/>
        <v>8</v>
      </c>
      <c r="BW83" s="108">
        <f t="shared" si="451"/>
        <v>0</v>
      </c>
      <c r="BX83" s="108">
        <f t="shared" si="451"/>
        <v>0</v>
      </c>
      <c r="BY83" s="108">
        <f t="shared" si="451"/>
        <v>9</v>
      </c>
      <c r="BZ83" s="108">
        <f t="shared" si="451"/>
        <v>0</v>
      </c>
      <c r="CA83" s="108">
        <f t="shared" si="451"/>
        <v>0</v>
      </c>
      <c r="CB83" s="108">
        <f t="shared" si="451"/>
        <v>1</v>
      </c>
      <c r="CC83" s="108">
        <f t="shared" si="451"/>
        <v>0</v>
      </c>
      <c r="CD83" s="108">
        <f t="shared" si="451"/>
        <v>0</v>
      </c>
      <c r="CE83" s="108">
        <f t="shared" si="451"/>
        <v>0</v>
      </c>
      <c r="CF83" s="108">
        <f t="shared" ref="CF83:CI83" si="452">COUNTIF(CF72:CF80,"&gt;=0.4")</f>
        <v>0</v>
      </c>
      <c r="CG83" s="108">
        <f t="shared" si="452"/>
        <v>1</v>
      </c>
      <c r="CH83" s="108">
        <f t="shared" si="452"/>
        <v>0</v>
      </c>
      <c r="CI83" s="108">
        <f t="shared" si="452"/>
        <v>0</v>
      </c>
      <c r="CJ83" s="108">
        <f t="shared" ref="CJ83:CM83" si="453">COUNTIF(CJ72:CJ80,"&gt;=0.4")</f>
        <v>0</v>
      </c>
      <c r="CK83" s="108">
        <f t="shared" si="453"/>
        <v>0</v>
      </c>
      <c r="CL83" s="108">
        <f t="shared" si="453"/>
        <v>0</v>
      </c>
      <c r="CM83" s="108">
        <f t="shared" si="453"/>
        <v>0</v>
      </c>
      <c r="CN83" s="108">
        <f t="shared" ref="CN83:CQ83" si="454">COUNTIF(CN72:CN80,"&gt;=0.4")</f>
        <v>0</v>
      </c>
      <c r="CO83" s="108">
        <f t="shared" si="454"/>
        <v>0</v>
      </c>
      <c r="CP83" s="108">
        <f t="shared" si="454"/>
        <v>0</v>
      </c>
      <c r="CQ83" s="108">
        <f t="shared" si="454"/>
        <v>0</v>
      </c>
      <c r="CR83" s="120"/>
      <c r="CS83" s="120"/>
      <c r="CT83" s="120"/>
      <c r="CU83" s="196"/>
      <c r="CV83" s="192"/>
      <c r="CW83" s="108"/>
      <c r="CX83" s="122"/>
      <c r="CY83" s="122"/>
      <c r="CZ83" s="122"/>
      <c r="DA83" s="108"/>
      <c r="DB83" s="108"/>
      <c r="DC83" s="122"/>
      <c r="DD83" s="218"/>
      <c r="DE83" s="107"/>
      <c r="DF83" s="107"/>
      <c r="DG83" s="107"/>
      <c r="DH83" s="107"/>
      <c r="DI83" s="107"/>
      <c r="DJ83" s="107"/>
      <c r="DK83" s="107"/>
      <c r="DL83" s="107"/>
      <c r="DM83" s="107"/>
      <c r="DN83" s="107"/>
      <c r="DO83" s="107"/>
      <c r="DP83" s="107"/>
      <c r="DQ83" s="107"/>
      <c r="DR83" s="107"/>
      <c r="DS83" s="107"/>
      <c r="DT83" s="107"/>
      <c r="DU83" s="107"/>
      <c r="DV83" s="107"/>
      <c r="DW83" s="107"/>
      <c r="DX83" s="107"/>
      <c r="DY83" s="120"/>
      <c r="DZ83" s="120"/>
      <c r="EA83" s="120"/>
      <c r="EB83" s="196"/>
      <c r="EC83" s="192"/>
      <c r="ED83" s="108"/>
      <c r="EE83" s="122"/>
      <c r="EF83" s="122"/>
      <c r="EG83" s="122"/>
      <c r="EH83" s="108"/>
      <c r="EI83" s="108"/>
      <c r="EJ83" s="122"/>
      <c r="EK83" s="218"/>
      <c r="EL83" s="107"/>
      <c r="EM83" s="107"/>
      <c r="EN83" s="107"/>
      <c r="EO83" s="107"/>
      <c r="EP83" s="107"/>
      <c r="EQ83" s="107"/>
      <c r="ER83" s="107"/>
      <c r="ES83" s="107"/>
      <c r="ET83" s="107"/>
      <c r="EU83" s="107"/>
      <c r="EV83" s="107"/>
      <c r="EW83" s="107"/>
      <c r="EX83" s="767"/>
    </row>
    <row r="84" spans="1:161" ht="15.75" thickBot="1">
      <c r="A84" s="107"/>
      <c r="B84" s="196" t="s">
        <v>327</v>
      </c>
      <c r="C84" s="192">
        <f>COUNTA(C72:C80)</f>
        <v>9</v>
      </c>
      <c r="D84" s="108"/>
      <c r="E84" s="122"/>
      <c r="F84" s="122"/>
      <c r="G84" s="122"/>
      <c r="H84" s="108"/>
      <c r="I84" s="108"/>
      <c r="J84" s="122"/>
      <c r="K84" s="56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96"/>
      <c r="AI84" s="192"/>
      <c r="AJ84" s="108"/>
      <c r="AK84" s="122"/>
      <c r="AL84" s="122"/>
      <c r="AM84" s="122"/>
      <c r="AN84" s="108"/>
      <c r="AO84" s="108"/>
      <c r="AP84" s="122"/>
      <c r="AQ84" s="218"/>
      <c r="AR84" s="107"/>
      <c r="AS84" s="107"/>
      <c r="AT84" s="107"/>
      <c r="AU84" s="107"/>
      <c r="AV84" s="107"/>
      <c r="AW84" s="107"/>
      <c r="AX84" s="107"/>
      <c r="AY84" s="107"/>
      <c r="AZ84" s="107"/>
      <c r="BA84" s="107"/>
      <c r="BB84" s="107"/>
      <c r="BC84" s="107"/>
      <c r="BD84" s="107"/>
      <c r="BE84" s="120"/>
      <c r="BF84" s="120"/>
      <c r="BG84" s="120"/>
      <c r="BH84" s="120"/>
      <c r="BI84" s="120"/>
      <c r="BJ84" s="120"/>
      <c r="BK84" s="120"/>
      <c r="BL84" s="120"/>
      <c r="BM84" s="120"/>
      <c r="BN84" s="196"/>
      <c r="BO84" s="192"/>
      <c r="BP84" s="108"/>
      <c r="BQ84" s="122"/>
      <c r="BR84" s="122"/>
      <c r="BS84" s="122"/>
      <c r="BT84" s="108"/>
      <c r="BU84" s="108"/>
      <c r="BV84" s="122"/>
      <c r="BW84" s="567"/>
      <c r="BX84" s="107"/>
      <c r="BY84" s="107"/>
      <c r="BZ84" s="107"/>
      <c r="CA84" s="107"/>
      <c r="CB84" s="107"/>
      <c r="CC84" s="107"/>
      <c r="CD84" s="107"/>
      <c r="CE84" s="107"/>
      <c r="CF84" s="107"/>
      <c r="CG84" s="107"/>
      <c r="CH84" s="107"/>
      <c r="CI84" s="107"/>
      <c r="CJ84" s="107"/>
      <c r="CK84" s="107"/>
      <c r="CL84" s="107"/>
      <c r="CM84" s="107"/>
      <c r="CN84" s="107"/>
      <c r="CO84" s="107"/>
      <c r="CP84" s="107"/>
      <c r="CQ84" s="107"/>
      <c r="CR84" s="120"/>
      <c r="CS84" s="120"/>
      <c r="CT84" s="120"/>
      <c r="CU84" s="196"/>
      <c r="CV84" s="192"/>
      <c r="CW84" s="108"/>
      <c r="CX84" s="122"/>
      <c r="CY84" s="122"/>
      <c r="CZ84" s="122"/>
      <c r="DA84" s="108"/>
      <c r="DB84" s="108"/>
      <c r="DC84" s="122"/>
      <c r="DD84" s="218"/>
      <c r="DE84" s="107"/>
      <c r="DF84" s="107"/>
      <c r="DG84" s="107"/>
      <c r="DH84" s="107"/>
      <c r="DI84" s="107"/>
      <c r="DJ84" s="107"/>
      <c r="DK84" s="107"/>
      <c r="DL84" s="107"/>
      <c r="DM84" s="107"/>
      <c r="DN84" s="107"/>
      <c r="DO84" s="107"/>
      <c r="DP84" s="107"/>
      <c r="DQ84" s="107"/>
      <c r="DR84" s="107"/>
      <c r="DS84" s="107"/>
      <c r="DT84" s="107"/>
      <c r="DU84" s="107"/>
      <c r="DV84" s="107"/>
      <c r="DW84" s="107"/>
      <c r="DX84" s="107"/>
      <c r="DY84" s="120"/>
      <c r="DZ84" s="120"/>
      <c r="EA84" s="120"/>
      <c r="EB84" s="196"/>
      <c r="EC84" s="192"/>
      <c r="ED84" s="108"/>
      <c r="EE84" s="122"/>
      <c r="EF84" s="122"/>
      <c r="EG84" s="122"/>
      <c r="EH84" s="108"/>
      <c r="EI84" s="108"/>
      <c r="EJ84" s="122"/>
      <c r="EK84" s="218"/>
      <c r="EL84" s="107"/>
      <c r="EM84" s="107"/>
      <c r="EN84" s="107"/>
      <c r="EO84" s="107"/>
      <c r="EP84" s="107"/>
      <c r="EQ84" s="107"/>
      <c r="ER84" s="107"/>
      <c r="ES84" s="107"/>
      <c r="ET84" s="107"/>
      <c r="EU84" s="107"/>
      <c r="EV84" s="107"/>
      <c r="EW84" s="107"/>
      <c r="EX84" s="767"/>
    </row>
    <row r="85" spans="1:161">
      <c r="A85" s="107"/>
      <c r="B85" s="3761" t="s">
        <v>210</v>
      </c>
      <c r="C85" s="617">
        <v>1</v>
      </c>
      <c r="D85" s="434">
        <f>D13</f>
        <v>4.45</v>
      </c>
      <c r="E85" s="251" t="str">
        <f t="shared" ref="E85:O85" si="455">E13</f>
        <v>No Data</v>
      </c>
      <c r="F85" s="251">
        <f t="shared" si="455"/>
        <v>3.16</v>
      </c>
      <c r="G85" s="608">
        <f t="shared" si="455"/>
        <v>2.34</v>
      </c>
      <c r="H85" s="434">
        <f t="shared" si="455"/>
        <v>1.29</v>
      </c>
      <c r="I85" s="251">
        <f t="shared" si="455"/>
        <v>3.05</v>
      </c>
      <c r="J85" s="251" t="str">
        <f t="shared" si="455"/>
        <v>No Data</v>
      </c>
      <c r="K85" s="608">
        <f t="shared" si="455"/>
        <v>1.89</v>
      </c>
      <c r="L85" s="434">
        <f t="shared" si="455"/>
        <v>2.9</v>
      </c>
      <c r="M85" s="251">
        <f t="shared" si="455"/>
        <v>4.49</v>
      </c>
      <c r="N85" s="251">
        <v>3.63</v>
      </c>
      <c r="O85" s="608">
        <f t="shared" si="455"/>
        <v>0</v>
      </c>
      <c r="P85" s="434">
        <f>P13</f>
        <v>3.03</v>
      </c>
      <c r="Q85" s="434">
        <f t="shared" ref="Q85:U85" si="456">Q13</f>
        <v>2.4</v>
      </c>
      <c r="R85" s="434" t="str">
        <f t="shared" si="456"/>
        <v>no data</v>
      </c>
      <c r="S85" s="434"/>
      <c r="T85" s="434"/>
      <c r="U85" s="434">
        <f t="shared" si="456"/>
        <v>6.18</v>
      </c>
      <c r="V85" s="434"/>
      <c r="W85" s="434"/>
      <c r="X85" s="434">
        <f>X13</f>
        <v>3.65</v>
      </c>
      <c r="Y85" s="434">
        <f t="shared" ref="Y85:AA85" si="457">Y13</f>
        <v>4.01</v>
      </c>
      <c r="Z85" s="434">
        <f t="shared" si="457"/>
        <v>3.66</v>
      </c>
      <c r="AA85" s="434">
        <f t="shared" si="457"/>
        <v>3.55</v>
      </c>
      <c r="AB85" s="434">
        <f t="shared" ref="AB85:AE85" si="458">AB13</f>
        <v>5.33</v>
      </c>
      <c r="AC85" s="434">
        <f t="shared" si="458"/>
        <v>0</v>
      </c>
      <c r="AD85" s="434">
        <f t="shared" si="458"/>
        <v>0</v>
      </c>
      <c r="AE85" s="434">
        <f t="shared" si="458"/>
        <v>0</v>
      </c>
      <c r="AF85" s="107"/>
      <c r="AG85" s="107"/>
      <c r="AH85" s="3761" t="s">
        <v>213</v>
      </c>
      <c r="AI85" s="617">
        <v>1</v>
      </c>
      <c r="AJ85" s="434" t="str">
        <f>AJ13</f>
        <v>No Data</v>
      </c>
      <c r="AK85" s="251" t="str">
        <f t="shared" ref="AK85:AU85" si="459">AK13</f>
        <v>No Data</v>
      </c>
      <c r="AL85" s="251" t="str">
        <f t="shared" si="459"/>
        <v>No Data</v>
      </c>
      <c r="AM85" s="608">
        <f t="shared" si="459"/>
        <v>9.59</v>
      </c>
      <c r="AN85" s="569">
        <f t="shared" si="459"/>
        <v>9.9600000000000009</v>
      </c>
      <c r="AO85" s="251">
        <f t="shared" si="459"/>
        <v>8.74</v>
      </c>
      <c r="AP85" s="251" t="str">
        <f t="shared" si="459"/>
        <v>No Data</v>
      </c>
      <c r="AQ85" s="620">
        <f t="shared" si="459"/>
        <v>8.7100000000000009</v>
      </c>
      <c r="AR85" s="434">
        <f t="shared" si="459"/>
        <v>8.76</v>
      </c>
      <c r="AS85" s="251">
        <f t="shared" si="459"/>
        <v>8.7799999999999994</v>
      </c>
      <c r="AT85" s="251">
        <v>8.69</v>
      </c>
      <c r="AU85" s="608">
        <f t="shared" si="459"/>
        <v>0</v>
      </c>
      <c r="AV85" s="369"/>
      <c r="AW85" s="358"/>
      <c r="AX85" s="358"/>
      <c r="AY85" s="3294"/>
      <c r="AZ85" s="357">
        <f>AZ13</f>
        <v>9</v>
      </c>
      <c r="BA85" s="358">
        <f t="shared" ref="BA85:BC85" si="460">BA13</f>
        <v>8.52</v>
      </c>
      <c r="BB85" s="358">
        <f t="shared" si="460"/>
        <v>9.32</v>
      </c>
      <c r="BC85" s="3294">
        <f t="shared" si="460"/>
        <v>0</v>
      </c>
      <c r="BD85" s="357">
        <f>BD13</f>
        <v>8.01</v>
      </c>
      <c r="BE85" s="357">
        <f t="shared" ref="BE85:BG85" si="461">BE13</f>
        <v>8.08</v>
      </c>
      <c r="BF85" s="357">
        <f t="shared" si="461"/>
        <v>7.25</v>
      </c>
      <c r="BG85" s="357">
        <f t="shared" si="461"/>
        <v>7.37</v>
      </c>
      <c r="BH85" s="357">
        <f t="shared" ref="BH85:BK85" si="462">BH13</f>
        <v>5.55</v>
      </c>
      <c r="BI85" s="357">
        <f t="shared" si="462"/>
        <v>0</v>
      </c>
      <c r="BJ85" s="357">
        <f t="shared" si="462"/>
        <v>0</v>
      </c>
      <c r="BK85" s="357">
        <f t="shared" si="462"/>
        <v>0</v>
      </c>
      <c r="BL85" s="107"/>
      <c r="BM85" s="107"/>
      <c r="BN85" s="3761" t="s">
        <v>216</v>
      </c>
      <c r="BO85" s="617">
        <v>1</v>
      </c>
      <c r="BP85" s="434" t="str">
        <f>BP13</f>
        <v>No Data</v>
      </c>
      <c r="BQ85" s="251" t="str">
        <f t="shared" ref="BQ85:BZ85" si="463">BQ13</f>
        <v>No Data</v>
      </c>
      <c r="BR85" s="251" t="str">
        <f t="shared" si="463"/>
        <v>No Data</v>
      </c>
      <c r="BS85" s="620" t="str">
        <f t="shared" si="463"/>
        <v>No Data</v>
      </c>
      <c r="BT85" s="434">
        <f t="shared" si="463"/>
        <v>0.44800000000000001</v>
      </c>
      <c r="BU85" s="251">
        <f t="shared" si="463"/>
        <v>0.74</v>
      </c>
      <c r="BV85" s="251">
        <f t="shared" si="463"/>
        <v>0</v>
      </c>
      <c r="BW85" s="608">
        <f t="shared" si="463"/>
        <v>0</v>
      </c>
      <c r="BX85" s="569">
        <f t="shared" si="463"/>
        <v>0</v>
      </c>
      <c r="BY85" s="251">
        <f t="shared" si="463"/>
        <v>1.087</v>
      </c>
      <c r="BZ85" s="251">
        <f t="shared" si="463"/>
        <v>0</v>
      </c>
      <c r="CA85" s="608"/>
      <c r="CB85" s="608">
        <f t="shared" ref="CB85:CG85" si="464">CB13</f>
        <v>0.31</v>
      </c>
      <c r="CC85" s="608"/>
      <c r="CD85" s="608"/>
      <c r="CE85" s="608"/>
      <c r="CF85" s="608"/>
      <c r="CG85" s="608">
        <f t="shared" si="464"/>
        <v>0.41399999999999998</v>
      </c>
      <c r="CH85" s="608">
        <f t="shared" ref="CH85:CI85" si="465">CH13</f>
        <v>0</v>
      </c>
      <c r="CI85" s="608">
        <f t="shared" si="465"/>
        <v>0</v>
      </c>
      <c r="CJ85" s="608"/>
      <c r="CK85" s="608"/>
      <c r="CL85" s="608"/>
      <c r="CM85" s="608"/>
      <c r="CN85" s="608" t="str">
        <f>CN13</f>
        <v>&lt;0.013</v>
      </c>
      <c r="CO85" s="608">
        <f t="shared" ref="CO85:CQ85" si="466">CO13</f>
        <v>0</v>
      </c>
      <c r="CP85" s="608">
        <f t="shared" si="466"/>
        <v>0</v>
      </c>
      <c r="CQ85" s="608">
        <f t="shared" si="466"/>
        <v>0</v>
      </c>
      <c r="CR85" s="107"/>
      <c r="CS85" s="107"/>
      <c r="CT85" s="107"/>
      <c r="CU85" s="3750" t="s">
        <v>250</v>
      </c>
      <c r="CV85" s="617">
        <v>1</v>
      </c>
      <c r="CW85" s="434">
        <f>CW13</f>
        <v>0</v>
      </c>
      <c r="CX85" s="251">
        <f t="shared" ref="CX85:DF85" si="467">CX13</f>
        <v>0</v>
      </c>
      <c r="CY85" s="251">
        <f t="shared" si="467"/>
        <v>0</v>
      </c>
      <c r="CZ85" s="608">
        <f t="shared" si="467"/>
        <v>2.58</v>
      </c>
      <c r="DA85" s="434">
        <f t="shared" si="467"/>
        <v>3.59</v>
      </c>
      <c r="DB85" s="251">
        <f t="shared" si="467"/>
        <v>2.46</v>
      </c>
      <c r="DC85" s="251" t="str">
        <f t="shared" si="467"/>
        <v>No Data</v>
      </c>
      <c r="DD85" s="608">
        <f t="shared" si="467"/>
        <v>0</v>
      </c>
      <c r="DE85" s="434">
        <f t="shared" si="467"/>
        <v>2.63</v>
      </c>
      <c r="DF85" s="251">
        <f t="shared" si="467"/>
        <v>2.66</v>
      </c>
      <c r="DG85" s="251">
        <v>2.4500000000000002</v>
      </c>
      <c r="DH85" s="608"/>
      <c r="DI85" s="608">
        <f t="shared" ref="DI85:DP85" si="468">DI13</f>
        <v>2.58</v>
      </c>
      <c r="DJ85" s="608">
        <f t="shared" si="468"/>
        <v>2.6</v>
      </c>
      <c r="DK85" s="608">
        <f t="shared" si="468"/>
        <v>2.2599999999999998</v>
      </c>
      <c r="DL85" s="608"/>
      <c r="DM85" s="608">
        <f t="shared" si="468"/>
        <v>2.36</v>
      </c>
      <c r="DN85" s="608">
        <f t="shared" si="468"/>
        <v>2.57</v>
      </c>
      <c r="DO85" s="608">
        <f t="shared" si="468"/>
        <v>2.35</v>
      </c>
      <c r="DP85" s="608">
        <f t="shared" si="468"/>
        <v>0</v>
      </c>
      <c r="DQ85" s="608">
        <f>DQ13</f>
        <v>2.56</v>
      </c>
      <c r="DR85" s="608">
        <f t="shared" ref="DR85:DT85" si="469">DR13</f>
        <v>2.57</v>
      </c>
      <c r="DS85" s="608">
        <f t="shared" si="469"/>
        <v>2.15</v>
      </c>
      <c r="DT85" s="608">
        <f t="shared" si="469"/>
        <v>2.57</v>
      </c>
      <c r="DU85" s="608">
        <f t="shared" ref="DU85:DX85" si="470">DU13</f>
        <v>2.5099999999999998</v>
      </c>
      <c r="DV85" s="608">
        <f t="shared" si="470"/>
        <v>0</v>
      </c>
      <c r="DW85" s="608">
        <f t="shared" si="470"/>
        <v>0</v>
      </c>
      <c r="DX85" s="608">
        <f t="shared" si="470"/>
        <v>0</v>
      </c>
      <c r="DY85" s="107"/>
      <c r="DZ85" s="107"/>
      <c r="EA85" s="107"/>
      <c r="EB85" s="3750" t="s">
        <v>253</v>
      </c>
      <c r="EC85" s="617">
        <v>1</v>
      </c>
      <c r="ED85" s="434">
        <f>ED13</f>
        <v>0</v>
      </c>
      <c r="EE85" s="251">
        <f t="shared" ref="EE85:EO85" si="471">EE13</f>
        <v>0</v>
      </c>
      <c r="EF85" s="251">
        <f t="shared" si="471"/>
        <v>0</v>
      </c>
      <c r="EG85" s="608">
        <f t="shared" si="471"/>
        <v>40.1</v>
      </c>
      <c r="EH85" s="434">
        <f t="shared" si="471"/>
        <v>40.4</v>
      </c>
      <c r="EI85" s="251">
        <f t="shared" si="471"/>
        <v>38.5</v>
      </c>
      <c r="EJ85" s="251" t="str">
        <f t="shared" si="471"/>
        <v>No Data</v>
      </c>
      <c r="EK85" s="608">
        <f t="shared" si="471"/>
        <v>0</v>
      </c>
      <c r="EL85" s="434">
        <f t="shared" si="471"/>
        <v>40.700000000000003</v>
      </c>
      <c r="EM85" s="251">
        <f t="shared" si="471"/>
        <v>41.3</v>
      </c>
      <c r="EN85" s="251">
        <v>38.4</v>
      </c>
      <c r="EO85" s="608">
        <f t="shared" si="471"/>
        <v>0</v>
      </c>
      <c r="EP85" s="251">
        <v>38.4</v>
      </c>
      <c r="EQ85" s="608">
        <f t="shared" ref="EQ85" si="472">EQ13</f>
        <v>40.4</v>
      </c>
      <c r="ER85" s="251">
        <v>38.4</v>
      </c>
      <c r="ES85" s="620">
        <f t="shared" ref="ES85" si="473">ES13</f>
        <v>0</v>
      </c>
      <c r="ET85" s="434">
        <v>38.4</v>
      </c>
      <c r="EU85" s="251">
        <f t="shared" ref="EU85" si="474">EU13</f>
        <v>40</v>
      </c>
      <c r="EV85" s="251">
        <v>38.4</v>
      </c>
      <c r="EW85" s="608">
        <f t="shared" ref="EW85" si="475">EW13</f>
        <v>0</v>
      </c>
      <c r="EX85" s="434">
        <f>EX13</f>
        <v>40.1</v>
      </c>
      <c r="EY85" s="434">
        <f t="shared" ref="EY85:FA85" si="476">EY13</f>
        <v>40</v>
      </c>
      <c r="EZ85" s="434">
        <f t="shared" si="476"/>
        <v>33.799999999999997</v>
      </c>
      <c r="FA85" s="434">
        <f t="shared" si="476"/>
        <v>40</v>
      </c>
      <c r="FB85" s="434">
        <f t="shared" ref="FB85:FE85" si="477">FB13</f>
        <v>39.1</v>
      </c>
      <c r="FC85" s="434">
        <f t="shared" si="477"/>
        <v>0</v>
      </c>
      <c r="FD85" s="434">
        <f t="shared" si="477"/>
        <v>0</v>
      </c>
      <c r="FE85" s="434">
        <f t="shared" si="477"/>
        <v>0</v>
      </c>
    </row>
    <row r="86" spans="1:161">
      <c r="A86" s="107"/>
      <c r="B86" s="3749"/>
      <c r="C86" s="615">
        <v>2</v>
      </c>
      <c r="D86" s="435">
        <f>D18</f>
        <v>4.6399999999999997</v>
      </c>
      <c r="E86" s="41" t="str">
        <f t="shared" ref="E86:O86" si="478">E18</f>
        <v>No Data</v>
      </c>
      <c r="F86" s="41" t="str">
        <f t="shared" si="478"/>
        <v>No Data</v>
      </c>
      <c r="G86" s="609">
        <f t="shared" si="478"/>
        <v>1.66</v>
      </c>
      <c r="H86" s="435">
        <f t="shared" si="478"/>
        <v>1.28</v>
      </c>
      <c r="I86" s="41">
        <f t="shared" si="478"/>
        <v>5.0199999999999996</v>
      </c>
      <c r="J86" s="41">
        <f t="shared" si="478"/>
        <v>1.63</v>
      </c>
      <c r="K86" s="609">
        <f t="shared" si="478"/>
        <v>2.09</v>
      </c>
      <c r="L86" s="435">
        <f t="shared" si="478"/>
        <v>5.95</v>
      </c>
      <c r="M86" s="41">
        <f t="shared" si="478"/>
        <v>4.9400000000000004</v>
      </c>
      <c r="N86" s="41">
        <v>4.7300000000000004</v>
      </c>
      <c r="O86" s="609">
        <f t="shared" si="478"/>
        <v>0</v>
      </c>
      <c r="P86" s="435">
        <f>P18</f>
        <v>5.01</v>
      </c>
      <c r="Q86" s="435">
        <f t="shared" ref="Q86:U86" si="479">Q18</f>
        <v>3.06</v>
      </c>
      <c r="R86" s="435" t="str">
        <f t="shared" si="479"/>
        <v>no data</v>
      </c>
      <c r="S86" s="435"/>
      <c r="T86" s="435"/>
      <c r="U86" s="435">
        <f t="shared" si="479"/>
        <v>5.85</v>
      </c>
      <c r="V86" s="435"/>
      <c r="W86" s="435"/>
      <c r="X86" s="435">
        <f>X18</f>
        <v>3.55</v>
      </c>
      <c r="Y86" s="435">
        <f t="shared" ref="Y86:AA86" si="480">Y18</f>
        <v>4.0999999999999996</v>
      </c>
      <c r="Z86" s="435">
        <f t="shared" si="480"/>
        <v>1.97</v>
      </c>
      <c r="AA86" s="435">
        <f t="shared" si="480"/>
        <v>3.63</v>
      </c>
      <c r="AB86" s="435">
        <f t="shared" ref="AB86:AE86" si="481">AB18</f>
        <v>6.37</v>
      </c>
      <c r="AC86" s="435">
        <f t="shared" si="481"/>
        <v>0</v>
      </c>
      <c r="AD86" s="435">
        <f t="shared" si="481"/>
        <v>0</v>
      </c>
      <c r="AE86" s="435">
        <f t="shared" si="481"/>
        <v>0</v>
      </c>
      <c r="AF86" s="107"/>
      <c r="AG86" s="107"/>
      <c r="AH86" s="3749"/>
      <c r="AI86" s="615">
        <v>2</v>
      </c>
      <c r="AJ86" s="435" t="str">
        <f>AJ18</f>
        <v>No Data</v>
      </c>
      <c r="AK86" s="41" t="str">
        <f t="shared" ref="AK86:AU86" si="482">AK18</f>
        <v>No Data</v>
      </c>
      <c r="AL86" s="41" t="str">
        <f t="shared" si="482"/>
        <v>No Data</v>
      </c>
      <c r="AM86" s="609">
        <f t="shared" si="482"/>
        <v>9.5399999999999991</v>
      </c>
      <c r="AN86" s="570">
        <f t="shared" si="482"/>
        <v>9.8699999999999992</v>
      </c>
      <c r="AO86" s="41">
        <f t="shared" si="482"/>
        <v>9.1</v>
      </c>
      <c r="AP86" s="41">
        <f t="shared" si="482"/>
        <v>8.86</v>
      </c>
      <c r="AQ86" s="614">
        <f t="shared" si="482"/>
        <v>8.7899999999999991</v>
      </c>
      <c r="AR86" s="435">
        <f t="shared" si="482"/>
        <v>9.02</v>
      </c>
      <c r="AS86" s="41">
        <f t="shared" si="482"/>
        <v>8.69</v>
      </c>
      <c r="AT86" s="41">
        <v>8.76</v>
      </c>
      <c r="AU86" s="609">
        <f t="shared" si="482"/>
        <v>0</v>
      </c>
      <c r="AV86" s="370"/>
      <c r="AW86" s="304"/>
      <c r="AX86" s="304"/>
      <c r="AY86" s="381"/>
      <c r="AZ86" s="318">
        <f>AZ18</f>
        <v>9.1</v>
      </c>
      <c r="BA86" s="304">
        <f t="shared" ref="BA86:BC86" si="483">BA18</f>
        <v>8.6199999999999992</v>
      </c>
      <c r="BB86" s="304">
        <f t="shared" si="483"/>
        <v>9.08</v>
      </c>
      <c r="BC86" s="381">
        <f t="shared" si="483"/>
        <v>0</v>
      </c>
      <c r="BD86" s="318">
        <f>BD18</f>
        <v>9.26</v>
      </c>
      <c r="BE86" s="318">
        <f t="shared" ref="BE86:BG86" si="484">BE18</f>
        <v>8.0500000000000007</v>
      </c>
      <c r="BF86" s="318">
        <f t="shared" si="484"/>
        <v>7.18</v>
      </c>
      <c r="BG86" s="318">
        <f t="shared" si="484"/>
        <v>7.31</v>
      </c>
      <c r="BH86" s="318">
        <f t="shared" ref="BH86:BK86" si="485">BH18</f>
        <v>5.89</v>
      </c>
      <c r="BI86" s="318">
        <f t="shared" si="485"/>
        <v>0</v>
      </c>
      <c r="BJ86" s="318">
        <f t="shared" si="485"/>
        <v>0</v>
      </c>
      <c r="BK86" s="318">
        <f t="shared" si="485"/>
        <v>0</v>
      </c>
      <c r="BL86" s="107"/>
      <c r="BM86" s="107"/>
      <c r="BN86" s="3749"/>
      <c r="BO86" s="615">
        <v>2</v>
      </c>
      <c r="BP86" s="435" t="str">
        <f>BP18</f>
        <v>No Data</v>
      </c>
      <c r="BQ86" s="41" t="str">
        <f t="shared" ref="BQ86:BZ86" si="486">BQ18</f>
        <v>No Data</v>
      </c>
      <c r="BR86" s="41" t="str">
        <f t="shared" si="486"/>
        <v>No Data</v>
      </c>
      <c r="BS86" s="614" t="str">
        <f t="shared" si="486"/>
        <v>No Data</v>
      </c>
      <c r="BT86" s="435">
        <f t="shared" si="486"/>
        <v>0.34399999999999997</v>
      </c>
      <c r="BU86" s="41">
        <f t="shared" si="486"/>
        <v>0.73</v>
      </c>
      <c r="BV86" s="41">
        <f t="shared" si="486"/>
        <v>1.0609999999999999</v>
      </c>
      <c r="BW86" s="609">
        <f t="shared" si="486"/>
        <v>0</v>
      </c>
      <c r="BX86" s="570">
        <f t="shared" si="486"/>
        <v>0</v>
      </c>
      <c r="BY86" s="41">
        <f t="shared" si="486"/>
        <v>1.089</v>
      </c>
      <c r="BZ86" s="41">
        <f t="shared" si="486"/>
        <v>0</v>
      </c>
      <c r="CA86" s="609"/>
      <c r="CB86" s="609">
        <f t="shared" ref="CB86:CG86" si="487">CB18</f>
        <v>0.41</v>
      </c>
      <c r="CC86" s="609"/>
      <c r="CD86" s="609"/>
      <c r="CE86" s="609"/>
      <c r="CF86" s="609"/>
      <c r="CG86" s="609">
        <f t="shared" si="487"/>
        <v>0.371</v>
      </c>
      <c r="CH86" s="609">
        <f t="shared" ref="CH86:CI86" si="488">CH18</f>
        <v>0</v>
      </c>
      <c r="CI86" s="609">
        <f t="shared" si="488"/>
        <v>0</v>
      </c>
      <c r="CJ86" s="609"/>
      <c r="CK86" s="609"/>
      <c r="CL86" s="609"/>
      <c r="CM86" s="609"/>
      <c r="CN86" s="609" t="str">
        <f>CN18</f>
        <v>&lt;0.013</v>
      </c>
      <c r="CO86" s="609">
        <f t="shared" ref="CO86:CQ86" si="489">CO18</f>
        <v>0</v>
      </c>
      <c r="CP86" s="609">
        <f t="shared" si="489"/>
        <v>0</v>
      </c>
      <c r="CQ86" s="609">
        <f t="shared" si="489"/>
        <v>0</v>
      </c>
      <c r="CR86" s="107"/>
      <c r="CS86" s="107"/>
      <c r="CT86" s="107"/>
      <c r="CU86" s="3749"/>
      <c r="CV86" s="615">
        <v>2</v>
      </c>
      <c r="CW86" s="435">
        <f>CW18</f>
        <v>0</v>
      </c>
      <c r="CX86" s="41">
        <f t="shared" ref="CX86:DF86" si="490">CX18</f>
        <v>0</v>
      </c>
      <c r="CY86" s="41">
        <f t="shared" si="490"/>
        <v>0</v>
      </c>
      <c r="CZ86" s="609">
        <f t="shared" si="490"/>
        <v>2.58</v>
      </c>
      <c r="DA86" s="435">
        <f t="shared" si="490"/>
        <v>2.62</v>
      </c>
      <c r="DB86" s="41">
        <f t="shared" si="490"/>
        <v>2.4900000000000002</v>
      </c>
      <c r="DC86" s="41">
        <f t="shared" si="490"/>
        <v>2.41</v>
      </c>
      <c r="DD86" s="609">
        <f t="shared" si="490"/>
        <v>0</v>
      </c>
      <c r="DE86" s="435">
        <f t="shared" si="490"/>
        <v>2.62</v>
      </c>
      <c r="DF86" s="41">
        <f t="shared" si="490"/>
        <v>2.65</v>
      </c>
      <c r="DG86" s="41">
        <v>2.4700000000000002</v>
      </c>
      <c r="DH86" s="609"/>
      <c r="DI86" s="609">
        <f t="shared" ref="DI86:DP86" si="491">DI18</f>
        <v>2.59</v>
      </c>
      <c r="DJ86" s="609">
        <f t="shared" si="491"/>
        <v>2.61</v>
      </c>
      <c r="DK86" s="609">
        <f t="shared" si="491"/>
        <v>2.39</v>
      </c>
      <c r="DL86" s="609"/>
      <c r="DM86" s="609">
        <f t="shared" si="491"/>
        <v>2.46</v>
      </c>
      <c r="DN86" s="609">
        <f t="shared" si="491"/>
        <v>2.57</v>
      </c>
      <c r="DO86" s="609">
        <f t="shared" si="491"/>
        <v>2.4500000000000002</v>
      </c>
      <c r="DP86" s="609">
        <f t="shared" si="491"/>
        <v>0</v>
      </c>
      <c r="DQ86" s="609">
        <f>DQ18</f>
        <v>2.58</v>
      </c>
      <c r="DR86" s="609">
        <f t="shared" ref="DR86:DT86" si="492">DR18</f>
        <v>2.57</v>
      </c>
      <c r="DS86" s="609">
        <f t="shared" si="492"/>
        <v>2.4900000000000002</v>
      </c>
      <c r="DT86" s="609">
        <f t="shared" si="492"/>
        <v>2.5499999999999998</v>
      </c>
      <c r="DU86" s="609">
        <f t="shared" ref="DU86:DX86" si="493">DU18</f>
        <v>2.48</v>
      </c>
      <c r="DV86" s="609">
        <f t="shared" si="493"/>
        <v>0</v>
      </c>
      <c r="DW86" s="609">
        <f t="shared" si="493"/>
        <v>0</v>
      </c>
      <c r="DX86" s="609">
        <f t="shared" si="493"/>
        <v>0</v>
      </c>
      <c r="DY86" s="107"/>
      <c r="DZ86" s="107"/>
      <c r="EA86" s="107"/>
      <c r="EB86" s="3749"/>
      <c r="EC86" s="615">
        <v>2</v>
      </c>
      <c r="ED86" s="435">
        <f>ED18</f>
        <v>0</v>
      </c>
      <c r="EE86" s="41">
        <f t="shared" ref="EE86:EO86" si="494">EE18</f>
        <v>0</v>
      </c>
      <c r="EF86" s="41">
        <f t="shared" si="494"/>
        <v>0</v>
      </c>
      <c r="EG86" s="609">
        <f t="shared" si="494"/>
        <v>40.299999999999997</v>
      </c>
      <c r="EH86" s="435">
        <f t="shared" si="494"/>
        <v>40.700000000000003</v>
      </c>
      <c r="EI86" s="41">
        <f t="shared" si="494"/>
        <v>38.799999999999997</v>
      </c>
      <c r="EJ86" s="41">
        <f t="shared" si="494"/>
        <v>37.799999999999997</v>
      </c>
      <c r="EK86" s="609">
        <f t="shared" si="494"/>
        <v>0</v>
      </c>
      <c r="EL86" s="435">
        <f t="shared" si="494"/>
        <v>40.6</v>
      </c>
      <c r="EM86" s="41">
        <f t="shared" si="494"/>
        <v>41.2</v>
      </c>
      <c r="EN86" s="41">
        <v>38.6</v>
      </c>
      <c r="EO86" s="609">
        <f t="shared" si="494"/>
        <v>0</v>
      </c>
      <c r="EP86" s="41">
        <v>38.6</v>
      </c>
      <c r="EQ86" s="609">
        <f t="shared" ref="EQ86" si="495">EQ18</f>
        <v>40.6</v>
      </c>
      <c r="ER86" s="41">
        <v>38.6</v>
      </c>
      <c r="ES86" s="614">
        <f t="shared" ref="ES86" si="496">ES18</f>
        <v>0</v>
      </c>
      <c r="ET86" s="435">
        <v>38.6</v>
      </c>
      <c r="EU86" s="41">
        <f t="shared" ref="EU86" si="497">EU18</f>
        <v>40</v>
      </c>
      <c r="EV86" s="41">
        <v>38.6</v>
      </c>
      <c r="EW86" s="609">
        <f t="shared" ref="EW86" si="498">EW18</f>
        <v>0</v>
      </c>
      <c r="EX86" s="435">
        <f>EX18</f>
        <v>40.1</v>
      </c>
      <c r="EY86" s="435">
        <f t="shared" ref="EY86:FA86" si="499">EY18</f>
        <v>40.1</v>
      </c>
      <c r="EZ86" s="435">
        <f t="shared" si="499"/>
        <v>38.799999999999997</v>
      </c>
      <c r="FA86" s="435">
        <f t="shared" si="499"/>
        <v>39.97</v>
      </c>
      <c r="FB86" s="435">
        <f t="shared" ref="FB86:FE86" si="500">FB18</f>
        <v>38.9</v>
      </c>
      <c r="FC86" s="435">
        <f t="shared" si="500"/>
        <v>0</v>
      </c>
      <c r="FD86" s="435">
        <f t="shared" si="500"/>
        <v>0</v>
      </c>
      <c r="FE86" s="435">
        <f t="shared" si="500"/>
        <v>0</v>
      </c>
    </row>
    <row r="87" spans="1:161">
      <c r="A87" s="107"/>
      <c r="B87" s="3749"/>
      <c r="C87" s="615">
        <v>3</v>
      </c>
      <c r="D87" s="435">
        <f>D23</f>
        <v>5.33</v>
      </c>
      <c r="E87" s="41" t="str">
        <f t="shared" ref="E87:O87" si="501">E23</f>
        <v>No Data</v>
      </c>
      <c r="F87" s="41">
        <f t="shared" si="501"/>
        <v>4.38</v>
      </c>
      <c r="G87" s="609">
        <f t="shared" si="501"/>
        <v>2.33</v>
      </c>
      <c r="H87" s="435">
        <f t="shared" si="501"/>
        <v>1.4</v>
      </c>
      <c r="I87" s="41">
        <f t="shared" si="501"/>
        <v>5.61</v>
      </c>
      <c r="J87" s="41">
        <f t="shared" si="501"/>
        <v>1.68</v>
      </c>
      <c r="K87" s="609">
        <f t="shared" si="501"/>
        <v>2.9</v>
      </c>
      <c r="L87" s="435">
        <f t="shared" si="501"/>
        <v>6.33</v>
      </c>
      <c r="M87" s="41">
        <f t="shared" si="501"/>
        <v>4.22</v>
      </c>
      <c r="N87" s="41">
        <v>5.84</v>
      </c>
      <c r="O87" s="609">
        <f t="shared" si="501"/>
        <v>0</v>
      </c>
      <c r="P87" s="435">
        <f>P23</f>
        <v>5.9</v>
      </c>
      <c r="Q87" s="435">
        <f t="shared" ref="Q87:U87" si="502">Q23</f>
        <v>7.36</v>
      </c>
      <c r="R87" s="435" t="str">
        <f t="shared" si="502"/>
        <v>no data</v>
      </c>
      <c r="S87" s="435"/>
      <c r="T87" s="435"/>
      <c r="U87" s="435">
        <f t="shared" si="502"/>
        <v>3.06</v>
      </c>
      <c r="V87" s="435"/>
      <c r="W87" s="435"/>
      <c r="X87" s="435">
        <f>X23</f>
        <v>3.63</v>
      </c>
      <c r="Y87" s="435">
        <f t="shared" ref="Y87:AA87" si="503">Y23</f>
        <v>3.26</v>
      </c>
      <c r="Z87" s="435">
        <f t="shared" si="503"/>
        <v>2.31</v>
      </c>
      <c r="AA87" s="435">
        <f t="shared" si="503"/>
        <v>1.79</v>
      </c>
      <c r="AB87" s="435">
        <f t="shared" ref="AB87:AE87" si="504">AB23</f>
        <v>4.6100000000000003</v>
      </c>
      <c r="AC87" s="435">
        <f t="shared" si="504"/>
        <v>0</v>
      </c>
      <c r="AD87" s="435">
        <f t="shared" si="504"/>
        <v>0</v>
      </c>
      <c r="AE87" s="435">
        <f t="shared" si="504"/>
        <v>0</v>
      </c>
      <c r="AF87" s="107"/>
      <c r="AG87" s="107"/>
      <c r="AH87" s="3749"/>
      <c r="AI87" s="615">
        <v>3</v>
      </c>
      <c r="AJ87" s="435" t="str">
        <f>AJ23</f>
        <v>No Data</v>
      </c>
      <c r="AK87" s="41" t="str">
        <f t="shared" ref="AK87:AU87" si="505">AK23</f>
        <v>No Data</v>
      </c>
      <c r="AL87" s="41" t="str">
        <f t="shared" si="505"/>
        <v>No Data</v>
      </c>
      <c r="AM87" s="609">
        <f t="shared" si="505"/>
        <v>9.64</v>
      </c>
      <c r="AN87" s="570">
        <f t="shared" si="505"/>
        <v>9.9700000000000006</v>
      </c>
      <c r="AO87" s="41">
        <f t="shared" si="505"/>
        <v>9.0299999999999994</v>
      </c>
      <c r="AP87" s="41">
        <f t="shared" si="505"/>
        <v>8.66</v>
      </c>
      <c r="AQ87" s="614">
        <f t="shared" si="505"/>
        <v>8.66</v>
      </c>
      <c r="AR87" s="435">
        <f t="shared" si="505"/>
        <v>8.91</v>
      </c>
      <c r="AS87" s="41">
        <f t="shared" si="505"/>
        <v>8.77</v>
      </c>
      <c r="AT87" s="41">
        <v>8.59</v>
      </c>
      <c r="AU87" s="609">
        <f t="shared" si="505"/>
        <v>0</v>
      </c>
      <c r="AV87" s="370"/>
      <c r="AW87" s="304"/>
      <c r="AX87" s="304"/>
      <c r="AY87" s="381"/>
      <c r="AZ87" s="318">
        <f>AZ23</f>
        <v>8.94</v>
      </c>
      <c r="BA87" s="304">
        <f t="shared" ref="BA87:BC87" si="506">BA23</f>
        <v>8.48</v>
      </c>
      <c r="BB87" s="304">
        <f t="shared" si="506"/>
        <v>9.15</v>
      </c>
      <c r="BC87" s="381">
        <f t="shared" si="506"/>
        <v>0</v>
      </c>
      <c r="BD87" s="318">
        <f>BD23</f>
        <v>9.17</v>
      </c>
      <c r="BE87" s="318">
        <f t="shared" ref="BE87:BG87" si="507">BE23</f>
        <v>8.01</v>
      </c>
      <c r="BF87" s="318">
        <f t="shared" si="507"/>
        <v>7.1</v>
      </c>
      <c r="BG87" s="318">
        <f t="shared" si="507"/>
        <v>7.14</v>
      </c>
      <c r="BH87" s="318">
        <f t="shared" ref="BH87:BK87" si="508">BH23</f>
        <v>6.77</v>
      </c>
      <c r="BI87" s="318">
        <f t="shared" si="508"/>
        <v>0</v>
      </c>
      <c r="BJ87" s="318">
        <f t="shared" si="508"/>
        <v>0</v>
      </c>
      <c r="BK87" s="318">
        <f t="shared" si="508"/>
        <v>0</v>
      </c>
      <c r="BL87" s="107"/>
      <c r="BM87" s="107"/>
      <c r="BN87" s="3749"/>
      <c r="BO87" s="615">
        <v>3</v>
      </c>
      <c r="BP87" s="435" t="str">
        <f>BP23</f>
        <v>No Data</v>
      </c>
      <c r="BQ87" s="41" t="str">
        <f t="shared" ref="BQ87:BZ87" si="509">BQ23</f>
        <v>No Data</v>
      </c>
      <c r="BR87" s="41" t="str">
        <f t="shared" si="509"/>
        <v>No Data</v>
      </c>
      <c r="BS87" s="614" t="str">
        <f t="shared" si="509"/>
        <v>No Data</v>
      </c>
      <c r="BT87" s="435">
        <f t="shared" si="509"/>
        <v>0.315</v>
      </c>
      <c r="BU87" s="41">
        <f t="shared" si="509"/>
        <v>0.64700000000000002</v>
      </c>
      <c r="BV87" s="41">
        <f t="shared" si="509"/>
        <v>0.95799999999999996</v>
      </c>
      <c r="BW87" s="609">
        <f t="shared" si="509"/>
        <v>0</v>
      </c>
      <c r="BX87" s="570">
        <f t="shared" si="509"/>
        <v>0</v>
      </c>
      <c r="BY87" s="41">
        <f t="shared" si="509"/>
        <v>1.105</v>
      </c>
      <c r="BZ87" s="41">
        <f t="shared" si="509"/>
        <v>0</v>
      </c>
      <c r="CA87" s="609"/>
      <c r="CB87" s="609">
        <f t="shared" ref="CB87:CG87" si="510">CB23</f>
        <v>0.32</v>
      </c>
      <c r="CC87" s="609"/>
      <c r="CD87" s="609"/>
      <c r="CE87" s="609"/>
      <c r="CF87" s="609"/>
      <c r="CG87" s="609">
        <f t="shared" si="510"/>
        <v>0.22800000000000001</v>
      </c>
      <c r="CH87" s="609">
        <f t="shared" ref="CH87:CI87" si="511">CH23</f>
        <v>0</v>
      </c>
      <c r="CI87" s="609">
        <f t="shared" si="511"/>
        <v>0</v>
      </c>
      <c r="CJ87" s="609"/>
      <c r="CK87" s="609"/>
      <c r="CL87" s="609"/>
      <c r="CM87" s="609"/>
      <c r="CN87" s="609">
        <f>CN23</f>
        <v>1.4999999999999999E-2</v>
      </c>
      <c r="CO87" s="609">
        <f t="shared" ref="CO87:CQ87" si="512">CO23</f>
        <v>0</v>
      </c>
      <c r="CP87" s="609">
        <f t="shared" si="512"/>
        <v>0</v>
      </c>
      <c r="CQ87" s="609">
        <f t="shared" si="512"/>
        <v>0</v>
      </c>
      <c r="CR87" s="107"/>
      <c r="CS87" s="107"/>
      <c r="CT87" s="107"/>
      <c r="CU87" s="3749"/>
      <c r="CV87" s="615">
        <v>3</v>
      </c>
      <c r="CW87" s="435">
        <f>CW23</f>
        <v>0</v>
      </c>
      <c r="CX87" s="41">
        <f t="shared" ref="CX87:DF87" si="513">CX23</f>
        <v>0</v>
      </c>
      <c r="CY87" s="41">
        <f t="shared" si="513"/>
        <v>0</v>
      </c>
      <c r="CZ87" s="609">
        <f t="shared" si="513"/>
        <v>2.58</v>
      </c>
      <c r="DA87" s="435">
        <f t="shared" si="513"/>
        <v>2.63</v>
      </c>
      <c r="DB87" s="41">
        <f t="shared" si="513"/>
        <v>2.4900000000000002</v>
      </c>
      <c r="DC87" s="41">
        <f t="shared" si="513"/>
        <v>2.39</v>
      </c>
      <c r="DD87" s="609">
        <f t="shared" si="513"/>
        <v>0</v>
      </c>
      <c r="DE87" s="435">
        <f t="shared" si="513"/>
        <v>2.58</v>
      </c>
      <c r="DF87" s="41">
        <f t="shared" si="513"/>
        <v>2.66</v>
      </c>
      <c r="DG87" s="41">
        <v>2.41</v>
      </c>
      <c r="DH87" s="609"/>
      <c r="DI87" s="609">
        <f t="shared" ref="DI87:DP87" si="514">DI23</f>
        <v>2.57</v>
      </c>
      <c r="DJ87" s="609">
        <f t="shared" si="514"/>
        <v>2.6</v>
      </c>
      <c r="DK87" s="609" t="str">
        <f t="shared" si="514"/>
        <v>-</v>
      </c>
      <c r="DL87" s="609"/>
      <c r="DM87" s="609">
        <f t="shared" si="514"/>
        <v>2.4700000000000002</v>
      </c>
      <c r="DN87" s="609">
        <f t="shared" si="514"/>
        <v>2.58</v>
      </c>
      <c r="DO87" s="609">
        <f t="shared" si="514"/>
        <v>2.29</v>
      </c>
      <c r="DP87" s="609">
        <f t="shared" si="514"/>
        <v>0</v>
      </c>
      <c r="DQ87" s="609">
        <f>DQ23</f>
        <v>2.58</v>
      </c>
      <c r="DR87" s="609">
        <f t="shared" ref="DR87:DT87" si="515">DR23</f>
        <v>2.52</v>
      </c>
      <c r="DS87" s="609">
        <f t="shared" si="515"/>
        <v>2.4700000000000002</v>
      </c>
      <c r="DT87" s="609">
        <f t="shared" si="515"/>
        <v>2.57</v>
      </c>
      <c r="DU87" s="609">
        <f t="shared" ref="DU87:DX87" si="516">DU23</f>
        <v>2.54</v>
      </c>
      <c r="DV87" s="609">
        <f t="shared" si="516"/>
        <v>0</v>
      </c>
      <c r="DW87" s="609">
        <f t="shared" si="516"/>
        <v>0</v>
      </c>
      <c r="DX87" s="609">
        <f t="shared" si="516"/>
        <v>0</v>
      </c>
      <c r="DY87" s="107"/>
      <c r="DZ87" s="107"/>
      <c r="EA87" s="107"/>
      <c r="EB87" s="3749"/>
      <c r="EC87" s="615">
        <v>3</v>
      </c>
      <c r="ED87" s="435">
        <f>ED23</f>
        <v>0</v>
      </c>
      <c r="EE87" s="41">
        <f t="shared" ref="EE87:EO87" si="517">EE23</f>
        <v>0</v>
      </c>
      <c r="EF87" s="41">
        <f t="shared" si="517"/>
        <v>0</v>
      </c>
      <c r="EG87" s="609">
        <f t="shared" si="517"/>
        <v>40.200000000000003</v>
      </c>
      <c r="EH87" s="435">
        <f t="shared" si="517"/>
        <v>40.4</v>
      </c>
      <c r="EI87" s="41">
        <f t="shared" si="517"/>
        <v>38.9</v>
      </c>
      <c r="EJ87" s="41">
        <f t="shared" si="517"/>
        <v>37.4</v>
      </c>
      <c r="EK87" s="609">
        <f t="shared" si="517"/>
        <v>0</v>
      </c>
      <c r="EL87" s="435">
        <f t="shared" si="517"/>
        <v>40</v>
      </c>
      <c r="EM87" s="41">
        <f t="shared" si="517"/>
        <v>41.2</v>
      </c>
      <c r="EN87" s="41">
        <v>37.9</v>
      </c>
      <c r="EO87" s="609">
        <f t="shared" si="517"/>
        <v>0</v>
      </c>
      <c r="EP87" s="41">
        <v>37.9</v>
      </c>
      <c r="EQ87" s="609">
        <f t="shared" ref="EQ87" si="518">EQ23</f>
        <v>40.5</v>
      </c>
      <c r="ER87" s="41">
        <v>37.9</v>
      </c>
      <c r="ES87" s="614">
        <f t="shared" ref="ES87" si="519">ES23</f>
        <v>0</v>
      </c>
      <c r="ET87" s="435">
        <v>37.9</v>
      </c>
      <c r="EU87" s="41">
        <f t="shared" ref="EU87" si="520">EU23</f>
        <v>40.200000000000003</v>
      </c>
      <c r="EV87" s="41">
        <v>37.9</v>
      </c>
      <c r="EW87" s="609">
        <f t="shared" ref="EW87" si="521">EW23</f>
        <v>0</v>
      </c>
      <c r="EX87" s="435">
        <f>EX23</f>
        <v>40.1</v>
      </c>
      <c r="EY87" s="435">
        <f t="shared" ref="EY87:FA87" si="522">EY23</f>
        <v>39.4</v>
      </c>
      <c r="EZ87" s="435">
        <f t="shared" si="522"/>
        <v>38.6</v>
      </c>
      <c r="FA87" s="435">
        <f t="shared" si="522"/>
        <v>40.1</v>
      </c>
      <c r="FB87" s="435">
        <f t="shared" ref="FB87:FE87" si="523">FB23</f>
        <v>39.6</v>
      </c>
      <c r="FC87" s="435">
        <f t="shared" si="523"/>
        <v>0</v>
      </c>
      <c r="FD87" s="435">
        <f t="shared" si="523"/>
        <v>0</v>
      </c>
      <c r="FE87" s="435">
        <f t="shared" si="523"/>
        <v>0</v>
      </c>
    </row>
    <row r="88" spans="1:161">
      <c r="A88" s="107"/>
      <c r="B88" s="3749"/>
      <c r="C88" s="615">
        <v>4</v>
      </c>
      <c r="D88" s="435">
        <f>D28</f>
        <v>5.26</v>
      </c>
      <c r="E88" s="41" t="str">
        <f t="shared" ref="E88:O88" si="524">E28</f>
        <v>No Data</v>
      </c>
      <c r="F88" s="41" t="str">
        <f t="shared" si="524"/>
        <v>No Data</v>
      </c>
      <c r="G88" s="609" t="str">
        <f t="shared" si="524"/>
        <v>No Data</v>
      </c>
      <c r="H88" s="435">
        <f t="shared" si="524"/>
        <v>2.68</v>
      </c>
      <c r="I88" s="41">
        <f t="shared" si="524"/>
        <v>5.07</v>
      </c>
      <c r="J88" s="41">
        <f t="shared" si="524"/>
        <v>2.2000000000000002</v>
      </c>
      <c r="K88" s="609">
        <f t="shared" si="524"/>
        <v>2.4500000000000002</v>
      </c>
      <c r="L88" s="435">
        <f t="shared" si="524"/>
        <v>6.84</v>
      </c>
      <c r="M88" s="41">
        <f t="shared" si="524"/>
        <v>4.34</v>
      </c>
      <c r="N88" s="41">
        <v>6.39</v>
      </c>
      <c r="O88" s="609">
        <f t="shared" si="524"/>
        <v>0</v>
      </c>
      <c r="P88" s="435">
        <f>P28</f>
        <v>5.26</v>
      </c>
      <c r="Q88" s="435">
        <f t="shared" ref="Q88:U88" si="525">Q28</f>
        <v>2.86</v>
      </c>
      <c r="R88" s="435" t="str">
        <f t="shared" si="525"/>
        <v>no data</v>
      </c>
      <c r="S88" s="435"/>
      <c r="T88" s="435"/>
      <c r="U88" s="435">
        <f t="shared" si="525"/>
        <v>2.61</v>
      </c>
      <c r="V88" s="435"/>
      <c r="W88" s="435"/>
      <c r="X88" s="435">
        <f>X28</f>
        <v>4.13</v>
      </c>
      <c r="Y88" s="435">
        <f t="shared" ref="Y88:AA88" si="526">Y28</f>
        <v>2.2599999999999998</v>
      </c>
      <c r="Z88" s="435">
        <f t="shared" si="526"/>
        <v>3.56</v>
      </c>
      <c r="AA88" s="435">
        <f t="shared" si="526"/>
        <v>4.7300000000000004</v>
      </c>
      <c r="AB88" s="435">
        <f t="shared" ref="AB88:AE88" si="527">AB28</f>
        <v>4.88</v>
      </c>
      <c r="AC88" s="435">
        <f t="shared" si="527"/>
        <v>0</v>
      </c>
      <c r="AD88" s="435">
        <f t="shared" si="527"/>
        <v>0</v>
      </c>
      <c r="AE88" s="435">
        <f t="shared" si="527"/>
        <v>0</v>
      </c>
      <c r="AF88" s="107"/>
      <c r="AG88" s="107"/>
      <c r="AH88" s="3749"/>
      <c r="AI88" s="615">
        <v>4</v>
      </c>
      <c r="AJ88" s="435" t="str">
        <f>AJ28</f>
        <v>No Data</v>
      </c>
      <c r="AK88" s="41" t="str">
        <f t="shared" ref="AK88:AU88" si="528">AK28</f>
        <v>No Data</v>
      </c>
      <c r="AL88" s="41" t="str">
        <f t="shared" si="528"/>
        <v>No Data</v>
      </c>
      <c r="AM88" s="609" t="str">
        <f t="shared" si="528"/>
        <v>No Data</v>
      </c>
      <c r="AN88" s="570">
        <f t="shared" si="528"/>
        <v>9.83</v>
      </c>
      <c r="AO88" s="41">
        <f t="shared" si="528"/>
        <v>8.9</v>
      </c>
      <c r="AP88" s="41">
        <f t="shared" si="528"/>
        <v>8.8800000000000008</v>
      </c>
      <c r="AQ88" s="614">
        <f t="shared" si="528"/>
        <v>8.66</v>
      </c>
      <c r="AR88" s="435">
        <f t="shared" si="528"/>
        <v>8.85</v>
      </c>
      <c r="AS88" s="41">
        <f t="shared" si="528"/>
        <v>8.75</v>
      </c>
      <c r="AT88" s="41">
        <v>8.82</v>
      </c>
      <c r="AU88" s="609">
        <f t="shared" si="528"/>
        <v>0</v>
      </c>
      <c r="AV88" s="370"/>
      <c r="AW88" s="304"/>
      <c r="AX88" s="304"/>
      <c r="AY88" s="381"/>
      <c r="AZ88" s="318">
        <f>AZ28</f>
        <v>8.9499999999999993</v>
      </c>
      <c r="BA88" s="304">
        <f t="shared" ref="BA88:BC88" si="529">BA28</f>
        <v>8.61</v>
      </c>
      <c r="BB88" s="304">
        <f t="shared" si="529"/>
        <v>9.19</v>
      </c>
      <c r="BC88" s="381">
        <f t="shared" si="529"/>
        <v>0</v>
      </c>
      <c r="BD88" s="318">
        <f>BD28</f>
        <v>9.26</v>
      </c>
      <c r="BE88" s="318">
        <f t="shared" ref="BE88:BG88" si="530">BE28</f>
        <v>7.94</v>
      </c>
      <c r="BF88" s="318">
        <f t="shared" si="530"/>
        <v>7.14</v>
      </c>
      <c r="BG88" s="318">
        <f t="shared" si="530"/>
        <v>7.2</v>
      </c>
      <c r="BH88" s="318">
        <f t="shared" ref="BH88:BK88" si="531">BH28</f>
        <v>5.49</v>
      </c>
      <c r="BI88" s="318">
        <f t="shared" si="531"/>
        <v>0</v>
      </c>
      <c r="BJ88" s="318">
        <f t="shared" si="531"/>
        <v>0</v>
      </c>
      <c r="BK88" s="318">
        <f t="shared" si="531"/>
        <v>0</v>
      </c>
      <c r="BL88" s="107"/>
      <c r="BM88" s="107"/>
      <c r="BN88" s="3749"/>
      <c r="BO88" s="615">
        <v>4</v>
      </c>
      <c r="BP88" s="435" t="str">
        <f>BP28</f>
        <v>No Data</v>
      </c>
      <c r="BQ88" s="41" t="str">
        <f t="shared" ref="BQ88:BZ88" si="532">BQ28</f>
        <v>No Data</v>
      </c>
      <c r="BR88" s="41" t="str">
        <f t="shared" si="532"/>
        <v>No Data</v>
      </c>
      <c r="BS88" s="614" t="str">
        <f t="shared" si="532"/>
        <v>No Data</v>
      </c>
      <c r="BT88" s="435">
        <f t="shared" si="532"/>
        <v>0.433</v>
      </c>
      <c r="BU88" s="41">
        <f t="shared" si="532"/>
        <v>0.64700000000000002</v>
      </c>
      <c r="BV88" s="41">
        <f t="shared" si="532"/>
        <v>0.95799999999999996</v>
      </c>
      <c r="BW88" s="609">
        <f t="shared" si="532"/>
        <v>0</v>
      </c>
      <c r="BX88" s="570">
        <f t="shared" si="532"/>
        <v>0</v>
      </c>
      <c r="BY88" s="41">
        <f t="shared" si="532"/>
        <v>1.0900000000000001</v>
      </c>
      <c r="BZ88" s="41">
        <f t="shared" si="532"/>
        <v>0</v>
      </c>
      <c r="CA88" s="609"/>
      <c r="CB88" s="609">
        <f t="shared" ref="CB88:CG88" si="533">CB28</f>
        <v>0.41</v>
      </c>
      <c r="CC88" s="609"/>
      <c r="CD88" s="609"/>
      <c r="CE88" s="609"/>
      <c r="CF88" s="609"/>
      <c r="CG88" s="609">
        <f t="shared" si="533"/>
        <v>0.30599999999999999</v>
      </c>
      <c r="CH88" s="609">
        <f t="shared" ref="CH88:CI88" si="534">CH28</f>
        <v>0</v>
      </c>
      <c r="CI88" s="609">
        <f t="shared" si="534"/>
        <v>0</v>
      </c>
      <c r="CJ88" s="609"/>
      <c r="CK88" s="609"/>
      <c r="CL88" s="609"/>
      <c r="CM88" s="609"/>
      <c r="CN88" s="609">
        <f>CN28</f>
        <v>1.2999999999999999E-2</v>
      </c>
      <c r="CO88" s="609">
        <f t="shared" ref="CO88:CQ88" si="535">CO28</f>
        <v>0</v>
      </c>
      <c r="CP88" s="609">
        <f t="shared" si="535"/>
        <v>0</v>
      </c>
      <c r="CQ88" s="609">
        <f t="shared" si="535"/>
        <v>0</v>
      </c>
      <c r="CR88" s="107"/>
      <c r="CS88" s="107"/>
      <c r="CT88" s="107"/>
      <c r="CU88" s="3749"/>
      <c r="CV88" s="615">
        <v>4</v>
      </c>
      <c r="CW88" s="435">
        <f>CW28</f>
        <v>0</v>
      </c>
      <c r="CX88" s="41">
        <f t="shared" ref="CX88:DF88" si="536">CX28</f>
        <v>0</v>
      </c>
      <c r="CY88" s="41">
        <f t="shared" si="536"/>
        <v>0</v>
      </c>
      <c r="CZ88" s="609">
        <f t="shared" si="536"/>
        <v>0</v>
      </c>
      <c r="DA88" s="435">
        <f t="shared" si="536"/>
        <v>2.62</v>
      </c>
      <c r="DB88" s="41">
        <f t="shared" si="536"/>
        <v>2.52</v>
      </c>
      <c r="DC88" s="41">
        <f t="shared" si="536"/>
        <v>2.4300000000000002</v>
      </c>
      <c r="DD88" s="609">
        <f t="shared" si="536"/>
        <v>0</v>
      </c>
      <c r="DE88" s="435">
        <f t="shared" si="536"/>
        <v>2.61</v>
      </c>
      <c r="DF88" s="41">
        <f t="shared" si="536"/>
        <v>2.65</v>
      </c>
      <c r="DG88" s="41">
        <v>2.44</v>
      </c>
      <c r="DH88" s="609"/>
      <c r="DI88" s="609">
        <f t="shared" ref="DI88:DP88" si="537">DI28</f>
        <v>2.57</v>
      </c>
      <c r="DJ88" s="609">
        <f t="shared" si="537"/>
        <v>2.61</v>
      </c>
      <c r="DK88" s="609">
        <f t="shared" si="537"/>
        <v>2.46</v>
      </c>
      <c r="DL88" s="609"/>
      <c r="DM88" s="609">
        <f t="shared" si="537"/>
        <v>2.4</v>
      </c>
      <c r="DN88" s="609">
        <f t="shared" si="537"/>
        <v>2.58</v>
      </c>
      <c r="DO88" s="609">
        <f t="shared" si="537"/>
        <v>2.5099999999999998</v>
      </c>
      <c r="DP88" s="609">
        <f t="shared" si="537"/>
        <v>0</v>
      </c>
      <c r="DQ88" s="609">
        <f>DQ28</f>
        <v>2.58</v>
      </c>
      <c r="DR88" s="609">
        <f t="shared" ref="DR88:DT88" si="538">DR28</f>
        <v>2.5499999999999998</v>
      </c>
      <c r="DS88" s="609">
        <f t="shared" si="538"/>
        <v>2.5299999999999998</v>
      </c>
      <c r="DT88" s="609">
        <f t="shared" si="538"/>
        <v>2.5499999999999998</v>
      </c>
      <c r="DU88" s="609">
        <f t="shared" ref="DU88:DX88" si="539">DU28</f>
        <v>2.54</v>
      </c>
      <c r="DV88" s="609">
        <f t="shared" si="539"/>
        <v>0</v>
      </c>
      <c r="DW88" s="609">
        <f t="shared" si="539"/>
        <v>0</v>
      </c>
      <c r="DX88" s="609">
        <f t="shared" si="539"/>
        <v>0</v>
      </c>
      <c r="DY88" s="107"/>
      <c r="DZ88" s="107"/>
      <c r="EA88" s="107"/>
      <c r="EB88" s="3749"/>
      <c r="EC88" s="615">
        <v>4</v>
      </c>
      <c r="ED88" s="435">
        <f>ED28</f>
        <v>0</v>
      </c>
      <c r="EE88" s="41">
        <f t="shared" ref="EE88:EO88" si="540">EE28</f>
        <v>0</v>
      </c>
      <c r="EF88" s="41">
        <f t="shared" si="540"/>
        <v>0</v>
      </c>
      <c r="EG88" s="609">
        <f t="shared" si="540"/>
        <v>0</v>
      </c>
      <c r="EH88" s="435">
        <f t="shared" si="540"/>
        <v>40.700000000000003</v>
      </c>
      <c r="EI88" s="41">
        <f t="shared" si="540"/>
        <v>39.4</v>
      </c>
      <c r="EJ88" s="41">
        <f t="shared" si="540"/>
        <v>38.1</v>
      </c>
      <c r="EK88" s="609">
        <f t="shared" si="540"/>
        <v>0</v>
      </c>
      <c r="EL88" s="435">
        <f t="shared" si="540"/>
        <v>40.5</v>
      </c>
      <c r="EM88" s="41">
        <f t="shared" si="540"/>
        <v>41.2</v>
      </c>
      <c r="EN88" s="41">
        <v>38.9</v>
      </c>
      <c r="EO88" s="609">
        <f t="shared" si="540"/>
        <v>0</v>
      </c>
      <c r="EP88" s="41">
        <v>38.9</v>
      </c>
      <c r="EQ88" s="609">
        <f t="shared" ref="EQ88" si="541">EQ28</f>
        <v>40.5</v>
      </c>
      <c r="ER88" s="41">
        <v>38.9</v>
      </c>
      <c r="ES88" s="614">
        <f t="shared" ref="ES88" si="542">ES28</f>
        <v>0</v>
      </c>
      <c r="ET88" s="435">
        <v>38.9</v>
      </c>
      <c r="EU88" s="41">
        <f t="shared" ref="EU88" si="543">EU28</f>
        <v>40.200000000000003</v>
      </c>
      <c r="EV88" s="41">
        <v>38.9</v>
      </c>
      <c r="EW88" s="609">
        <f t="shared" ref="EW88" si="544">EW28</f>
        <v>0</v>
      </c>
      <c r="EX88" s="435">
        <f>EX28</f>
        <v>40.1</v>
      </c>
      <c r="EY88" s="435">
        <f t="shared" ref="EY88:FA88" si="545">EY28</f>
        <v>39.700000000000003</v>
      </c>
      <c r="EZ88" s="435">
        <f t="shared" si="545"/>
        <v>39.4</v>
      </c>
      <c r="FA88" s="435">
        <f t="shared" si="545"/>
        <v>39.700000000000003</v>
      </c>
      <c r="FB88" s="435">
        <f t="shared" ref="FB88:FE88" si="546">FB28</f>
        <v>39.5</v>
      </c>
      <c r="FC88" s="435">
        <f t="shared" si="546"/>
        <v>0</v>
      </c>
      <c r="FD88" s="435">
        <f t="shared" si="546"/>
        <v>0</v>
      </c>
      <c r="FE88" s="435">
        <f t="shared" si="546"/>
        <v>0</v>
      </c>
    </row>
    <row r="89" spans="1:161">
      <c r="A89" s="107"/>
      <c r="B89" s="3749"/>
      <c r="C89" s="615">
        <v>5</v>
      </c>
      <c r="D89" s="435">
        <f>D33</f>
        <v>6.75</v>
      </c>
      <c r="E89" s="41" t="str">
        <f t="shared" ref="E89:O89" si="547">E33</f>
        <v>No Data</v>
      </c>
      <c r="F89" s="41" t="str">
        <f t="shared" si="547"/>
        <v>No Data</v>
      </c>
      <c r="G89" s="609" t="str">
        <f t="shared" si="547"/>
        <v>No Data</v>
      </c>
      <c r="H89" s="435">
        <f t="shared" si="547"/>
        <v>3.6</v>
      </c>
      <c r="I89" s="41">
        <f t="shared" si="547"/>
        <v>2.72</v>
      </c>
      <c r="J89" s="41">
        <f t="shared" si="547"/>
        <v>3.58</v>
      </c>
      <c r="K89" s="609">
        <f t="shared" si="547"/>
        <v>4.72</v>
      </c>
      <c r="L89" s="435">
        <f t="shared" si="547"/>
        <v>5.79</v>
      </c>
      <c r="M89" s="41">
        <f t="shared" si="547"/>
        <v>4.7699999999999996</v>
      </c>
      <c r="N89" s="41"/>
      <c r="O89" s="609">
        <f t="shared" si="547"/>
        <v>0</v>
      </c>
      <c r="P89" s="435">
        <f>P33</f>
        <v>4.9000000000000004</v>
      </c>
      <c r="Q89" s="435">
        <f t="shared" ref="Q89:U89" si="548">Q33</f>
        <v>2.76</v>
      </c>
      <c r="R89" s="435" t="str">
        <f t="shared" si="548"/>
        <v>no data</v>
      </c>
      <c r="S89" s="435"/>
      <c r="T89" s="435"/>
      <c r="U89" s="435">
        <f t="shared" si="548"/>
        <v>3.47</v>
      </c>
      <c r="V89" s="435"/>
      <c r="W89" s="435"/>
      <c r="X89" s="435">
        <f>X33</f>
        <v>6.67</v>
      </c>
      <c r="Y89" s="435">
        <f t="shared" ref="Y89:AA89" si="549">Y33</f>
        <v>3.55</v>
      </c>
      <c r="Z89" s="435">
        <f t="shared" si="549"/>
        <v>4.87</v>
      </c>
      <c r="AA89" s="435">
        <f t="shared" si="549"/>
        <v>4.55</v>
      </c>
      <c r="AB89" s="435">
        <f t="shared" ref="AB89:AE89" si="550">AB33</f>
        <v>4.25</v>
      </c>
      <c r="AC89" s="435">
        <f t="shared" si="550"/>
        <v>0</v>
      </c>
      <c r="AD89" s="435">
        <f t="shared" si="550"/>
        <v>0</v>
      </c>
      <c r="AE89" s="435">
        <f t="shared" si="550"/>
        <v>0</v>
      </c>
      <c r="AF89" s="107"/>
      <c r="AG89" s="107"/>
      <c r="AH89" s="3749"/>
      <c r="AI89" s="615">
        <v>5</v>
      </c>
      <c r="AJ89" s="435" t="str">
        <f>AJ33</f>
        <v>No Data</v>
      </c>
      <c r="AK89" s="41" t="str">
        <f t="shared" ref="AK89:AU89" si="551">AK33</f>
        <v>No Data</v>
      </c>
      <c r="AL89" s="41" t="str">
        <f t="shared" si="551"/>
        <v>No Data</v>
      </c>
      <c r="AM89" s="609" t="str">
        <f t="shared" si="551"/>
        <v>No Data</v>
      </c>
      <c r="AN89" s="570">
        <f t="shared" si="551"/>
        <v>9.92</v>
      </c>
      <c r="AO89" s="41">
        <f t="shared" si="551"/>
        <v>8.69</v>
      </c>
      <c r="AP89" s="41">
        <f t="shared" si="551"/>
        <v>8.85</v>
      </c>
      <c r="AQ89" s="614">
        <f t="shared" si="551"/>
        <v>8.82</v>
      </c>
      <c r="AR89" s="435">
        <f t="shared" si="551"/>
        <v>8.86</v>
      </c>
      <c r="AS89" s="41">
        <f t="shared" si="551"/>
        <v>8.75</v>
      </c>
      <c r="AT89" s="41"/>
      <c r="AU89" s="609">
        <f t="shared" si="551"/>
        <v>0</v>
      </c>
      <c r="AV89" s="370"/>
      <c r="AW89" s="304"/>
      <c r="AX89" s="304"/>
      <c r="AY89" s="381"/>
      <c r="AZ89" s="318">
        <f>AZ33</f>
        <v>8.9</v>
      </c>
      <c r="BA89" s="304">
        <f t="shared" ref="BA89:BC89" si="552">BA33</f>
        <v>8.83</v>
      </c>
      <c r="BB89" s="304">
        <f t="shared" si="552"/>
        <v>9.3000000000000007</v>
      </c>
      <c r="BC89" s="381">
        <f t="shared" si="552"/>
        <v>0</v>
      </c>
      <c r="BD89" s="318">
        <f>BD33</f>
        <v>9.3000000000000007</v>
      </c>
      <c r="BE89" s="318">
        <f t="shared" ref="BE89:BG89" si="553">BE33</f>
        <v>7.94</v>
      </c>
      <c r="BF89" s="318">
        <f t="shared" si="553"/>
        <v>7.09</v>
      </c>
      <c r="BG89" s="318">
        <f t="shared" si="553"/>
        <v>7.16</v>
      </c>
      <c r="BH89" s="318">
        <f t="shared" ref="BH89:BK89" si="554">BH33</f>
        <v>8.16</v>
      </c>
      <c r="BI89" s="318">
        <f t="shared" si="554"/>
        <v>0</v>
      </c>
      <c r="BJ89" s="318">
        <f t="shared" si="554"/>
        <v>0</v>
      </c>
      <c r="BK89" s="318">
        <f t="shared" si="554"/>
        <v>0</v>
      </c>
      <c r="BL89" s="107"/>
      <c r="BM89" s="107"/>
      <c r="BN89" s="3749"/>
      <c r="BO89" s="615">
        <v>5</v>
      </c>
      <c r="BP89" s="435" t="str">
        <f>BP33</f>
        <v>No Data</v>
      </c>
      <c r="BQ89" s="41" t="str">
        <f t="shared" ref="BQ89:BZ89" si="555">BQ33</f>
        <v>No Data</v>
      </c>
      <c r="BR89" s="41" t="str">
        <f t="shared" si="555"/>
        <v>No Data</v>
      </c>
      <c r="BS89" s="614" t="str">
        <f t="shared" si="555"/>
        <v>No Data</v>
      </c>
      <c r="BT89" s="435">
        <f t="shared" si="555"/>
        <v>0.24099999999999999</v>
      </c>
      <c r="BU89" s="41">
        <f t="shared" si="555"/>
        <v>0.71</v>
      </c>
      <c r="BV89" s="41">
        <f t="shared" si="555"/>
        <v>1.0169999999999999</v>
      </c>
      <c r="BW89" s="609">
        <f t="shared" si="555"/>
        <v>0</v>
      </c>
      <c r="BX89" s="570">
        <f t="shared" si="555"/>
        <v>0</v>
      </c>
      <c r="BY89" s="41">
        <f t="shared" si="555"/>
        <v>1.103</v>
      </c>
      <c r="BZ89" s="41">
        <f t="shared" si="555"/>
        <v>0</v>
      </c>
      <c r="CA89" s="609"/>
      <c r="CB89" s="609">
        <f t="shared" ref="CB89:CG89" si="556">CB33</f>
        <v>0.35</v>
      </c>
      <c r="CC89" s="609"/>
      <c r="CD89" s="609"/>
      <c r="CE89" s="609"/>
      <c r="CF89" s="609"/>
      <c r="CG89" s="609">
        <f t="shared" si="556"/>
        <v>0.20100000000000001</v>
      </c>
      <c r="CH89" s="609">
        <f t="shared" ref="CH89:CI89" si="557">CH33</f>
        <v>0</v>
      </c>
      <c r="CI89" s="609">
        <f t="shared" si="557"/>
        <v>0</v>
      </c>
      <c r="CJ89" s="609"/>
      <c r="CK89" s="609"/>
      <c r="CL89" s="609"/>
      <c r="CM89" s="609"/>
      <c r="CN89" s="609" t="str">
        <f>CN33</f>
        <v>&lt;0.013</v>
      </c>
      <c r="CO89" s="609">
        <f t="shared" ref="CO89:CQ89" si="558">CO33</f>
        <v>0</v>
      </c>
      <c r="CP89" s="609">
        <f t="shared" si="558"/>
        <v>0</v>
      </c>
      <c r="CQ89" s="609">
        <f t="shared" si="558"/>
        <v>0</v>
      </c>
      <c r="CR89" s="107"/>
      <c r="CS89" s="107"/>
      <c r="CT89" s="107"/>
      <c r="CU89" s="3749"/>
      <c r="CV89" s="615">
        <v>5</v>
      </c>
      <c r="CW89" s="435">
        <f>CW33</f>
        <v>0</v>
      </c>
      <c r="CX89" s="41">
        <f t="shared" ref="CX89:DF89" si="559">CX33</f>
        <v>0</v>
      </c>
      <c r="CY89" s="41">
        <f t="shared" si="559"/>
        <v>0</v>
      </c>
      <c r="CZ89" s="609">
        <f t="shared" si="559"/>
        <v>0</v>
      </c>
      <c r="DA89" s="435">
        <f t="shared" si="559"/>
        <v>2.64</v>
      </c>
      <c r="DB89" s="41">
        <f t="shared" si="559"/>
        <v>2.56</v>
      </c>
      <c r="DC89" s="41">
        <f t="shared" si="559"/>
        <v>2.48</v>
      </c>
      <c r="DD89" s="609">
        <f t="shared" si="559"/>
        <v>0</v>
      </c>
      <c r="DE89" s="435">
        <f t="shared" si="559"/>
        <v>2.64</v>
      </c>
      <c r="DF89" s="41">
        <f t="shared" si="559"/>
        <v>2.66</v>
      </c>
      <c r="DG89" s="41"/>
      <c r="DH89" s="609"/>
      <c r="DI89" s="609">
        <f t="shared" ref="DI89:DP89" si="560">DI33</f>
        <v>2.6</v>
      </c>
      <c r="DJ89" s="609">
        <f t="shared" si="560"/>
        <v>2.61</v>
      </c>
      <c r="DK89" s="609">
        <f t="shared" si="560"/>
        <v>2.4700000000000002</v>
      </c>
      <c r="DL89" s="609"/>
      <c r="DM89" s="609">
        <f t="shared" si="560"/>
        <v>2.5</v>
      </c>
      <c r="DN89" s="609">
        <f t="shared" si="560"/>
        <v>2.57</v>
      </c>
      <c r="DO89" s="609">
        <f t="shared" si="560"/>
        <v>2.56</v>
      </c>
      <c r="DP89" s="609">
        <f t="shared" si="560"/>
        <v>0</v>
      </c>
      <c r="DQ89" s="609">
        <f>DQ33</f>
        <v>2.59</v>
      </c>
      <c r="DR89" s="609">
        <f t="shared" ref="DR89:DT89" si="561">DR33</f>
        <v>2.56</v>
      </c>
      <c r="DS89" s="609">
        <f t="shared" si="561"/>
        <v>2.6</v>
      </c>
      <c r="DT89" s="609">
        <f t="shared" si="561"/>
        <v>2.61</v>
      </c>
      <c r="DU89" s="609">
        <f t="shared" ref="DU89:DX89" si="562">DU33</f>
        <v>2.56</v>
      </c>
      <c r="DV89" s="609">
        <f t="shared" si="562"/>
        <v>0</v>
      </c>
      <c r="DW89" s="609">
        <f t="shared" si="562"/>
        <v>0</v>
      </c>
      <c r="DX89" s="609">
        <f t="shared" si="562"/>
        <v>0</v>
      </c>
      <c r="DY89" s="107"/>
      <c r="DZ89" s="107"/>
      <c r="EA89" s="107"/>
      <c r="EB89" s="3749"/>
      <c r="EC89" s="615">
        <v>5</v>
      </c>
      <c r="ED89" s="435">
        <f>ED33</f>
        <v>0</v>
      </c>
      <c r="EE89" s="41">
        <f t="shared" ref="EE89:EO89" si="563">EE33</f>
        <v>0</v>
      </c>
      <c r="EF89" s="41">
        <f t="shared" si="563"/>
        <v>0</v>
      </c>
      <c r="EG89" s="609">
        <f t="shared" si="563"/>
        <v>0</v>
      </c>
      <c r="EH89" s="435">
        <f t="shared" si="563"/>
        <v>41</v>
      </c>
      <c r="EI89" s="41">
        <f t="shared" si="563"/>
        <v>39.799999999999997</v>
      </c>
      <c r="EJ89" s="41">
        <f t="shared" si="563"/>
        <v>37.6</v>
      </c>
      <c r="EK89" s="609">
        <f t="shared" si="563"/>
        <v>0</v>
      </c>
      <c r="EL89" s="435">
        <f t="shared" si="563"/>
        <v>40.9</v>
      </c>
      <c r="EM89" s="41">
        <f t="shared" si="563"/>
        <v>41.4</v>
      </c>
      <c r="EN89" s="41"/>
      <c r="EO89" s="609">
        <f t="shared" si="563"/>
        <v>0</v>
      </c>
      <c r="EP89" s="41"/>
      <c r="EQ89" s="609">
        <f t="shared" ref="EQ89" si="564">EQ33</f>
        <v>40.5</v>
      </c>
      <c r="ER89" s="41"/>
      <c r="ES89" s="614">
        <f t="shared" ref="ES89" si="565">ES33</f>
        <v>0</v>
      </c>
      <c r="ET89" s="435"/>
      <c r="EU89" s="41">
        <f t="shared" ref="EU89" si="566">EU33</f>
        <v>40</v>
      </c>
      <c r="EV89" s="41"/>
      <c r="EW89" s="609">
        <f t="shared" ref="EW89" si="567">EW33</f>
        <v>0</v>
      </c>
      <c r="EX89" s="435">
        <f>EX33</f>
        <v>40.299999999999997</v>
      </c>
      <c r="EY89" s="435">
        <f t="shared" ref="EY89:FA89" si="568">EY33</f>
        <v>39.9</v>
      </c>
      <c r="EZ89" s="435">
        <f t="shared" si="568"/>
        <v>40.4</v>
      </c>
      <c r="FA89" s="435">
        <f t="shared" si="568"/>
        <v>40.6</v>
      </c>
      <c r="FB89" s="435">
        <f t="shared" ref="FB89:FE89" si="569">FB33</f>
        <v>39.9</v>
      </c>
      <c r="FC89" s="435">
        <f t="shared" si="569"/>
        <v>0</v>
      </c>
      <c r="FD89" s="435">
        <f t="shared" si="569"/>
        <v>0</v>
      </c>
      <c r="FE89" s="435">
        <f t="shared" si="569"/>
        <v>0</v>
      </c>
    </row>
    <row r="90" spans="1:161">
      <c r="A90" s="107"/>
      <c r="B90" s="3749"/>
      <c r="C90" s="615">
        <v>6</v>
      </c>
      <c r="D90" s="435">
        <f>D38</f>
        <v>6.68</v>
      </c>
      <c r="E90" s="41" t="str">
        <f t="shared" ref="E90:O90" si="570">E38</f>
        <v>No Data</v>
      </c>
      <c r="F90" s="41">
        <f t="shared" si="570"/>
        <v>4.42</v>
      </c>
      <c r="G90" s="609">
        <f t="shared" si="570"/>
        <v>3.66</v>
      </c>
      <c r="H90" s="435">
        <f t="shared" si="570"/>
        <v>4.82</v>
      </c>
      <c r="I90" s="41">
        <f t="shared" si="570"/>
        <v>3.6</v>
      </c>
      <c r="J90" s="41">
        <f t="shared" si="570"/>
        <v>3.52</v>
      </c>
      <c r="K90" s="609">
        <f t="shared" si="570"/>
        <v>5.45</v>
      </c>
      <c r="L90" s="435">
        <f t="shared" si="570"/>
        <v>5.66</v>
      </c>
      <c r="M90" s="41">
        <f t="shared" si="570"/>
        <v>5.99</v>
      </c>
      <c r="N90" s="41"/>
      <c r="O90" s="609">
        <f t="shared" si="570"/>
        <v>0</v>
      </c>
      <c r="P90" s="435">
        <f>P38</f>
        <v>5.82</v>
      </c>
      <c r="Q90" s="435">
        <f t="shared" ref="Q90:U90" si="571">Q38</f>
        <v>6.25</v>
      </c>
      <c r="R90" s="435" t="str">
        <f t="shared" si="571"/>
        <v>no data</v>
      </c>
      <c r="S90" s="435"/>
      <c r="T90" s="435"/>
      <c r="U90" s="435">
        <f t="shared" si="571"/>
        <v>6.49</v>
      </c>
      <c r="V90" s="435"/>
      <c r="W90" s="435"/>
      <c r="X90" s="435">
        <f>X38</f>
        <v>7.34</v>
      </c>
      <c r="Y90" s="435">
        <f t="shared" ref="Y90:AA90" si="572">Y38</f>
        <v>2.9</v>
      </c>
      <c r="Z90" s="435">
        <f t="shared" si="572"/>
        <v>4.16</v>
      </c>
      <c r="AA90" s="435">
        <f t="shared" si="572"/>
        <v>4.9000000000000004</v>
      </c>
      <c r="AB90" s="435">
        <f t="shared" ref="AB90:AE90" si="573">AB38</f>
        <v>5.38</v>
      </c>
      <c r="AC90" s="435">
        <f t="shared" si="573"/>
        <v>0</v>
      </c>
      <c r="AD90" s="435">
        <f t="shared" si="573"/>
        <v>0</v>
      </c>
      <c r="AE90" s="435">
        <f t="shared" si="573"/>
        <v>0</v>
      </c>
      <c r="AF90" s="107"/>
      <c r="AG90" s="107"/>
      <c r="AH90" s="3749"/>
      <c r="AI90" s="615">
        <v>6</v>
      </c>
      <c r="AJ90" s="435" t="str">
        <f>AJ38</f>
        <v>No Data</v>
      </c>
      <c r="AK90" s="41" t="str">
        <f t="shared" ref="AK90:AU90" si="574">AK38</f>
        <v>No Data</v>
      </c>
      <c r="AL90" s="41" t="str">
        <f t="shared" si="574"/>
        <v>No Data</v>
      </c>
      <c r="AM90" s="609">
        <f t="shared" si="574"/>
        <v>9.8000000000000007</v>
      </c>
      <c r="AN90" s="570">
        <f t="shared" si="574"/>
        <v>9.9499999999999993</v>
      </c>
      <c r="AO90" s="41">
        <f t="shared" si="574"/>
        <v>8.74</v>
      </c>
      <c r="AP90" s="41">
        <f t="shared" si="574"/>
        <v>9.08</v>
      </c>
      <c r="AQ90" s="614">
        <f t="shared" si="574"/>
        <v>8.8800000000000008</v>
      </c>
      <c r="AR90" s="435">
        <f t="shared" si="574"/>
        <v>8.91</v>
      </c>
      <c r="AS90" s="41">
        <f t="shared" si="574"/>
        <v>8.8000000000000007</v>
      </c>
      <c r="AT90" s="41"/>
      <c r="AU90" s="609">
        <f t="shared" si="574"/>
        <v>0</v>
      </c>
      <c r="AV90" s="370"/>
      <c r="AW90" s="304"/>
      <c r="AX90" s="304"/>
      <c r="AY90" s="381"/>
      <c r="AZ90" s="318">
        <f>AZ38</f>
        <v>8.9499999999999993</v>
      </c>
      <c r="BA90" s="304">
        <f t="shared" ref="BA90:BC90" si="575">BA38</f>
        <v>8.85</v>
      </c>
      <c r="BB90" s="304">
        <f t="shared" si="575"/>
        <v>9.2100000000000009</v>
      </c>
      <c r="BC90" s="381">
        <f t="shared" si="575"/>
        <v>0</v>
      </c>
      <c r="BD90" s="318">
        <f>BD38</f>
        <v>9.33</v>
      </c>
      <c r="BE90" s="318">
        <f t="shared" ref="BE90:BG90" si="576">BE38</f>
        <v>7.98</v>
      </c>
      <c r="BF90" s="318">
        <f t="shared" si="576"/>
        <v>7.04</v>
      </c>
      <c r="BG90" s="318">
        <f t="shared" si="576"/>
        <v>7.16</v>
      </c>
      <c r="BH90" s="318">
        <f t="shared" ref="BH90:BK90" si="577">BH38</f>
        <v>8.19</v>
      </c>
      <c r="BI90" s="318">
        <f t="shared" si="577"/>
        <v>0</v>
      </c>
      <c r="BJ90" s="318">
        <f t="shared" si="577"/>
        <v>0</v>
      </c>
      <c r="BK90" s="318">
        <f t="shared" si="577"/>
        <v>0</v>
      </c>
      <c r="BL90" s="107"/>
      <c r="BM90" s="107"/>
      <c r="BN90" s="3749"/>
      <c r="BO90" s="615">
        <v>6</v>
      </c>
      <c r="BP90" s="435" t="str">
        <f>BP38</f>
        <v>No Data</v>
      </c>
      <c r="BQ90" s="41" t="str">
        <f t="shared" ref="BQ90:BZ90" si="578">BQ38</f>
        <v>No Data</v>
      </c>
      <c r="BR90" s="41" t="str">
        <f t="shared" si="578"/>
        <v>No Data</v>
      </c>
      <c r="BS90" s="614" t="str">
        <f t="shared" si="578"/>
        <v>No Data</v>
      </c>
      <c r="BT90" s="435">
        <f t="shared" si="578"/>
        <v>0.56699999999999995</v>
      </c>
      <c r="BU90" s="41">
        <f t="shared" si="578"/>
        <v>0.58899999999999997</v>
      </c>
      <c r="BV90" s="41">
        <f t="shared" si="578"/>
        <v>4.7E-2</v>
      </c>
      <c r="BW90" s="609">
        <f t="shared" si="578"/>
        <v>0</v>
      </c>
      <c r="BX90" s="570">
        <f t="shared" si="578"/>
        <v>0</v>
      </c>
      <c r="BY90" s="41">
        <f t="shared" si="578"/>
        <v>8.9849999999999994</v>
      </c>
      <c r="BZ90" s="41">
        <f t="shared" si="578"/>
        <v>0</v>
      </c>
      <c r="CA90" s="609"/>
      <c r="CB90" s="609">
        <f t="shared" ref="CB90:CG90" si="579">CB38</f>
        <v>0.45</v>
      </c>
      <c r="CC90" s="609"/>
      <c r="CD90" s="609"/>
      <c r="CE90" s="609"/>
      <c r="CF90" s="609"/>
      <c r="CG90" s="609">
        <f t="shared" si="579"/>
        <v>0.20899999999999999</v>
      </c>
      <c r="CH90" s="609">
        <f t="shared" ref="CH90:CI90" si="580">CH38</f>
        <v>0</v>
      </c>
      <c r="CI90" s="609">
        <f t="shared" si="580"/>
        <v>0</v>
      </c>
      <c r="CJ90" s="609"/>
      <c r="CK90" s="609"/>
      <c r="CL90" s="609"/>
      <c r="CM90" s="609"/>
      <c r="CN90" s="609" t="str">
        <f>CN38</f>
        <v>&lt;0.013</v>
      </c>
      <c r="CO90" s="609">
        <f t="shared" ref="CO90:CQ90" si="581">CO38</f>
        <v>0</v>
      </c>
      <c r="CP90" s="609">
        <f t="shared" si="581"/>
        <v>0</v>
      </c>
      <c r="CQ90" s="609">
        <f t="shared" si="581"/>
        <v>0</v>
      </c>
      <c r="CR90" s="107"/>
      <c r="CS90" s="107"/>
      <c r="CT90" s="107"/>
      <c r="CU90" s="3749"/>
      <c r="CV90" s="615">
        <v>6</v>
      </c>
      <c r="CW90" s="435">
        <f>CW38</f>
        <v>0</v>
      </c>
      <c r="CX90" s="41">
        <f t="shared" ref="CX90:DF90" si="582">CX38</f>
        <v>0</v>
      </c>
      <c r="CY90" s="41">
        <f t="shared" si="582"/>
        <v>0</v>
      </c>
      <c r="CZ90" s="609">
        <f t="shared" si="582"/>
        <v>2.6</v>
      </c>
      <c r="DA90" s="435">
        <f t="shared" si="582"/>
        <v>2.59</v>
      </c>
      <c r="DB90" s="41">
        <f t="shared" si="582"/>
        <v>2.5499999999999998</v>
      </c>
      <c r="DC90" s="41">
        <f t="shared" si="582"/>
        <v>2.46</v>
      </c>
      <c r="DD90" s="609">
        <f t="shared" si="582"/>
        <v>0</v>
      </c>
      <c r="DE90" s="435">
        <f t="shared" si="582"/>
        <v>2.63</v>
      </c>
      <c r="DF90" s="41">
        <f t="shared" si="582"/>
        <v>2.67</v>
      </c>
      <c r="DG90" s="41"/>
      <c r="DH90" s="609"/>
      <c r="DI90" s="609">
        <f t="shared" ref="DI90:DP90" si="583">DI38</f>
        <v>2.59</v>
      </c>
      <c r="DJ90" s="609">
        <f t="shared" si="583"/>
        <v>2.62</v>
      </c>
      <c r="DK90" s="609">
        <f t="shared" si="583"/>
        <v>2.4500000000000002</v>
      </c>
      <c r="DL90" s="609"/>
      <c r="DM90" s="609">
        <f t="shared" si="583"/>
        <v>2.4500000000000002</v>
      </c>
      <c r="DN90" s="609">
        <f t="shared" si="583"/>
        <v>2.59</v>
      </c>
      <c r="DO90" s="609">
        <f t="shared" si="583"/>
        <v>2.54</v>
      </c>
      <c r="DP90" s="609">
        <f t="shared" si="583"/>
        <v>0</v>
      </c>
      <c r="DQ90" s="609">
        <f>DQ38</f>
        <v>2.58</v>
      </c>
      <c r="DR90" s="609">
        <f t="shared" ref="DR90:DT90" si="584">DR38</f>
        <v>2.58</v>
      </c>
      <c r="DS90" s="609">
        <f t="shared" si="584"/>
        <v>2.6</v>
      </c>
      <c r="DT90" s="609">
        <f t="shared" si="584"/>
        <v>2.6</v>
      </c>
      <c r="DU90" s="609">
        <f t="shared" ref="DU90:DX90" si="585">DU38</f>
        <v>2.5499999999999998</v>
      </c>
      <c r="DV90" s="609">
        <f t="shared" si="585"/>
        <v>0</v>
      </c>
      <c r="DW90" s="609">
        <f t="shared" si="585"/>
        <v>0</v>
      </c>
      <c r="DX90" s="609">
        <f t="shared" si="585"/>
        <v>0</v>
      </c>
      <c r="DY90" s="107"/>
      <c r="DZ90" s="107"/>
      <c r="EA90" s="107"/>
      <c r="EB90" s="3749"/>
      <c r="EC90" s="615">
        <v>6</v>
      </c>
      <c r="ED90" s="435">
        <f>ED38</f>
        <v>0</v>
      </c>
      <c r="EE90" s="41">
        <f t="shared" ref="EE90:EO90" si="586">EE38</f>
        <v>0</v>
      </c>
      <c r="EF90" s="41">
        <f t="shared" si="586"/>
        <v>0</v>
      </c>
      <c r="EG90" s="609">
        <f t="shared" si="586"/>
        <v>40.4</v>
      </c>
      <c r="EH90" s="435">
        <f t="shared" si="586"/>
        <v>40.4</v>
      </c>
      <c r="EI90" s="41">
        <f t="shared" si="586"/>
        <v>39.700000000000003</v>
      </c>
      <c r="EJ90" s="41">
        <f t="shared" si="586"/>
        <v>38.200000000000003</v>
      </c>
      <c r="EK90" s="609">
        <f t="shared" si="586"/>
        <v>0</v>
      </c>
      <c r="EL90" s="435">
        <f t="shared" si="586"/>
        <v>40.9</v>
      </c>
      <c r="EM90" s="41">
        <f t="shared" si="586"/>
        <v>41.4</v>
      </c>
      <c r="EN90" s="41"/>
      <c r="EO90" s="609">
        <f t="shared" si="586"/>
        <v>0</v>
      </c>
      <c r="EP90" s="41"/>
      <c r="EQ90" s="609">
        <f t="shared" ref="EQ90" si="587">EQ38</f>
        <v>40.799999999999997</v>
      </c>
      <c r="ER90" s="41"/>
      <c r="ES90" s="614">
        <f t="shared" ref="ES90" si="588">ES38</f>
        <v>0</v>
      </c>
      <c r="ET90" s="435"/>
      <c r="EU90" s="41">
        <f t="shared" ref="EU90" si="589">EU38</f>
        <v>40.299999999999997</v>
      </c>
      <c r="EV90" s="41"/>
      <c r="EW90" s="609">
        <f t="shared" ref="EW90" si="590">EW38</f>
        <v>0</v>
      </c>
      <c r="EX90" s="435">
        <f>EX38</f>
        <v>40.200000000000003</v>
      </c>
      <c r="EY90" s="435">
        <f t="shared" ref="EY90:FA90" si="591">EY38</f>
        <v>40.1</v>
      </c>
      <c r="EZ90" s="435">
        <f t="shared" si="591"/>
        <v>40.4</v>
      </c>
      <c r="FA90" s="435">
        <f t="shared" si="591"/>
        <v>40.4</v>
      </c>
      <c r="FB90" s="435">
        <f t="shared" ref="FB90:FE90" si="592">FB38</f>
        <v>39.700000000000003</v>
      </c>
      <c r="FC90" s="435">
        <f t="shared" si="592"/>
        <v>0</v>
      </c>
      <c r="FD90" s="435">
        <f t="shared" si="592"/>
        <v>0</v>
      </c>
      <c r="FE90" s="435">
        <f t="shared" si="592"/>
        <v>0</v>
      </c>
    </row>
    <row r="91" spans="1:161">
      <c r="A91" s="107"/>
      <c r="B91" s="3749"/>
      <c r="C91" s="615">
        <v>7</v>
      </c>
      <c r="D91" s="435">
        <f>D43</f>
        <v>5.41</v>
      </c>
      <c r="E91" s="41" t="str">
        <f t="shared" ref="E91:O91" si="593">E43</f>
        <v>No Data</v>
      </c>
      <c r="F91" s="41" t="str">
        <f t="shared" si="593"/>
        <v>No Data</v>
      </c>
      <c r="G91" s="609">
        <f t="shared" si="593"/>
        <v>3.57</v>
      </c>
      <c r="H91" s="435">
        <f t="shared" si="593"/>
        <v>3.92</v>
      </c>
      <c r="I91" s="41">
        <f t="shared" si="593"/>
        <v>3.95</v>
      </c>
      <c r="J91" s="41">
        <f t="shared" si="593"/>
        <v>1.71</v>
      </c>
      <c r="K91" s="609">
        <f t="shared" si="593"/>
        <v>5.48</v>
      </c>
      <c r="L91" s="435">
        <f t="shared" si="593"/>
        <v>5.71</v>
      </c>
      <c r="M91" s="41">
        <f t="shared" si="593"/>
        <v>4.54</v>
      </c>
      <c r="N91" s="41"/>
      <c r="O91" s="609">
        <f t="shared" si="593"/>
        <v>0</v>
      </c>
      <c r="P91" s="435">
        <f>P43</f>
        <v>5.92</v>
      </c>
      <c r="Q91" s="435">
        <f t="shared" ref="Q91:U91" si="594">Q43</f>
        <v>5.85</v>
      </c>
      <c r="R91" s="435" t="str">
        <f t="shared" si="594"/>
        <v>no data</v>
      </c>
      <c r="S91" s="435"/>
      <c r="T91" s="435"/>
      <c r="U91" s="435">
        <f t="shared" si="594"/>
        <v>4.8499999999999996</v>
      </c>
      <c r="V91" s="435"/>
      <c r="W91" s="435"/>
      <c r="X91" s="435">
        <f>X43</f>
        <v>6.95</v>
      </c>
      <c r="Y91" s="435">
        <f t="shared" ref="Y91:AA91" si="595">Y43</f>
        <v>4.7</v>
      </c>
      <c r="Z91" s="435">
        <f t="shared" si="595"/>
        <v>2.25</v>
      </c>
      <c r="AA91" s="435">
        <f t="shared" si="595"/>
        <v>4.37</v>
      </c>
      <c r="AB91" s="435">
        <f t="shared" ref="AB91:AE91" si="596">AB43</f>
        <v>5.36</v>
      </c>
      <c r="AC91" s="435">
        <f t="shared" si="596"/>
        <v>0</v>
      </c>
      <c r="AD91" s="435">
        <f t="shared" si="596"/>
        <v>0</v>
      </c>
      <c r="AE91" s="435">
        <f t="shared" si="596"/>
        <v>0</v>
      </c>
      <c r="AF91" s="107"/>
      <c r="AG91" s="107"/>
      <c r="AH91" s="3749"/>
      <c r="AI91" s="615">
        <v>7</v>
      </c>
      <c r="AJ91" s="435" t="str">
        <f>AJ43</f>
        <v>No Data</v>
      </c>
      <c r="AK91" s="41" t="str">
        <f t="shared" ref="AK91:AU91" si="597">AK43</f>
        <v>No Data</v>
      </c>
      <c r="AL91" s="41" t="str">
        <f t="shared" si="597"/>
        <v>No Data</v>
      </c>
      <c r="AM91" s="609">
        <f t="shared" si="597"/>
        <v>9.68</v>
      </c>
      <c r="AN91" s="570">
        <f t="shared" si="597"/>
        <v>9.8699999999999992</v>
      </c>
      <c r="AO91" s="41">
        <f t="shared" si="597"/>
        <v>8.67</v>
      </c>
      <c r="AP91" s="41">
        <f t="shared" si="597"/>
        <v>9.08</v>
      </c>
      <c r="AQ91" s="614">
        <f t="shared" si="597"/>
        <v>8.99</v>
      </c>
      <c r="AR91" s="435">
        <f t="shared" si="597"/>
        <v>8.83</v>
      </c>
      <c r="AS91" s="41">
        <f t="shared" si="597"/>
        <v>8.84</v>
      </c>
      <c r="AT91" s="41"/>
      <c r="AU91" s="609">
        <f t="shared" si="597"/>
        <v>0</v>
      </c>
      <c r="AV91" s="370"/>
      <c r="AW91" s="304"/>
      <c r="AX91" s="304"/>
      <c r="AY91" s="381"/>
      <c r="AZ91" s="318">
        <f>AZ43</f>
        <v>9.01</v>
      </c>
      <c r="BA91" s="304">
        <f t="shared" ref="BA91:BC91" si="598">BA43</f>
        <v>8.93</v>
      </c>
      <c r="BB91" s="304">
        <f t="shared" si="598"/>
        <v>9.27</v>
      </c>
      <c r="BC91" s="381">
        <f t="shared" si="598"/>
        <v>0</v>
      </c>
      <c r="BD91" s="318">
        <f>BD43</f>
        <v>9.36</v>
      </c>
      <c r="BE91" s="318">
        <f t="shared" ref="BE91:BG91" si="599">BE43</f>
        <v>8.09</v>
      </c>
      <c r="BF91" s="318">
        <f t="shared" si="599"/>
        <v>6.94</v>
      </c>
      <c r="BG91" s="318">
        <f t="shared" si="599"/>
        <v>7.07</v>
      </c>
      <c r="BH91" s="318">
        <f t="shared" ref="BH91:BK91" si="600">BH43</f>
        <v>8.11</v>
      </c>
      <c r="BI91" s="318">
        <f t="shared" si="600"/>
        <v>0</v>
      </c>
      <c r="BJ91" s="318">
        <f t="shared" si="600"/>
        <v>0</v>
      </c>
      <c r="BK91" s="318">
        <f t="shared" si="600"/>
        <v>0</v>
      </c>
      <c r="BL91" s="107"/>
      <c r="BM91" s="107"/>
      <c r="BN91" s="3749"/>
      <c r="BO91" s="615">
        <v>7</v>
      </c>
      <c r="BP91" s="435" t="str">
        <f>BP43</f>
        <v>No Data</v>
      </c>
      <c r="BQ91" s="41" t="str">
        <f t="shared" ref="BQ91:BZ91" si="601">BQ43</f>
        <v>No Data</v>
      </c>
      <c r="BR91" s="41" t="str">
        <f t="shared" si="601"/>
        <v>No Data</v>
      </c>
      <c r="BS91" s="614" t="str">
        <f t="shared" si="601"/>
        <v>No Data</v>
      </c>
      <c r="BT91" s="435">
        <f t="shared" si="601"/>
        <v>0.56699999999999995</v>
      </c>
      <c r="BU91" s="41">
        <f t="shared" si="601"/>
        <v>0.58199999999999996</v>
      </c>
      <c r="BV91" s="41">
        <f t="shared" si="601"/>
        <v>1.0169999999999999</v>
      </c>
      <c r="BW91" s="609">
        <f t="shared" si="601"/>
        <v>0</v>
      </c>
      <c r="BX91" s="570">
        <f t="shared" si="601"/>
        <v>0</v>
      </c>
      <c r="BY91" s="41">
        <f t="shared" si="601"/>
        <v>1.0229999999999999</v>
      </c>
      <c r="BZ91" s="41">
        <f t="shared" si="601"/>
        <v>0</v>
      </c>
      <c r="CA91" s="609"/>
      <c r="CB91" s="609">
        <f t="shared" ref="CB91:CG91" si="602">CB43</f>
        <v>0.28999999999999998</v>
      </c>
      <c r="CC91" s="609"/>
      <c r="CD91" s="609"/>
      <c r="CE91" s="609"/>
      <c r="CF91" s="609"/>
      <c r="CG91" s="609">
        <f t="shared" si="602"/>
        <v>0.16300000000000001</v>
      </c>
      <c r="CH91" s="609">
        <f t="shared" ref="CH91:CI91" si="603">CH43</f>
        <v>0</v>
      </c>
      <c r="CI91" s="609">
        <f t="shared" si="603"/>
        <v>0</v>
      </c>
      <c r="CJ91" s="609"/>
      <c r="CK91" s="609"/>
      <c r="CL91" s="609"/>
      <c r="CM91" s="609"/>
      <c r="CN91" s="609">
        <f>CN43</f>
        <v>2.3E-2</v>
      </c>
      <c r="CO91" s="609">
        <f t="shared" ref="CO91:CQ91" si="604">CO43</f>
        <v>0</v>
      </c>
      <c r="CP91" s="609">
        <f t="shared" si="604"/>
        <v>0</v>
      </c>
      <c r="CQ91" s="609">
        <f t="shared" si="604"/>
        <v>0</v>
      </c>
      <c r="CR91" s="107"/>
      <c r="CS91" s="107"/>
      <c r="CT91" s="107"/>
      <c r="CU91" s="3749"/>
      <c r="CV91" s="615">
        <v>7</v>
      </c>
      <c r="CW91" s="435">
        <f>CW43</f>
        <v>0</v>
      </c>
      <c r="CX91" s="41">
        <f t="shared" ref="CX91:DF91" si="605">CX43</f>
        <v>0</v>
      </c>
      <c r="CY91" s="41">
        <f t="shared" si="605"/>
        <v>0</v>
      </c>
      <c r="CZ91" s="609">
        <f t="shared" si="605"/>
        <v>2.58</v>
      </c>
      <c r="DA91" s="435">
        <f t="shared" si="605"/>
        <v>2.6</v>
      </c>
      <c r="DB91" s="41">
        <f t="shared" si="605"/>
        <v>2.54</v>
      </c>
      <c r="DC91" s="41">
        <f t="shared" si="605"/>
        <v>2.4300000000000002</v>
      </c>
      <c r="DD91" s="609">
        <f t="shared" si="605"/>
        <v>0</v>
      </c>
      <c r="DE91" s="435">
        <f t="shared" si="605"/>
        <v>2.63</v>
      </c>
      <c r="DF91" s="41">
        <f t="shared" si="605"/>
        <v>2.64</v>
      </c>
      <c r="DG91" s="41"/>
      <c r="DH91" s="609"/>
      <c r="DI91" s="609">
        <f t="shared" ref="DI91:DP91" si="606">DI43</f>
        <v>2.6</v>
      </c>
      <c r="DJ91" s="609">
        <f t="shared" si="606"/>
        <v>2.61</v>
      </c>
      <c r="DK91" s="609" t="str">
        <f t="shared" si="606"/>
        <v>no data</v>
      </c>
      <c r="DL91" s="609"/>
      <c r="DM91" s="609">
        <f t="shared" si="606"/>
        <v>2.4900000000000002</v>
      </c>
      <c r="DN91" s="609">
        <f t="shared" si="606"/>
        <v>2.59</v>
      </c>
      <c r="DO91" s="609">
        <f t="shared" si="606"/>
        <v>2.5099999999999998</v>
      </c>
      <c r="DP91" s="609">
        <f t="shared" si="606"/>
        <v>0</v>
      </c>
      <c r="DQ91" s="609">
        <f>DQ43</f>
        <v>2.59</v>
      </c>
      <c r="DR91" s="609">
        <f t="shared" ref="DR91:DT91" si="607">DR43</f>
        <v>2.5499999999999998</v>
      </c>
      <c r="DS91" s="609">
        <f t="shared" si="607"/>
        <v>2.57</v>
      </c>
      <c r="DT91" s="609">
        <f t="shared" si="607"/>
        <v>2.2799999999999998</v>
      </c>
      <c r="DU91" s="609">
        <f t="shared" ref="DU91:DX91" si="608">DU43</f>
        <v>2.57</v>
      </c>
      <c r="DV91" s="609">
        <f t="shared" si="608"/>
        <v>0</v>
      </c>
      <c r="DW91" s="609">
        <f t="shared" si="608"/>
        <v>0</v>
      </c>
      <c r="DX91" s="609">
        <f t="shared" si="608"/>
        <v>0</v>
      </c>
      <c r="DY91" s="107"/>
      <c r="DZ91" s="107"/>
      <c r="EA91" s="107"/>
      <c r="EB91" s="3749"/>
      <c r="EC91" s="615">
        <v>7</v>
      </c>
      <c r="ED91" s="435">
        <f>ED43</f>
        <v>0</v>
      </c>
      <c r="EE91" s="41">
        <f t="shared" ref="EE91:EO91" si="609">EE43</f>
        <v>0</v>
      </c>
      <c r="EF91" s="41">
        <f t="shared" si="609"/>
        <v>0</v>
      </c>
      <c r="EG91" s="609">
        <f t="shared" si="609"/>
        <v>40.1</v>
      </c>
      <c r="EH91" s="435">
        <f t="shared" si="609"/>
        <v>40.700000000000003</v>
      </c>
      <c r="EI91" s="41">
        <f t="shared" si="609"/>
        <v>39.6</v>
      </c>
      <c r="EJ91" s="41">
        <f t="shared" si="609"/>
        <v>37.9</v>
      </c>
      <c r="EK91" s="609">
        <f t="shared" si="609"/>
        <v>0</v>
      </c>
      <c r="EL91" s="435">
        <f t="shared" si="609"/>
        <v>40.700000000000003</v>
      </c>
      <c r="EM91" s="41">
        <f t="shared" si="609"/>
        <v>40.1</v>
      </c>
      <c r="EN91" s="41"/>
      <c r="EO91" s="609">
        <f t="shared" si="609"/>
        <v>0</v>
      </c>
      <c r="EP91" s="41"/>
      <c r="EQ91" s="609">
        <f t="shared" ref="EQ91" si="610">EQ43</f>
        <v>40.5</v>
      </c>
      <c r="ER91" s="41"/>
      <c r="ES91" s="614">
        <f t="shared" ref="ES91" si="611">ES43</f>
        <v>0</v>
      </c>
      <c r="ET91" s="435"/>
      <c r="EU91" s="41">
        <f t="shared" ref="EU91" si="612">EU43</f>
        <v>40.4</v>
      </c>
      <c r="EV91" s="41"/>
      <c r="EW91" s="609">
        <f t="shared" ref="EW91" si="613">EW43</f>
        <v>0</v>
      </c>
      <c r="EX91" s="435">
        <f>EX43</f>
        <v>40.200000000000003</v>
      </c>
      <c r="EY91" s="435">
        <f t="shared" ref="EY91:FA91" si="614">EY43</f>
        <v>39.799999999999997</v>
      </c>
      <c r="EZ91" s="435">
        <f t="shared" si="614"/>
        <v>40.1</v>
      </c>
      <c r="FA91" s="435">
        <f t="shared" si="614"/>
        <v>40.4</v>
      </c>
      <c r="FB91" s="435">
        <f t="shared" ref="FB91:FE91" si="615">FB43</f>
        <v>40</v>
      </c>
      <c r="FC91" s="435">
        <f t="shared" si="615"/>
        <v>0</v>
      </c>
      <c r="FD91" s="435">
        <f t="shared" si="615"/>
        <v>0</v>
      </c>
      <c r="FE91" s="435">
        <f t="shared" si="615"/>
        <v>0</v>
      </c>
    </row>
    <row r="92" spans="1:161">
      <c r="A92" s="107"/>
      <c r="B92" s="3749"/>
      <c r="C92" s="615">
        <v>8</v>
      </c>
      <c r="D92" s="435">
        <f>D48</f>
        <v>6.36</v>
      </c>
      <c r="E92" s="41" t="str">
        <f t="shared" ref="E92:O92" si="616">E48</f>
        <v>No Data</v>
      </c>
      <c r="F92" s="41">
        <f t="shared" si="616"/>
        <v>4.22</v>
      </c>
      <c r="G92" s="609">
        <f t="shared" si="616"/>
        <v>4.66</v>
      </c>
      <c r="H92" s="435">
        <f t="shared" si="616"/>
        <v>2.71</v>
      </c>
      <c r="I92" s="41">
        <f t="shared" si="616"/>
        <v>4.4000000000000004</v>
      </c>
      <c r="J92" s="41">
        <f t="shared" si="616"/>
        <v>2.1800000000000002</v>
      </c>
      <c r="K92" s="609">
        <f t="shared" si="616"/>
        <v>3.02</v>
      </c>
      <c r="L92" s="435">
        <f t="shared" si="616"/>
        <v>4.74</v>
      </c>
      <c r="M92" s="41">
        <f t="shared" si="616"/>
        <v>6.5</v>
      </c>
      <c r="N92" s="41">
        <v>7.48</v>
      </c>
      <c r="O92" s="609">
        <f t="shared" si="616"/>
        <v>0</v>
      </c>
      <c r="P92" s="435">
        <f>P48</f>
        <v>6.12</v>
      </c>
      <c r="Q92" s="435">
        <f t="shared" ref="Q92:U92" si="617">Q48</f>
        <v>4.75</v>
      </c>
      <c r="R92" s="435" t="str">
        <f t="shared" si="617"/>
        <v>no data</v>
      </c>
      <c r="S92" s="435"/>
      <c r="T92" s="435"/>
      <c r="U92" s="435">
        <f t="shared" si="617"/>
        <v>1.96</v>
      </c>
      <c r="V92" s="435"/>
      <c r="W92" s="435"/>
      <c r="X92" s="435">
        <f>X48</f>
        <v>5.92</v>
      </c>
      <c r="Y92" s="435">
        <f t="shared" ref="Y92:AA92" si="618">Y48</f>
        <v>4.4800000000000004</v>
      </c>
      <c r="Z92" s="435">
        <f t="shared" si="618"/>
        <v>2.19</v>
      </c>
      <c r="AA92" s="435">
        <f t="shared" si="618"/>
        <v>4.24</v>
      </c>
      <c r="AB92" s="435">
        <f t="shared" ref="AB92:AE92" si="619">AB48</f>
        <v>5.37</v>
      </c>
      <c r="AC92" s="435">
        <f t="shared" si="619"/>
        <v>0</v>
      </c>
      <c r="AD92" s="435">
        <f t="shared" si="619"/>
        <v>0</v>
      </c>
      <c r="AE92" s="435">
        <f t="shared" si="619"/>
        <v>0</v>
      </c>
      <c r="AF92" s="107"/>
      <c r="AG92" s="107"/>
      <c r="AH92" s="3749"/>
      <c r="AI92" s="615">
        <v>8</v>
      </c>
      <c r="AJ92" s="435" t="str">
        <f>AJ48</f>
        <v>No Data</v>
      </c>
      <c r="AK92" s="41" t="str">
        <f t="shared" ref="AK92:AU92" si="620">AK48</f>
        <v>No Data</v>
      </c>
      <c r="AL92" s="41" t="str">
        <f t="shared" si="620"/>
        <v>No Data</v>
      </c>
      <c r="AM92" s="609">
        <f t="shared" si="620"/>
        <v>9.68</v>
      </c>
      <c r="AN92" s="570">
        <f t="shared" si="620"/>
        <v>9.8800000000000008</v>
      </c>
      <c r="AO92" s="41">
        <f t="shared" si="620"/>
        <v>8.82</v>
      </c>
      <c r="AP92" s="41">
        <f t="shared" si="620"/>
        <v>8.8699999999999992</v>
      </c>
      <c r="AQ92" s="614">
        <f t="shared" si="620"/>
        <v>8.81</v>
      </c>
      <c r="AR92" s="435">
        <f t="shared" si="620"/>
        <v>8.83</v>
      </c>
      <c r="AS92" s="41">
        <f t="shared" si="620"/>
        <v>8.83</v>
      </c>
      <c r="AT92" s="41">
        <v>8.9499999999999993</v>
      </c>
      <c r="AU92" s="609">
        <f t="shared" si="620"/>
        <v>0</v>
      </c>
      <c r="AV92" s="370"/>
      <c r="AW92" s="304"/>
      <c r="AX92" s="304"/>
      <c r="AY92" s="381"/>
      <c r="AZ92" s="318">
        <f>AZ48</f>
        <v>8.8800000000000008</v>
      </c>
      <c r="BA92" s="304">
        <f t="shared" ref="BA92:BC92" si="621">BA48</f>
        <v>8.61</v>
      </c>
      <c r="BB92" s="304">
        <f t="shared" si="621"/>
        <v>9.14</v>
      </c>
      <c r="BC92" s="381">
        <f t="shared" si="621"/>
        <v>0</v>
      </c>
      <c r="BD92" s="318">
        <f>BD48</f>
        <v>9.3000000000000007</v>
      </c>
      <c r="BE92" s="318">
        <f t="shared" ref="BE92:BG92" si="622">BE48</f>
        <v>8.15</v>
      </c>
      <c r="BF92" s="318">
        <f t="shared" si="622"/>
        <v>6.81</v>
      </c>
      <c r="BG92" s="318">
        <f t="shared" si="622"/>
        <v>7</v>
      </c>
      <c r="BH92" s="318">
        <f t="shared" ref="BH92:BK92" si="623">BH48</f>
        <v>8.14</v>
      </c>
      <c r="BI92" s="318">
        <f t="shared" si="623"/>
        <v>0</v>
      </c>
      <c r="BJ92" s="318">
        <f t="shared" si="623"/>
        <v>0</v>
      </c>
      <c r="BK92" s="318">
        <f t="shared" si="623"/>
        <v>0</v>
      </c>
      <c r="BL92" s="107"/>
      <c r="BM92" s="107"/>
      <c r="BN92" s="3749"/>
      <c r="BO92" s="615">
        <v>8</v>
      </c>
      <c r="BP92" s="435" t="str">
        <f>BP48</f>
        <v>No Data</v>
      </c>
      <c r="BQ92" s="41" t="str">
        <f t="shared" ref="BQ92:BZ92" si="624">BQ48</f>
        <v>No Data</v>
      </c>
      <c r="BR92" s="41" t="str">
        <f t="shared" si="624"/>
        <v>No Data</v>
      </c>
      <c r="BS92" s="614" t="str">
        <f t="shared" si="624"/>
        <v>No Data</v>
      </c>
      <c r="BT92" s="435">
        <f t="shared" si="624"/>
        <v>0.53700000000000003</v>
      </c>
      <c r="BU92" s="41">
        <f t="shared" si="624"/>
        <v>0.54200000000000004</v>
      </c>
      <c r="BV92" s="41">
        <f t="shared" si="624"/>
        <v>1.0629999999999999</v>
      </c>
      <c r="BW92" s="609">
        <f t="shared" si="624"/>
        <v>0</v>
      </c>
      <c r="BX92" s="570">
        <f t="shared" si="624"/>
        <v>0</v>
      </c>
      <c r="BY92" s="41">
        <f t="shared" si="624"/>
        <v>1.121</v>
      </c>
      <c r="BZ92" s="41">
        <f t="shared" si="624"/>
        <v>0</v>
      </c>
      <c r="CA92" s="609"/>
      <c r="CB92" s="609">
        <f t="shared" ref="CB92:CG92" si="625">CB48</f>
        <v>0.45</v>
      </c>
      <c r="CC92" s="609"/>
      <c r="CD92" s="609"/>
      <c r="CE92" s="609"/>
      <c r="CF92" s="609"/>
      <c r="CG92" s="609">
        <f t="shared" si="625"/>
        <v>0.311</v>
      </c>
      <c r="CH92" s="609">
        <f t="shared" ref="CH92:CI92" si="626">CH48</f>
        <v>0</v>
      </c>
      <c r="CI92" s="609">
        <f t="shared" si="626"/>
        <v>0</v>
      </c>
      <c r="CJ92" s="609"/>
      <c r="CK92" s="609"/>
      <c r="CL92" s="609"/>
      <c r="CM92" s="609"/>
      <c r="CN92" s="609">
        <f>CN48</f>
        <v>0.02</v>
      </c>
      <c r="CO92" s="609">
        <f t="shared" ref="CO92:CQ92" si="627">CO48</f>
        <v>0</v>
      </c>
      <c r="CP92" s="609">
        <f t="shared" si="627"/>
        <v>0</v>
      </c>
      <c r="CQ92" s="609">
        <f t="shared" si="627"/>
        <v>0</v>
      </c>
      <c r="CR92" s="107"/>
      <c r="CS92" s="107"/>
      <c r="CT92" s="107"/>
      <c r="CU92" s="3749"/>
      <c r="CV92" s="615">
        <v>8</v>
      </c>
      <c r="CW92" s="435">
        <f>CW48</f>
        <v>0</v>
      </c>
      <c r="CX92" s="41">
        <f t="shared" ref="CX92:DF92" si="628">CX48</f>
        <v>0</v>
      </c>
      <c r="CY92" s="41">
        <f t="shared" si="628"/>
        <v>0</v>
      </c>
      <c r="CZ92" s="609">
        <f t="shared" si="628"/>
        <v>2.6</v>
      </c>
      <c r="DA92" s="435">
        <f t="shared" si="628"/>
        <v>2.61</v>
      </c>
      <c r="DB92" s="41">
        <f t="shared" si="628"/>
        <v>2.52</v>
      </c>
      <c r="DC92" s="41">
        <f t="shared" si="628"/>
        <v>2.46</v>
      </c>
      <c r="DD92" s="609">
        <f t="shared" si="628"/>
        <v>0</v>
      </c>
      <c r="DE92" s="435">
        <f t="shared" si="628"/>
        <v>2.62</v>
      </c>
      <c r="DF92" s="41">
        <f t="shared" si="628"/>
        <v>2.65</v>
      </c>
      <c r="DG92" s="41">
        <v>2.46</v>
      </c>
      <c r="DH92" s="609"/>
      <c r="DI92" s="609">
        <f t="shared" ref="DI92:DP92" si="629">DI48</f>
        <v>2.5499999999999998</v>
      </c>
      <c r="DJ92" s="609">
        <f t="shared" si="629"/>
        <v>2.6</v>
      </c>
      <c r="DK92" s="609" t="str">
        <f t="shared" si="629"/>
        <v>no data</v>
      </c>
      <c r="DL92" s="609"/>
      <c r="DM92" s="609">
        <f t="shared" si="629"/>
        <v>2.4500000000000002</v>
      </c>
      <c r="DN92" s="609">
        <f t="shared" si="629"/>
        <v>2.57</v>
      </c>
      <c r="DO92" s="609">
        <f t="shared" si="629"/>
        <v>2.5299999999999998</v>
      </c>
      <c r="DP92" s="609">
        <f t="shared" si="629"/>
        <v>0</v>
      </c>
      <c r="DQ92" s="609">
        <f>DQ48</f>
        <v>2.57</v>
      </c>
      <c r="DR92" s="609">
        <f t="shared" ref="DR92:DT92" si="630">DR48</f>
        <v>2.57</v>
      </c>
      <c r="DS92" s="609">
        <f t="shared" si="630"/>
        <v>2.56</v>
      </c>
      <c r="DT92" s="609">
        <f t="shared" si="630"/>
        <v>2.54</v>
      </c>
      <c r="DU92" s="609">
        <f t="shared" ref="DU92:DX92" si="631">DU48</f>
        <v>2.5299999999999998</v>
      </c>
      <c r="DV92" s="609">
        <f t="shared" si="631"/>
        <v>0</v>
      </c>
      <c r="DW92" s="609">
        <f t="shared" si="631"/>
        <v>0</v>
      </c>
      <c r="DX92" s="609">
        <f t="shared" si="631"/>
        <v>0</v>
      </c>
      <c r="DY92" s="107"/>
      <c r="DZ92" s="107"/>
      <c r="EA92" s="107"/>
      <c r="EB92" s="3749"/>
      <c r="EC92" s="615">
        <v>8</v>
      </c>
      <c r="ED92" s="435">
        <f>ED48</f>
        <v>0</v>
      </c>
      <c r="EE92" s="41">
        <f t="shared" ref="EE92:EO92" si="632">EE48</f>
        <v>0</v>
      </c>
      <c r="EF92" s="41">
        <f t="shared" si="632"/>
        <v>0</v>
      </c>
      <c r="EG92" s="609">
        <f t="shared" si="632"/>
        <v>40.4</v>
      </c>
      <c r="EH92" s="435">
        <f t="shared" si="632"/>
        <v>40.700000000000003</v>
      </c>
      <c r="EI92" s="41">
        <f t="shared" si="632"/>
        <v>39.200000000000003</v>
      </c>
      <c r="EJ92" s="41">
        <f t="shared" si="632"/>
        <v>38.5</v>
      </c>
      <c r="EK92" s="609">
        <f t="shared" si="632"/>
        <v>0</v>
      </c>
      <c r="EL92" s="435">
        <f t="shared" si="632"/>
        <v>40.799999999999997</v>
      </c>
      <c r="EM92" s="41">
        <f t="shared" si="632"/>
        <v>40.9</v>
      </c>
      <c r="EN92" s="41">
        <v>38.200000000000003</v>
      </c>
      <c r="EO92" s="609">
        <f t="shared" si="632"/>
        <v>0</v>
      </c>
      <c r="EP92" s="41">
        <v>38.200000000000003</v>
      </c>
      <c r="EQ92" s="609">
        <f t="shared" ref="EQ92" si="633">EQ48</f>
        <v>40.5</v>
      </c>
      <c r="ER92" s="41">
        <v>38.200000000000003</v>
      </c>
      <c r="ES92" s="614">
        <f t="shared" ref="ES92" si="634">ES48</f>
        <v>0</v>
      </c>
      <c r="ET92" s="435">
        <v>38.200000000000003</v>
      </c>
      <c r="EU92" s="41">
        <f t="shared" ref="EU92" si="635">EU48</f>
        <v>40.1</v>
      </c>
      <c r="EV92" s="41">
        <v>38.200000000000003</v>
      </c>
      <c r="EW92" s="609">
        <f t="shared" ref="EW92" si="636">EW48</f>
        <v>0</v>
      </c>
      <c r="EX92" s="435">
        <f>EX48</f>
        <v>40</v>
      </c>
      <c r="EY92" s="435">
        <f t="shared" ref="EY92:FA92" si="637">EY48</f>
        <v>40</v>
      </c>
      <c r="EZ92" s="435">
        <f t="shared" si="637"/>
        <v>39.799999999999997</v>
      </c>
      <c r="FA92" s="435">
        <f t="shared" si="637"/>
        <v>39.6</v>
      </c>
      <c r="FB92" s="435">
        <f t="shared" ref="FB92:FE92" si="638">FB48</f>
        <v>39.4</v>
      </c>
      <c r="FC92" s="435">
        <f t="shared" si="638"/>
        <v>0</v>
      </c>
      <c r="FD92" s="435">
        <f t="shared" si="638"/>
        <v>0</v>
      </c>
      <c r="FE92" s="435">
        <f t="shared" si="638"/>
        <v>0</v>
      </c>
    </row>
    <row r="93" spans="1:161" ht="15.75" thickBot="1">
      <c r="A93" s="107"/>
      <c r="B93" s="3751"/>
      <c r="C93" s="618">
        <v>9</v>
      </c>
      <c r="D93" s="436">
        <f>D53</f>
        <v>3.37</v>
      </c>
      <c r="E93" s="62" t="str">
        <f t="shared" ref="E93:O93" si="639">E53</f>
        <v>No Data</v>
      </c>
      <c r="F93" s="62">
        <f t="shared" si="639"/>
        <v>5.0599999999999996</v>
      </c>
      <c r="G93" s="611">
        <f t="shared" si="639"/>
        <v>6.42</v>
      </c>
      <c r="H93" s="436">
        <f t="shared" si="639"/>
        <v>2.99</v>
      </c>
      <c r="I93" s="62">
        <f t="shared" si="639"/>
        <v>4.6100000000000003</v>
      </c>
      <c r="J93" s="62">
        <f t="shared" si="639"/>
        <v>1.71</v>
      </c>
      <c r="K93" s="611">
        <f t="shared" si="639"/>
        <v>3.67</v>
      </c>
      <c r="L93" s="436">
        <f t="shared" si="639"/>
        <v>3.81</v>
      </c>
      <c r="M93" s="62">
        <f t="shared" si="639"/>
        <v>4.07</v>
      </c>
      <c r="N93" s="62">
        <v>4.6399999999999997</v>
      </c>
      <c r="O93" s="611">
        <f t="shared" si="639"/>
        <v>0</v>
      </c>
      <c r="P93" s="436">
        <f>P53</f>
        <v>4.75</v>
      </c>
      <c r="Q93" s="436">
        <f t="shared" ref="Q93:U93" si="640">Q53</f>
        <v>4.79</v>
      </c>
      <c r="R93" s="436" t="str">
        <f t="shared" si="640"/>
        <v>no data</v>
      </c>
      <c r="S93" s="436"/>
      <c r="T93" s="436"/>
      <c r="U93" s="436">
        <f t="shared" si="640"/>
        <v>2.84</v>
      </c>
      <c r="V93" s="436"/>
      <c r="W93" s="436"/>
      <c r="X93" s="436">
        <f>X53</f>
        <v>5.88</v>
      </c>
      <c r="Y93" s="436">
        <f t="shared" ref="Y93:AA93" si="641">Y53</f>
        <v>4.46</v>
      </c>
      <c r="Z93" s="436">
        <f t="shared" si="641"/>
        <v>1.74</v>
      </c>
      <c r="AA93" s="436">
        <f t="shared" si="641"/>
        <v>2.4900000000000002</v>
      </c>
      <c r="AB93" s="436">
        <f t="shared" ref="AB93:AE93" si="642">AB53</f>
        <v>3.51</v>
      </c>
      <c r="AC93" s="436">
        <f t="shared" si="642"/>
        <v>0</v>
      </c>
      <c r="AD93" s="436">
        <f t="shared" si="642"/>
        <v>0</v>
      </c>
      <c r="AE93" s="436">
        <f t="shared" si="642"/>
        <v>0</v>
      </c>
      <c r="AF93" s="107"/>
      <c r="AG93" s="107"/>
      <c r="AH93" s="3751"/>
      <c r="AI93" s="618">
        <v>9</v>
      </c>
      <c r="AJ93" s="579" t="str">
        <f>AJ53</f>
        <v>No Data</v>
      </c>
      <c r="AK93" s="624" t="str">
        <f t="shared" ref="AK93:AU93" si="643">AK53</f>
        <v>No Data</v>
      </c>
      <c r="AL93" s="624" t="str">
        <f t="shared" si="643"/>
        <v>No Data</v>
      </c>
      <c r="AM93" s="625">
        <f t="shared" si="643"/>
        <v>8.0299999999999994</v>
      </c>
      <c r="AN93" s="626">
        <f t="shared" si="643"/>
        <v>9.7100000000000009</v>
      </c>
      <c r="AO93" s="624">
        <f t="shared" si="643"/>
        <v>8.35</v>
      </c>
      <c r="AP93" s="624">
        <f t="shared" si="643"/>
        <v>9.08</v>
      </c>
      <c r="AQ93" s="627">
        <f t="shared" si="643"/>
        <v>8.75</v>
      </c>
      <c r="AR93" s="579">
        <f t="shared" si="643"/>
        <v>8.5399999999999991</v>
      </c>
      <c r="AS93" s="624">
        <f t="shared" si="643"/>
        <v>8.36</v>
      </c>
      <c r="AT93" s="624">
        <v>8.59</v>
      </c>
      <c r="AU93" s="625">
        <f t="shared" si="643"/>
        <v>0</v>
      </c>
      <c r="AV93" s="806"/>
      <c r="AW93" s="540"/>
      <c r="AX93" s="540"/>
      <c r="AY93" s="2453"/>
      <c r="AZ93" s="320">
        <f>AZ53</f>
        <v>8.92</v>
      </c>
      <c r="BA93" s="321">
        <f t="shared" ref="BA93:BC93" si="644">BA53</f>
        <v>8.84</v>
      </c>
      <c r="BB93" s="321">
        <f t="shared" si="644"/>
        <v>9.25</v>
      </c>
      <c r="BC93" s="382">
        <f t="shared" si="644"/>
        <v>0</v>
      </c>
      <c r="BD93" s="320">
        <f>BD53</f>
        <v>9.43</v>
      </c>
      <c r="BE93" s="320">
        <f t="shared" ref="BE93:BG93" si="645">BE53</f>
        <v>8.25</v>
      </c>
      <c r="BF93" s="320">
        <f t="shared" si="645"/>
        <v>6.61</v>
      </c>
      <c r="BG93" s="320">
        <f t="shared" si="645"/>
        <v>6.94</v>
      </c>
      <c r="BH93" s="320">
        <f t="shared" ref="BH93:BK93" si="646">BH53</f>
        <v>7.94</v>
      </c>
      <c r="BI93" s="320">
        <f t="shared" si="646"/>
        <v>0</v>
      </c>
      <c r="BJ93" s="320">
        <f t="shared" si="646"/>
        <v>0</v>
      </c>
      <c r="BK93" s="320">
        <f t="shared" si="646"/>
        <v>0</v>
      </c>
      <c r="BL93" s="107"/>
      <c r="BM93" s="107"/>
      <c r="BN93" s="3751"/>
      <c r="BO93" s="618">
        <v>9</v>
      </c>
      <c r="BP93" s="436" t="str">
        <f>BP53</f>
        <v>No Data</v>
      </c>
      <c r="BQ93" s="62" t="str">
        <f t="shared" ref="BQ93:BZ93" si="647">BQ53</f>
        <v>No Data</v>
      </c>
      <c r="BR93" s="62" t="str">
        <f t="shared" si="647"/>
        <v>No Data</v>
      </c>
      <c r="BS93" s="621" t="str">
        <f t="shared" si="647"/>
        <v>No Data</v>
      </c>
      <c r="BT93" s="436">
        <f t="shared" si="647"/>
        <v>0.38900000000000001</v>
      </c>
      <c r="BU93" s="62">
        <f t="shared" si="647"/>
        <v>0.61499999999999999</v>
      </c>
      <c r="BV93" s="62">
        <f t="shared" si="647"/>
        <v>1.151</v>
      </c>
      <c r="BW93" s="611">
        <f t="shared" si="647"/>
        <v>0</v>
      </c>
      <c r="BX93" s="571">
        <f t="shared" si="647"/>
        <v>0</v>
      </c>
      <c r="BY93" s="62">
        <f t="shared" si="647"/>
        <v>1.0109999999999999</v>
      </c>
      <c r="BZ93" s="62">
        <f t="shared" si="647"/>
        <v>0</v>
      </c>
      <c r="CA93" s="611"/>
      <c r="CB93" s="611">
        <f t="shared" ref="CB93:CG93" si="648">CB53</f>
        <v>0.25</v>
      </c>
      <c r="CC93" s="611"/>
      <c r="CD93" s="611"/>
      <c r="CE93" s="611"/>
      <c r="CF93" s="611"/>
      <c r="CG93" s="611">
        <f t="shared" si="648"/>
        <v>0.11600000000000001</v>
      </c>
      <c r="CH93" s="611">
        <f t="shared" ref="CH93:CI93" si="649">CH53</f>
        <v>0</v>
      </c>
      <c r="CI93" s="611">
        <f t="shared" si="649"/>
        <v>0</v>
      </c>
      <c r="CJ93" s="611"/>
      <c r="CK93" s="611"/>
      <c r="CL93" s="611"/>
      <c r="CM93" s="611"/>
      <c r="CN93" s="611">
        <f>CN53</f>
        <v>1.2999999999999999E-2</v>
      </c>
      <c r="CO93" s="611">
        <f t="shared" ref="CO93:CQ93" si="650">CO53</f>
        <v>0</v>
      </c>
      <c r="CP93" s="611">
        <f t="shared" si="650"/>
        <v>0</v>
      </c>
      <c r="CQ93" s="611">
        <f t="shared" si="650"/>
        <v>0</v>
      </c>
      <c r="CR93" s="107"/>
      <c r="CS93" s="107"/>
      <c r="CT93" s="107"/>
      <c r="CU93" s="3751"/>
      <c r="CV93" s="618">
        <v>9</v>
      </c>
      <c r="CW93" s="436">
        <f>CW53</f>
        <v>0</v>
      </c>
      <c r="CX93" s="62">
        <f t="shared" ref="CX93:DF93" si="651">CX53</f>
        <v>0</v>
      </c>
      <c r="CY93" s="62">
        <f t="shared" si="651"/>
        <v>0</v>
      </c>
      <c r="CZ93" s="611">
        <f t="shared" si="651"/>
        <v>2.57</v>
      </c>
      <c r="DA93" s="436">
        <f t="shared" si="651"/>
        <v>2.59</v>
      </c>
      <c r="DB93" s="62">
        <f t="shared" si="651"/>
        <v>2.4900000000000002</v>
      </c>
      <c r="DC93" s="62">
        <f t="shared" si="651"/>
        <v>2.4300000000000002</v>
      </c>
      <c r="DD93" s="611">
        <f t="shared" si="651"/>
        <v>0</v>
      </c>
      <c r="DE93" s="436">
        <f t="shared" si="651"/>
        <v>2.63</v>
      </c>
      <c r="DF93" s="62">
        <f t="shared" si="651"/>
        <v>2.67</v>
      </c>
      <c r="DG93" s="62">
        <v>2.46</v>
      </c>
      <c r="DH93" s="611"/>
      <c r="DI93" s="611">
        <f t="shared" ref="DI93:DP93" si="652">DI53</f>
        <v>2.58</v>
      </c>
      <c r="DJ93" s="611">
        <f t="shared" si="652"/>
        <v>2.6</v>
      </c>
      <c r="DK93" s="611" t="str">
        <f t="shared" si="652"/>
        <v>no data</v>
      </c>
      <c r="DL93" s="611"/>
      <c r="DM93" s="611">
        <f t="shared" si="652"/>
        <v>2.4900000000000002</v>
      </c>
      <c r="DN93" s="611">
        <f t="shared" si="652"/>
        <v>2.58</v>
      </c>
      <c r="DO93" s="611">
        <f t="shared" si="652"/>
        <v>2.48</v>
      </c>
      <c r="DP93" s="611">
        <f t="shared" si="652"/>
        <v>0</v>
      </c>
      <c r="DQ93" s="611">
        <f>DQ53</f>
        <v>2.58</v>
      </c>
      <c r="DR93" s="611">
        <f t="shared" ref="DR93:DT93" si="653">DR53</f>
        <v>2.56</v>
      </c>
      <c r="DS93" s="611">
        <f t="shared" si="653"/>
        <v>2.52</v>
      </c>
      <c r="DT93" s="611">
        <f t="shared" si="653"/>
        <v>2.6</v>
      </c>
      <c r="DU93" s="611">
        <f t="shared" ref="DU93:DX93" si="654">DU53</f>
        <v>2.54</v>
      </c>
      <c r="DV93" s="611">
        <f t="shared" si="654"/>
        <v>0</v>
      </c>
      <c r="DW93" s="611">
        <f t="shared" si="654"/>
        <v>0</v>
      </c>
      <c r="DX93" s="611">
        <f t="shared" si="654"/>
        <v>0</v>
      </c>
      <c r="DY93" s="107"/>
      <c r="DZ93" s="107"/>
      <c r="EA93" s="107"/>
      <c r="EB93" s="3751"/>
      <c r="EC93" s="618">
        <v>9</v>
      </c>
      <c r="ED93" s="436">
        <f>ED53</f>
        <v>0</v>
      </c>
      <c r="EE93" s="62">
        <f t="shared" ref="EE93:EO93" si="655">EE53</f>
        <v>0</v>
      </c>
      <c r="EF93" s="62">
        <f t="shared" si="655"/>
        <v>0</v>
      </c>
      <c r="EG93" s="611">
        <f t="shared" si="655"/>
        <v>40</v>
      </c>
      <c r="EH93" s="436">
        <f t="shared" si="655"/>
        <v>40.6</v>
      </c>
      <c r="EI93" s="62">
        <f t="shared" si="655"/>
        <v>38.799999999999997</v>
      </c>
      <c r="EJ93" s="62">
        <f t="shared" si="655"/>
        <v>37.9</v>
      </c>
      <c r="EK93" s="611">
        <f t="shared" si="655"/>
        <v>0</v>
      </c>
      <c r="EL93" s="436">
        <f t="shared" si="655"/>
        <v>40.799999999999997</v>
      </c>
      <c r="EM93" s="62">
        <f t="shared" si="655"/>
        <v>41.1</v>
      </c>
      <c r="EN93" s="62">
        <v>38.4</v>
      </c>
      <c r="EO93" s="611">
        <f t="shared" si="655"/>
        <v>0</v>
      </c>
      <c r="EP93" s="62">
        <v>38.4</v>
      </c>
      <c r="EQ93" s="611">
        <f t="shared" ref="EQ93" si="656">EQ53</f>
        <v>40.5</v>
      </c>
      <c r="ER93" s="62">
        <v>38.4</v>
      </c>
      <c r="ES93" s="621">
        <f t="shared" ref="ES93" si="657">ES53</f>
        <v>0</v>
      </c>
      <c r="ET93" s="436">
        <v>38.4</v>
      </c>
      <c r="EU93" s="62">
        <f t="shared" ref="EU93" si="658">EU53</f>
        <v>40.299999999999997</v>
      </c>
      <c r="EV93" s="62">
        <v>38.4</v>
      </c>
      <c r="EW93" s="611">
        <f t="shared" ref="EW93" si="659">EW53</f>
        <v>0</v>
      </c>
      <c r="EX93" s="436">
        <f>EX53</f>
        <v>40.1</v>
      </c>
      <c r="EY93" s="436">
        <f t="shared" ref="EY93:FA93" si="660">EY53</f>
        <v>39.799999999999997</v>
      </c>
      <c r="EZ93" s="436">
        <f t="shared" si="660"/>
        <v>39.299999999999997</v>
      </c>
      <c r="FA93" s="436">
        <f t="shared" si="660"/>
        <v>40.4</v>
      </c>
      <c r="FB93" s="436">
        <f t="shared" ref="FB93:FE93" si="661">FB53</f>
        <v>39.6</v>
      </c>
      <c r="FC93" s="436">
        <f t="shared" si="661"/>
        <v>0</v>
      </c>
      <c r="FD93" s="436">
        <f t="shared" si="661"/>
        <v>0</v>
      </c>
      <c r="FE93" s="436">
        <f t="shared" si="661"/>
        <v>0</v>
      </c>
    </row>
    <row r="94" spans="1:161" ht="15.75" thickBot="1">
      <c r="A94" s="107"/>
      <c r="B94" s="3756" t="s">
        <v>200</v>
      </c>
      <c r="C94" s="3757"/>
      <c r="D94" s="607">
        <f>COUNTIF(D85:D93,"&gt;=5")/COUNT(D85:D93)</f>
        <v>0.66666666666666663</v>
      </c>
      <c r="E94" s="612" t="e">
        <f t="shared" ref="E94:P94" si="662">COUNTIF(E85:E93,"&gt;=5")/COUNT(E85:E93)</f>
        <v>#DIV/0!</v>
      </c>
      <c r="F94" s="612">
        <f t="shared" si="662"/>
        <v>0.2</v>
      </c>
      <c r="G94" s="613">
        <f t="shared" si="662"/>
        <v>0.14285714285714285</v>
      </c>
      <c r="H94" s="607">
        <f t="shared" si="662"/>
        <v>0</v>
      </c>
      <c r="I94" s="612">
        <f t="shared" si="662"/>
        <v>0.33333333333333331</v>
      </c>
      <c r="J94" s="612">
        <f t="shared" si="662"/>
        <v>0</v>
      </c>
      <c r="K94" s="613">
        <f t="shared" si="662"/>
        <v>0.22222222222222221</v>
      </c>
      <c r="L94" s="607">
        <f t="shared" si="662"/>
        <v>0.66666666666666663</v>
      </c>
      <c r="M94" s="612">
        <f t="shared" si="662"/>
        <v>0.22222222222222221</v>
      </c>
      <c r="N94" s="612">
        <f t="shared" si="662"/>
        <v>0.5</v>
      </c>
      <c r="O94" s="901">
        <f t="shared" si="662"/>
        <v>0</v>
      </c>
      <c r="P94" s="902">
        <f t="shared" si="662"/>
        <v>0.66666666666666663</v>
      </c>
      <c r="Q94" s="902">
        <f t="shared" ref="Q94:W94" si="663">COUNTIF(Q85:Q93,"&gt;=5")/COUNT(Q85:Q93)</f>
        <v>0.33333333333333331</v>
      </c>
      <c r="R94" s="902" t="e">
        <f t="shared" si="663"/>
        <v>#DIV/0!</v>
      </c>
      <c r="S94" s="902" t="e">
        <f t="shared" si="663"/>
        <v>#DIV/0!</v>
      </c>
      <c r="T94" s="902" t="e">
        <f t="shared" si="663"/>
        <v>#DIV/0!</v>
      </c>
      <c r="U94" s="902">
        <f t="shared" si="663"/>
        <v>0.33333333333333331</v>
      </c>
      <c r="V94" s="902" t="e">
        <f t="shared" si="663"/>
        <v>#DIV/0!</v>
      </c>
      <c r="W94" s="902" t="e">
        <f t="shared" si="663"/>
        <v>#DIV/0!</v>
      </c>
      <c r="X94" s="902">
        <f t="shared" ref="X94:AA94" si="664">COUNTIF(X85:X93,"&gt;=5")/COUNT(X85:X93)</f>
        <v>0.55555555555555558</v>
      </c>
      <c r="Y94" s="902">
        <f t="shared" si="664"/>
        <v>0</v>
      </c>
      <c r="Z94" s="902">
        <f t="shared" si="664"/>
        <v>0</v>
      </c>
      <c r="AA94" s="902">
        <f t="shared" si="664"/>
        <v>0</v>
      </c>
      <c r="AB94" s="902">
        <f t="shared" ref="AB94:AE94" si="665">COUNTIF(AB85:AB93,"&gt;=5")/COUNT(AB85:AB93)</f>
        <v>0.55555555555555558</v>
      </c>
      <c r="AC94" s="902">
        <f t="shared" si="665"/>
        <v>0</v>
      </c>
      <c r="AD94" s="902">
        <f t="shared" si="665"/>
        <v>0</v>
      </c>
      <c r="AE94" s="902">
        <f t="shared" si="665"/>
        <v>0</v>
      </c>
      <c r="AF94" s="107"/>
      <c r="AG94" s="107"/>
      <c r="AH94" s="3756" t="s">
        <v>200</v>
      </c>
      <c r="AI94" s="3757"/>
      <c r="AJ94" s="426" t="e">
        <f>COUNTIFS(AJ85:AJ93,"&gt;=6",AJ85:AJ93,"&lt;=8.5")/COUNT(AJ85:AJ93)</f>
        <v>#DIV/0!</v>
      </c>
      <c r="AK94" s="275" t="e">
        <f t="shared" ref="AK94:BC94" si="666">COUNTIFS(AK85:AK93,"&gt;=6",AK85:AK93,"&lt;=8.5")/COUNT(AK85:AK93)</f>
        <v>#DIV/0!</v>
      </c>
      <c r="AL94" s="275" t="e">
        <f t="shared" si="666"/>
        <v>#DIV/0!</v>
      </c>
      <c r="AM94" s="427">
        <f t="shared" si="666"/>
        <v>0.14285714285714285</v>
      </c>
      <c r="AN94" s="623">
        <f t="shared" si="666"/>
        <v>0</v>
      </c>
      <c r="AO94" s="275">
        <f t="shared" si="666"/>
        <v>0.1111111111111111</v>
      </c>
      <c r="AP94" s="275">
        <f t="shared" si="666"/>
        <v>0</v>
      </c>
      <c r="AQ94" s="425">
        <f t="shared" si="666"/>
        <v>0</v>
      </c>
      <c r="AR94" s="426">
        <f t="shared" si="666"/>
        <v>0</v>
      </c>
      <c r="AS94" s="275">
        <f t="shared" si="666"/>
        <v>0.1111111111111111</v>
      </c>
      <c r="AT94" s="275">
        <f t="shared" si="666"/>
        <v>0</v>
      </c>
      <c r="AU94" s="425">
        <f t="shared" si="666"/>
        <v>0</v>
      </c>
      <c r="AV94" s="426" t="e">
        <f t="shared" si="666"/>
        <v>#DIV/0!</v>
      </c>
      <c r="AW94" s="275" t="e">
        <f t="shared" si="666"/>
        <v>#DIV/0!</v>
      </c>
      <c r="AX94" s="275" t="e">
        <f t="shared" si="666"/>
        <v>#DIV/0!</v>
      </c>
      <c r="AY94" s="425" t="e">
        <f t="shared" si="666"/>
        <v>#DIV/0!</v>
      </c>
      <c r="AZ94" s="546">
        <f t="shared" si="666"/>
        <v>0</v>
      </c>
      <c r="BA94" s="544">
        <f t="shared" si="666"/>
        <v>0.1111111111111111</v>
      </c>
      <c r="BB94" s="544">
        <f t="shared" si="666"/>
        <v>0</v>
      </c>
      <c r="BC94" s="533">
        <f t="shared" si="666"/>
        <v>0</v>
      </c>
      <c r="BD94" s="904">
        <f t="shared" ref="BD94:BF94" si="667">COUNTIFS(BD85:BD93,"&gt;=6",BD85:BD93,"&lt;=8.5")/COUNT(BD85:BD93)</f>
        <v>0.1111111111111111</v>
      </c>
      <c r="BE94" s="544">
        <f t="shared" si="667"/>
        <v>1</v>
      </c>
      <c r="BF94" s="544">
        <f t="shared" si="667"/>
        <v>1</v>
      </c>
      <c r="BG94" s="533">
        <f>COUNTIFS(BG85:BG93,"&gt;=7",BG85:BG93,"&lt;=8.5")/COUNT(BG85:BG93)</f>
        <v>0.88888888888888884</v>
      </c>
      <c r="BH94" s="533">
        <f t="shared" ref="BH94:BK94" si="668">COUNTIFS(BH85:BH93,"&gt;=7",BH85:BH93,"&lt;=8.5")/COUNT(BH85:BH93)</f>
        <v>0.55555555555555558</v>
      </c>
      <c r="BI94" s="533">
        <f t="shared" si="668"/>
        <v>0</v>
      </c>
      <c r="BJ94" s="533">
        <f t="shared" si="668"/>
        <v>0</v>
      </c>
      <c r="BK94" s="533">
        <f t="shared" si="668"/>
        <v>0</v>
      </c>
      <c r="BL94" s="107"/>
      <c r="BM94" s="107"/>
      <c r="BN94" s="3758" t="s">
        <v>200</v>
      </c>
      <c r="BO94" s="3759"/>
      <c r="BP94" s="546" t="e">
        <f>COUNTIF(BP85:BP93,"&lt;=0.40")/COUNT(BP85:BP93)</f>
        <v>#DIV/0!</v>
      </c>
      <c r="BQ94" s="544" t="e">
        <f t="shared" ref="BQ94:CE94" si="669">COUNTIF(BQ85:BQ93,"&lt;=0.40")/COUNT(BQ85:BQ93)</f>
        <v>#DIV/0!</v>
      </c>
      <c r="BR94" s="544" t="e">
        <f t="shared" si="669"/>
        <v>#DIV/0!</v>
      </c>
      <c r="BS94" s="533" t="e">
        <f t="shared" si="669"/>
        <v>#DIV/0!</v>
      </c>
      <c r="BT94" s="904">
        <f t="shared" si="669"/>
        <v>0.44444444444444442</v>
      </c>
      <c r="BU94" s="544">
        <f t="shared" si="669"/>
        <v>0</v>
      </c>
      <c r="BV94" s="544">
        <f t="shared" si="669"/>
        <v>0.22222222222222221</v>
      </c>
      <c r="BW94" s="545">
        <f t="shared" si="669"/>
        <v>1</v>
      </c>
      <c r="BX94" s="546">
        <f t="shared" si="669"/>
        <v>1</v>
      </c>
      <c r="BY94" s="544">
        <f t="shared" si="669"/>
        <v>0</v>
      </c>
      <c r="BZ94" s="544">
        <f t="shared" si="669"/>
        <v>1</v>
      </c>
      <c r="CA94" s="533" t="e">
        <f t="shared" si="669"/>
        <v>#DIV/0!</v>
      </c>
      <c r="CB94" s="426">
        <f t="shared" si="669"/>
        <v>0.55555555555555558</v>
      </c>
      <c r="CC94" s="275" t="e">
        <f t="shared" si="669"/>
        <v>#DIV/0!</v>
      </c>
      <c r="CD94" s="275" t="e">
        <f t="shared" si="669"/>
        <v>#DIV/0!</v>
      </c>
      <c r="CE94" s="427" t="e">
        <f t="shared" si="669"/>
        <v>#DIV/0!</v>
      </c>
      <c r="CF94" s="426" t="e">
        <f t="shared" ref="CF94:CI94" si="670">COUNTIF(CF85:CF93,"&lt;=0.40")/COUNT(CF85:CF93)</f>
        <v>#DIV/0!</v>
      </c>
      <c r="CG94" s="275">
        <f t="shared" si="670"/>
        <v>0.88888888888888884</v>
      </c>
      <c r="CH94" s="275">
        <f t="shared" si="670"/>
        <v>1</v>
      </c>
      <c r="CI94" s="427">
        <f t="shared" si="670"/>
        <v>1</v>
      </c>
      <c r="CJ94" s="427" t="e">
        <f t="shared" ref="CJ94:CM94" si="671">COUNTIF(CJ85:CJ93,"&lt;=0.40")/COUNT(CJ85:CJ93)</f>
        <v>#DIV/0!</v>
      </c>
      <c r="CK94" s="427" t="e">
        <f t="shared" si="671"/>
        <v>#DIV/0!</v>
      </c>
      <c r="CL94" s="427" t="e">
        <f t="shared" si="671"/>
        <v>#DIV/0!</v>
      </c>
      <c r="CM94" s="427" t="e">
        <f t="shared" si="671"/>
        <v>#DIV/0!</v>
      </c>
      <c r="CN94" s="427">
        <f t="shared" ref="CN94:CQ94" si="672">COUNTIF(CN85:CN93,"&lt;=0.40")/COUNT(CN85:CN93)</f>
        <v>1</v>
      </c>
      <c r="CO94" s="427">
        <f t="shared" si="672"/>
        <v>1</v>
      </c>
      <c r="CP94" s="427">
        <f t="shared" si="672"/>
        <v>1</v>
      </c>
      <c r="CQ94" s="427">
        <f t="shared" si="672"/>
        <v>1</v>
      </c>
      <c r="CR94" s="107"/>
      <c r="CS94" s="107"/>
      <c r="CT94" s="107"/>
      <c r="CU94" s="3756" t="s">
        <v>200</v>
      </c>
      <c r="CV94" s="3757"/>
      <c r="CW94" s="637"/>
      <c r="CX94" s="630"/>
      <c r="CY94" s="630"/>
      <c r="CZ94" s="638"/>
      <c r="DA94" s="636"/>
      <c r="DB94" s="629"/>
      <c r="DC94" s="629"/>
      <c r="DD94" s="631"/>
      <c r="DE94" s="632"/>
      <c r="DF94" s="633"/>
      <c r="DG94" s="633"/>
      <c r="DH94" s="634"/>
      <c r="DI94" s="886"/>
      <c r="DJ94" s="633"/>
      <c r="DK94" s="633"/>
      <c r="DL94" s="634"/>
      <c r="DM94" s="634"/>
      <c r="DN94" s="634"/>
      <c r="DO94" s="634"/>
      <c r="DP94" s="634"/>
      <c r="DQ94" s="634"/>
      <c r="DR94" s="634"/>
      <c r="DS94" s="634"/>
      <c r="DT94" s="634"/>
      <c r="DU94" s="634"/>
      <c r="DV94" s="634"/>
      <c r="DW94" s="634"/>
      <c r="DX94" s="634"/>
      <c r="DY94" s="107"/>
      <c r="DZ94" s="107"/>
      <c r="EA94" s="107"/>
      <c r="EB94" s="3756" t="s">
        <v>200</v>
      </c>
      <c r="EC94" s="3757"/>
      <c r="ED94" s="637"/>
      <c r="EE94" s="630"/>
      <c r="EF94" s="630"/>
      <c r="EG94" s="638"/>
      <c r="EH94" s="637"/>
      <c r="EI94" s="629"/>
      <c r="EJ94" s="629"/>
      <c r="EK94" s="639"/>
      <c r="EL94" s="632"/>
      <c r="EM94" s="633"/>
      <c r="EN94" s="633"/>
      <c r="EO94" s="634"/>
      <c r="EP94" s="886"/>
      <c r="EQ94" s="633"/>
      <c r="ER94" s="633"/>
      <c r="ES94" s="634"/>
      <c r="ET94" s="61"/>
      <c r="EU94" s="61"/>
      <c r="EV94" s="61"/>
      <c r="EW94" s="61"/>
      <c r="EX94" s="767"/>
    </row>
    <row r="95" spans="1:161" s="1585" customFormat="1">
      <c r="A95" s="107"/>
      <c r="B95" s="1590" t="s">
        <v>326</v>
      </c>
      <c r="C95" s="554"/>
      <c r="D95" s="1591">
        <f>COUNT(D85:D93)</f>
        <v>9</v>
      </c>
      <c r="E95" s="1591">
        <f t="shared" ref="E95:S95" si="673">COUNT(E85:E93)</f>
        <v>0</v>
      </c>
      <c r="F95" s="1591">
        <f t="shared" si="673"/>
        <v>5</v>
      </c>
      <c r="G95" s="1591">
        <f t="shared" si="673"/>
        <v>7</v>
      </c>
      <c r="H95" s="1591">
        <f t="shared" si="673"/>
        <v>9</v>
      </c>
      <c r="I95" s="1591">
        <f t="shared" si="673"/>
        <v>9</v>
      </c>
      <c r="J95" s="1591">
        <f t="shared" si="673"/>
        <v>8</v>
      </c>
      <c r="K95" s="1591">
        <f t="shared" si="673"/>
        <v>9</v>
      </c>
      <c r="L95" s="1591">
        <f t="shared" si="673"/>
        <v>9</v>
      </c>
      <c r="M95" s="1591">
        <f t="shared" si="673"/>
        <v>9</v>
      </c>
      <c r="N95" s="1591">
        <f t="shared" si="673"/>
        <v>6</v>
      </c>
      <c r="O95" s="1591">
        <f t="shared" si="673"/>
        <v>9</v>
      </c>
      <c r="P95" s="1591">
        <f t="shared" si="673"/>
        <v>9</v>
      </c>
      <c r="Q95" s="1591">
        <f t="shared" si="673"/>
        <v>9</v>
      </c>
      <c r="R95" s="1591">
        <f t="shared" si="673"/>
        <v>0</v>
      </c>
      <c r="S95" s="1591">
        <f t="shared" si="673"/>
        <v>0</v>
      </c>
      <c r="T95" s="1591">
        <f t="shared" ref="T95:W95" si="674">COUNT(T85:T93)</f>
        <v>0</v>
      </c>
      <c r="U95" s="1591">
        <f t="shared" si="674"/>
        <v>9</v>
      </c>
      <c r="V95" s="1591">
        <f t="shared" si="674"/>
        <v>0</v>
      </c>
      <c r="W95" s="1591">
        <f t="shared" si="674"/>
        <v>0</v>
      </c>
      <c r="X95" s="1591">
        <f t="shared" ref="X95:AA95" si="675">COUNT(X85:X93)</f>
        <v>9</v>
      </c>
      <c r="Y95" s="1591">
        <f t="shared" si="675"/>
        <v>9</v>
      </c>
      <c r="Z95" s="1591">
        <f t="shared" si="675"/>
        <v>9</v>
      </c>
      <c r="AA95" s="1591">
        <f t="shared" si="675"/>
        <v>9</v>
      </c>
      <c r="AB95" s="1591">
        <f t="shared" ref="AB95:AE95" si="676">COUNT(AB85:AB93)</f>
        <v>9</v>
      </c>
      <c r="AC95" s="1591">
        <f t="shared" si="676"/>
        <v>9</v>
      </c>
      <c r="AD95" s="1591">
        <f t="shared" si="676"/>
        <v>9</v>
      </c>
      <c r="AE95" s="1591">
        <f t="shared" si="676"/>
        <v>9</v>
      </c>
      <c r="AF95" s="107"/>
      <c r="AG95" s="107"/>
      <c r="AH95" s="1590" t="s">
        <v>326</v>
      </c>
      <c r="AI95" s="554"/>
      <c r="AJ95" s="1591">
        <f>COUNT(AJ85:AJ93)</f>
        <v>0</v>
      </c>
      <c r="AK95" s="1591">
        <f t="shared" ref="AK95:AY95" si="677">COUNT(AK85:AK93)</f>
        <v>0</v>
      </c>
      <c r="AL95" s="1591">
        <f t="shared" si="677"/>
        <v>0</v>
      </c>
      <c r="AM95" s="1591">
        <f t="shared" si="677"/>
        <v>7</v>
      </c>
      <c r="AN95" s="1591">
        <f t="shared" si="677"/>
        <v>9</v>
      </c>
      <c r="AO95" s="1591">
        <f t="shared" si="677"/>
        <v>9</v>
      </c>
      <c r="AP95" s="1591">
        <f t="shared" si="677"/>
        <v>8</v>
      </c>
      <c r="AQ95" s="1591">
        <f t="shared" si="677"/>
        <v>9</v>
      </c>
      <c r="AR95" s="1591">
        <f t="shared" si="677"/>
        <v>9</v>
      </c>
      <c r="AS95" s="1591">
        <f t="shared" si="677"/>
        <v>9</v>
      </c>
      <c r="AT95" s="1591">
        <f t="shared" si="677"/>
        <v>6</v>
      </c>
      <c r="AU95" s="1591">
        <f t="shared" si="677"/>
        <v>9</v>
      </c>
      <c r="AV95" s="1591">
        <f t="shared" si="677"/>
        <v>0</v>
      </c>
      <c r="AW95" s="1591">
        <f t="shared" si="677"/>
        <v>0</v>
      </c>
      <c r="AX95" s="1591">
        <f t="shared" si="677"/>
        <v>0</v>
      </c>
      <c r="AY95" s="1591">
        <f t="shared" si="677"/>
        <v>0</v>
      </c>
      <c r="AZ95" s="1591">
        <f t="shared" ref="AZ95:BC95" si="678">COUNT(AZ85:AZ93)</f>
        <v>9</v>
      </c>
      <c r="BA95" s="1591">
        <f t="shared" si="678"/>
        <v>9</v>
      </c>
      <c r="BB95" s="1591">
        <f t="shared" si="678"/>
        <v>9</v>
      </c>
      <c r="BC95" s="1591">
        <f t="shared" si="678"/>
        <v>9</v>
      </c>
      <c r="BD95" s="1591">
        <f t="shared" ref="BD95:BG95" si="679">COUNT(BD85:BD93)</f>
        <v>9</v>
      </c>
      <c r="BE95" s="1591">
        <f t="shared" si="679"/>
        <v>9</v>
      </c>
      <c r="BF95" s="1591">
        <f t="shared" si="679"/>
        <v>9</v>
      </c>
      <c r="BG95" s="1591">
        <f t="shared" si="679"/>
        <v>9</v>
      </c>
      <c r="BH95" s="1591">
        <f t="shared" ref="BH95:BK95" si="680">COUNT(BH85:BH93)</f>
        <v>9</v>
      </c>
      <c r="BI95" s="1591">
        <f t="shared" si="680"/>
        <v>9</v>
      </c>
      <c r="BJ95" s="1591">
        <f t="shared" si="680"/>
        <v>9</v>
      </c>
      <c r="BK95" s="1591">
        <f t="shared" si="680"/>
        <v>9</v>
      </c>
      <c r="BL95" s="107"/>
      <c r="BM95" s="107"/>
      <c r="BN95" s="1590" t="s">
        <v>326</v>
      </c>
      <c r="BO95" s="554"/>
      <c r="BP95" s="1591">
        <f>COUNT(BP85:BP93)</f>
        <v>0</v>
      </c>
      <c r="BQ95" s="1591">
        <f t="shared" ref="BQ95:CE95" si="681">COUNT(BQ85:BQ93)</f>
        <v>0</v>
      </c>
      <c r="BR95" s="1591">
        <f t="shared" si="681"/>
        <v>0</v>
      </c>
      <c r="BS95" s="1591">
        <f t="shared" si="681"/>
        <v>0</v>
      </c>
      <c r="BT95" s="1591">
        <f t="shared" si="681"/>
        <v>9</v>
      </c>
      <c r="BU95" s="1591">
        <f t="shared" si="681"/>
        <v>9</v>
      </c>
      <c r="BV95" s="1591">
        <f t="shared" si="681"/>
        <v>9</v>
      </c>
      <c r="BW95" s="1591">
        <f t="shared" si="681"/>
        <v>9</v>
      </c>
      <c r="BX95" s="1591">
        <f t="shared" si="681"/>
        <v>9</v>
      </c>
      <c r="BY95" s="1591">
        <f t="shared" si="681"/>
        <v>9</v>
      </c>
      <c r="BZ95" s="1591">
        <f t="shared" si="681"/>
        <v>9</v>
      </c>
      <c r="CA95" s="1591">
        <f t="shared" si="681"/>
        <v>0</v>
      </c>
      <c r="CB95" s="1591">
        <f t="shared" si="681"/>
        <v>9</v>
      </c>
      <c r="CC95" s="1591">
        <f t="shared" si="681"/>
        <v>0</v>
      </c>
      <c r="CD95" s="1591">
        <f t="shared" si="681"/>
        <v>0</v>
      </c>
      <c r="CE95" s="1591">
        <f t="shared" si="681"/>
        <v>0</v>
      </c>
      <c r="CF95" s="1591">
        <f t="shared" ref="CF95:CI95" si="682">COUNT(CF85:CF93)</f>
        <v>0</v>
      </c>
      <c r="CG95" s="1591">
        <f t="shared" si="682"/>
        <v>9</v>
      </c>
      <c r="CH95" s="1591">
        <f t="shared" si="682"/>
        <v>9</v>
      </c>
      <c r="CI95" s="1591">
        <f t="shared" si="682"/>
        <v>9</v>
      </c>
      <c r="CJ95" s="1591">
        <f t="shared" ref="CJ95:CM95" si="683">COUNT(CJ85:CJ93)</f>
        <v>0</v>
      </c>
      <c r="CK95" s="1591">
        <f t="shared" si="683"/>
        <v>0</v>
      </c>
      <c r="CL95" s="1591">
        <f t="shared" si="683"/>
        <v>0</v>
      </c>
      <c r="CM95" s="1591">
        <f t="shared" si="683"/>
        <v>0</v>
      </c>
      <c r="CN95" s="1591">
        <f t="shared" ref="CN95:CQ95" si="684">COUNT(CN85:CN93)</f>
        <v>5</v>
      </c>
      <c r="CO95" s="1591">
        <f t="shared" si="684"/>
        <v>9</v>
      </c>
      <c r="CP95" s="1591">
        <f t="shared" si="684"/>
        <v>9</v>
      </c>
      <c r="CQ95" s="1591">
        <f t="shared" si="684"/>
        <v>9</v>
      </c>
      <c r="CR95" s="107"/>
      <c r="CS95" s="107"/>
      <c r="CT95" s="107"/>
      <c r="CU95" s="1588"/>
      <c r="CV95" s="1588"/>
      <c r="CW95" s="38"/>
      <c r="CX95" s="40"/>
      <c r="CY95" s="40"/>
      <c r="CZ95" s="40"/>
      <c r="DA95" s="38"/>
      <c r="DB95" s="38"/>
      <c r="DC95" s="38"/>
      <c r="DD95" s="1589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107"/>
      <c r="DR95" s="107"/>
      <c r="DS95" s="107"/>
      <c r="DT95" s="107"/>
      <c r="DU95" s="107"/>
      <c r="DV95" s="107"/>
      <c r="DW95" s="107"/>
      <c r="DX95" s="107"/>
      <c r="DY95" s="107"/>
      <c r="DZ95" s="107"/>
      <c r="EA95" s="107"/>
      <c r="EB95" s="1588"/>
      <c r="EC95" s="1588"/>
      <c r="ED95" s="38"/>
      <c r="EE95" s="40"/>
      <c r="EF95" s="40"/>
      <c r="EG95" s="40"/>
      <c r="EH95" s="38"/>
      <c r="EI95" s="38"/>
      <c r="EJ95" s="38"/>
      <c r="EK95" s="1589"/>
      <c r="EL95" s="61"/>
      <c r="EM95" s="61"/>
      <c r="EN95" s="61"/>
      <c r="EO95" s="61"/>
      <c r="EP95" s="61"/>
      <c r="EQ95" s="61"/>
      <c r="ER95" s="61"/>
      <c r="ES95" s="61"/>
      <c r="ET95" s="61"/>
      <c r="EU95" s="61"/>
      <c r="EV95" s="61"/>
      <c r="EW95" s="61"/>
      <c r="EX95" s="767"/>
    </row>
    <row r="96" spans="1:161">
      <c r="A96" s="107"/>
      <c r="B96" s="196" t="s">
        <v>325</v>
      </c>
      <c r="C96" s="192"/>
      <c r="D96" s="108">
        <f>COUNTIF(D85:D93,"&gt;=5")</f>
        <v>6</v>
      </c>
      <c r="E96" s="108">
        <f t="shared" ref="E96:S96" si="685">COUNTIF(E85:E93,"&gt;=5")</f>
        <v>0</v>
      </c>
      <c r="F96" s="108">
        <f t="shared" si="685"/>
        <v>1</v>
      </c>
      <c r="G96" s="108">
        <f t="shared" si="685"/>
        <v>1</v>
      </c>
      <c r="H96" s="108">
        <f t="shared" si="685"/>
        <v>0</v>
      </c>
      <c r="I96" s="108">
        <f t="shared" si="685"/>
        <v>3</v>
      </c>
      <c r="J96" s="108">
        <f t="shared" si="685"/>
        <v>0</v>
      </c>
      <c r="K96" s="108">
        <f t="shared" si="685"/>
        <v>2</v>
      </c>
      <c r="L96" s="108">
        <f t="shared" si="685"/>
        <v>6</v>
      </c>
      <c r="M96" s="108">
        <f t="shared" si="685"/>
        <v>2</v>
      </c>
      <c r="N96" s="108">
        <f t="shared" si="685"/>
        <v>3</v>
      </c>
      <c r="O96" s="108">
        <f t="shared" si="685"/>
        <v>0</v>
      </c>
      <c r="P96" s="108">
        <f t="shared" si="685"/>
        <v>6</v>
      </c>
      <c r="Q96" s="108">
        <f t="shared" si="685"/>
        <v>3</v>
      </c>
      <c r="R96" s="108">
        <f t="shared" si="685"/>
        <v>0</v>
      </c>
      <c r="S96" s="108">
        <f t="shared" si="685"/>
        <v>0</v>
      </c>
      <c r="T96" s="108">
        <f t="shared" ref="T96:W96" si="686">COUNTIF(T85:T93,"&gt;=5")</f>
        <v>0</v>
      </c>
      <c r="U96" s="108">
        <f t="shared" si="686"/>
        <v>3</v>
      </c>
      <c r="V96" s="108">
        <f t="shared" si="686"/>
        <v>0</v>
      </c>
      <c r="W96" s="108">
        <f t="shared" si="686"/>
        <v>0</v>
      </c>
      <c r="X96" s="108">
        <f t="shared" ref="X96:AA96" si="687">COUNTIF(X85:X93,"&gt;=5")</f>
        <v>5</v>
      </c>
      <c r="Y96" s="108">
        <f t="shared" si="687"/>
        <v>0</v>
      </c>
      <c r="Z96" s="108">
        <f t="shared" si="687"/>
        <v>0</v>
      </c>
      <c r="AA96" s="108">
        <f t="shared" si="687"/>
        <v>0</v>
      </c>
      <c r="AB96" s="108">
        <f t="shared" ref="AB96:AE96" si="688">COUNTIF(AB85:AB93,"&gt;=5")</f>
        <v>5</v>
      </c>
      <c r="AC96" s="108">
        <f t="shared" si="688"/>
        <v>0</v>
      </c>
      <c r="AD96" s="108">
        <f t="shared" si="688"/>
        <v>0</v>
      </c>
      <c r="AE96" s="108">
        <f t="shared" si="688"/>
        <v>0</v>
      </c>
      <c r="AF96" s="107"/>
      <c r="AG96" s="107"/>
      <c r="AH96" s="196" t="s">
        <v>325</v>
      </c>
      <c r="AI96" s="192"/>
      <c r="AJ96" s="108">
        <f>COUNTIF(AJ85:AJ93,"6-8.5")</f>
        <v>0</v>
      </c>
      <c r="AK96" s="108">
        <f t="shared" ref="AK96:AY96" si="689">COUNTIF(AK85:AK93,"6-8.5")</f>
        <v>0</v>
      </c>
      <c r="AL96" s="108">
        <f t="shared" si="689"/>
        <v>0</v>
      </c>
      <c r="AM96" s="108">
        <f t="shared" si="689"/>
        <v>0</v>
      </c>
      <c r="AN96" s="108">
        <f t="shared" si="689"/>
        <v>0</v>
      </c>
      <c r="AO96" s="108">
        <f t="shared" si="689"/>
        <v>0</v>
      </c>
      <c r="AP96" s="108">
        <f t="shared" si="689"/>
        <v>0</v>
      </c>
      <c r="AQ96" s="108">
        <f t="shared" si="689"/>
        <v>0</v>
      </c>
      <c r="AR96" s="108">
        <f t="shared" si="689"/>
        <v>0</v>
      </c>
      <c r="AS96" s="108">
        <f t="shared" si="689"/>
        <v>0</v>
      </c>
      <c r="AT96" s="108">
        <f t="shared" si="689"/>
        <v>0</v>
      </c>
      <c r="AU96" s="108">
        <f t="shared" si="689"/>
        <v>0</v>
      </c>
      <c r="AV96" s="108">
        <f t="shared" si="689"/>
        <v>0</v>
      </c>
      <c r="AW96" s="108">
        <f t="shared" si="689"/>
        <v>0</v>
      </c>
      <c r="AX96" s="108">
        <f t="shared" si="689"/>
        <v>0</v>
      </c>
      <c r="AY96" s="108">
        <f t="shared" si="689"/>
        <v>0</v>
      </c>
      <c r="AZ96" s="108">
        <f t="shared" ref="AZ96:BC96" si="690">COUNTIF(AZ85:AZ93,"6-8.5")</f>
        <v>0</v>
      </c>
      <c r="BA96" s="108">
        <f t="shared" si="690"/>
        <v>0</v>
      </c>
      <c r="BB96" s="108">
        <f t="shared" si="690"/>
        <v>0</v>
      </c>
      <c r="BC96" s="108">
        <f t="shared" si="690"/>
        <v>0</v>
      </c>
      <c r="BD96" s="108">
        <f t="shared" ref="BD96:BG96" si="691">COUNTIF(BD85:BD93,"6-8.5")</f>
        <v>0</v>
      </c>
      <c r="BE96" s="108">
        <f t="shared" si="691"/>
        <v>0</v>
      </c>
      <c r="BF96" s="108">
        <f t="shared" si="691"/>
        <v>0</v>
      </c>
      <c r="BG96" s="108">
        <f t="shared" si="691"/>
        <v>0</v>
      </c>
      <c r="BH96" s="108">
        <f t="shared" ref="BH96:BK96" si="692">COUNTIF(BH85:BH93,"6-8.5")</f>
        <v>0</v>
      </c>
      <c r="BI96" s="108">
        <f t="shared" si="692"/>
        <v>0</v>
      </c>
      <c r="BJ96" s="108">
        <f t="shared" si="692"/>
        <v>0</v>
      </c>
      <c r="BK96" s="108">
        <f t="shared" si="692"/>
        <v>0</v>
      </c>
      <c r="BL96" s="107"/>
      <c r="BM96" s="107"/>
      <c r="BN96" s="196" t="s">
        <v>325</v>
      </c>
      <c r="BO96" s="192"/>
      <c r="BP96" s="108">
        <f>COUNTIF(BP85:BP93,"&gt;=0.4")</f>
        <v>0</v>
      </c>
      <c r="BQ96" s="108">
        <f>COUNTIF(BQ85:BQ93,"&gt;=0.4")</f>
        <v>0</v>
      </c>
      <c r="BR96" s="108">
        <f t="shared" ref="BR96:CE96" si="693">COUNTIF(BR85:BR93,"&gt;=0.4")</f>
        <v>0</v>
      </c>
      <c r="BS96" s="108">
        <f t="shared" si="693"/>
        <v>0</v>
      </c>
      <c r="BT96" s="108">
        <f t="shared" si="693"/>
        <v>5</v>
      </c>
      <c r="BU96" s="108">
        <f t="shared" si="693"/>
        <v>9</v>
      </c>
      <c r="BV96" s="108">
        <f t="shared" si="693"/>
        <v>7</v>
      </c>
      <c r="BW96" s="108">
        <f t="shared" si="693"/>
        <v>0</v>
      </c>
      <c r="BX96" s="108">
        <f t="shared" si="693"/>
        <v>0</v>
      </c>
      <c r="BY96" s="108">
        <f t="shared" si="693"/>
        <v>9</v>
      </c>
      <c r="BZ96" s="108">
        <f t="shared" si="693"/>
        <v>0</v>
      </c>
      <c r="CA96" s="108">
        <f t="shared" si="693"/>
        <v>0</v>
      </c>
      <c r="CB96" s="108">
        <f t="shared" si="693"/>
        <v>4</v>
      </c>
      <c r="CC96" s="108">
        <f t="shared" si="693"/>
        <v>0</v>
      </c>
      <c r="CD96" s="108">
        <f t="shared" si="693"/>
        <v>0</v>
      </c>
      <c r="CE96" s="108">
        <f t="shared" si="693"/>
        <v>0</v>
      </c>
      <c r="CF96" s="108">
        <f t="shared" ref="CF96:CI96" si="694">COUNTIF(CF85:CF93,"&gt;=0.4")</f>
        <v>0</v>
      </c>
      <c r="CG96" s="108">
        <f t="shared" si="694"/>
        <v>1</v>
      </c>
      <c r="CH96" s="108">
        <f t="shared" si="694"/>
        <v>0</v>
      </c>
      <c r="CI96" s="108">
        <f t="shared" si="694"/>
        <v>0</v>
      </c>
      <c r="CJ96" s="108">
        <f t="shared" ref="CJ96:CM96" si="695">COUNTIF(CJ85:CJ93,"&gt;=0.4")</f>
        <v>0</v>
      </c>
      <c r="CK96" s="108">
        <f t="shared" si="695"/>
        <v>0</v>
      </c>
      <c r="CL96" s="108">
        <f t="shared" si="695"/>
        <v>0</v>
      </c>
      <c r="CM96" s="108">
        <f t="shared" si="695"/>
        <v>0</v>
      </c>
      <c r="CN96" s="108">
        <f t="shared" ref="CN96:CQ96" si="696">COUNTIF(CN85:CN93,"&gt;=0.4")</f>
        <v>0</v>
      </c>
      <c r="CO96" s="108">
        <f t="shared" si="696"/>
        <v>0</v>
      </c>
      <c r="CP96" s="108">
        <f t="shared" si="696"/>
        <v>0</v>
      </c>
      <c r="CQ96" s="108">
        <f t="shared" si="696"/>
        <v>0</v>
      </c>
      <c r="CR96" s="107"/>
      <c r="CS96" s="107"/>
      <c r="CT96" s="107"/>
      <c r="CU96" s="107"/>
      <c r="CV96" s="107"/>
      <c r="CW96" s="107"/>
      <c r="CX96" s="107"/>
      <c r="CY96" s="107"/>
      <c r="CZ96" s="107"/>
      <c r="DA96" s="107"/>
      <c r="DB96" s="107"/>
      <c r="DC96" s="107"/>
      <c r="DD96" s="107"/>
      <c r="DE96" s="107"/>
      <c r="DF96" s="107"/>
      <c r="DG96" s="107"/>
      <c r="DH96" s="107"/>
      <c r="DI96" s="107"/>
      <c r="DJ96" s="107"/>
      <c r="DK96" s="107"/>
      <c r="DL96" s="107"/>
      <c r="DM96" s="107"/>
      <c r="DN96" s="107"/>
      <c r="DO96" s="107"/>
      <c r="DP96" s="107"/>
      <c r="DQ96" s="107"/>
      <c r="DR96" s="107"/>
      <c r="DS96" s="107"/>
      <c r="DT96" s="107"/>
      <c r="DU96" s="107"/>
      <c r="DV96" s="107"/>
      <c r="DW96" s="107"/>
      <c r="DX96" s="107"/>
      <c r="DY96" s="107"/>
      <c r="DZ96" s="107"/>
      <c r="EA96" s="107"/>
      <c r="EB96" s="107"/>
      <c r="EC96" s="107"/>
      <c r="ED96" s="107"/>
      <c r="EE96" s="107"/>
      <c r="EF96" s="107"/>
      <c r="EG96" s="107"/>
      <c r="EH96" s="107"/>
      <c r="EI96" s="107"/>
      <c r="EJ96" s="107"/>
      <c r="EK96" s="107"/>
      <c r="EL96" s="107"/>
      <c r="EM96" s="107"/>
      <c r="EN96" s="107"/>
      <c r="EO96" s="107"/>
      <c r="EP96" s="107"/>
      <c r="EQ96" s="107"/>
      <c r="ER96" s="107"/>
      <c r="ES96" s="107"/>
      <c r="ET96" s="107"/>
      <c r="EU96" s="107"/>
      <c r="EV96" s="107"/>
      <c r="EW96" s="107"/>
      <c r="EX96" s="767"/>
    </row>
    <row r="97" spans="1:154" s="4" customFormat="1">
      <c r="A97" s="776"/>
      <c r="B97" s="196" t="s">
        <v>327</v>
      </c>
      <c r="C97" s="192">
        <f>COUNTA(C85:C93)</f>
        <v>9</v>
      </c>
      <c r="D97" s="776"/>
      <c r="E97" s="776"/>
      <c r="F97" s="776"/>
      <c r="G97" s="776"/>
      <c r="H97" s="776"/>
      <c r="I97" s="776"/>
      <c r="J97" s="776"/>
      <c r="K97" s="776"/>
      <c r="L97" s="776"/>
      <c r="M97" s="776"/>
      <c r="N97" s="776"/>
      <c r="O97" s="776"/>
      <c r="P97" s="776"/>
      <c r="Q97" s="776"/>
      <c r="R97" s="776"/>
      <c r="S97" s="776"/>
      <c r="T97" s="776"/>
      <c r="U97" s="776"/>
      <c r="V97" s="776"/>
      <c r="W97" s="776"/>
      <c r="X97" s="776"/>
      <c r="Y97" s="776"/>
      <c r="Z97" s="776"/>
      <c r="AA97" s="776"/>
      <c r="AB97" s="776"/>
      <c r="AC97" s="776"/>
      <c r="AD97" s="776"/>
      <c r="AE97" s="776"/>
      <c r="AF97" s="776"/>
      <c r="AG97" s="776"/>
      <c r="AH97" s="776"/>
      <c r="AI97" s="776"/>
      <c r="AJ97" s="776"/>
      <c r="AK97" s="776"/>
      <c r="AL97" s="776"/>
      <c r="AM97" s="776"/>
      <c r="AN97" s="776"/>
      <c r="AO97" s="776"/>
      <c r="AP97" s="776"/>
      <c r="AQ97" s="776"/>
      <c r="AR97" s="776"/>
      <c r="AS97" s="776"/>
      <c r="AT97" s="776"/>
      <c r="AU97" s="776"/>
      <c r="AV97" s="776"/>
      <c r="AW97" s="776"/>
      <c r="AX97" s="776"/>
      <c r="AY97" s="776"/>
      <c r="AZ97" s="776"/>
      <c r="BA97" s="776"/>
      <c r="BB97" s="776"/>
      <c r="BC97" s="776"/>
      <c r="BD97" s="776"/>
      <c r="BE97" s="776"/>
      <c r="BF97" s="776"/>
      <c r="BG97" s="776"/>
      <c r="BH97" s="776"/>
      <c r="BI97" s="776"/>
      <c r="BJ97" s="776"/>
      <c r="BK97" s="776"/>
      <c r="BL97" s="776"/>
      <c r="BM97" s="776"/>
      <c r="BN97" s="776"/>
      <c r="BO97" s="776"/>
      <c r="BP97" s="776"/>
      <c r="BQ97" s="776"/>
      <c r="BR97" s="776"/>
      <c r="BS97" s="776"/>
      <c r="BT97" s="776"/>
      <c r="BU97" s="776"/>
      <c r="BV97" s="776"/>
      <c r="BW97" s="776"/>
      <c r="BX97" s="776"/>
      <c r="BY97" s="776"/>
      <c r="BZ97" s="776"/>
      <c r="CA97" s="776"/>
      <c r="CB97" s="776"/>
      <c r="CC97" s="776"/>
      <c r="CD97" s="776"/>
      <c r="CE97" s="776"/>
      <c r="CF97" s="776"/>
      <c r="CG97" s="776"/>
      <c r="CH97" s="776"/>
      <c r="CI97" s="776"/>
      <c r="CJ97" s="776"/>
      <c r="CK97" s="776"/>
      <c r="CL97" s="776"/>
      <c r="CM97" s="776"/>
      <c r="CN97" s="776"/>
      <c r="CO97" s="776"/>
      <c r="CP97" s="776"/>
      <c r="CQ97" s="776"/>
      <c r="CR97" s="776"/>
      <c r="CS97" s="776"/>
      <c r="CT97" s="776"/>
      <c r="CU97" s="776"/>
      <c r="CV97" s="776"/>
      <c r="CW97" s="776"/>
      <c r="CX97" s="776"/>
      <c r="CY97" s="776"/>
      <c r="CZ97" s="776"/>
      <c r="DA97" s="776"/>
      <c r="DB97" s="776"/>
      <c r="DC97" s="776"/>
      <c r="DD97" s="776"/>
      <c r="DE97" s="776"/>
      <c r="DF97" s="776"/>
      <c r="DG97" s="776"/>
      <c r="DH97" s="776"/>
      <c r="DI97" s="776"/>
      <c r="DJ97" s="776"/>
      <c r="DK97" s="776"/>
      <c r="DL97" s="776"/>
      <c r="DM97" s="776"/>
      <c r="DN97" s="776"/>
      <c r="DO97" s="776"/>
      <c r="DP97" s="776"/>
      <c r="DQ97" s="776"/>
      <c r="DR97" s="776"/>
      <c r="DS97" s="776"/>
      <c r="DT97" s="776"/>
      <c r="DU97" s="776"/>
      <c r="DV97" s="776"/>
      <c r="DW97" s="776"/>
      <c r="DX97" s="776"/>
      <c r="DY97" s="776"/>
      <c r="DZ97" s="776"/>
      <c r="EA97" s="776"/>
      <c r="EB97" s="776"/>
      <c r="EC97" s="776"/>
      <c r="ED97" s="776"/>
      <c r="EE97" s="776"/>
      <c r="EF97" s="776"/>
      <c r="EG97" s="776"/>
      <c r="EH97" s="776"/>
      <c r="EI97" s="776"/>
      <c r="EJ97" s="776"/>
      <c r="EK97" s="776"/>
      <c r="EL97" s="776"/>
      <c r="EM97" s="776"/>
      <c r="EN97" s="776"/>
      <c r="EO97" s="776"/>
      <c r="EP97" s="776"/>
      <c r="EQ97" s="776"/>
      <c r="ER97" s="776"/>
      <c r="ES97" s="776"/>
      <c r="ET97" s="776"/>
      <c r="EU97" s="776"/>
      <c r="EV97" s="776"/>
      <c r="EW97" s="776"/>
      <c r="EX97" s="770"/>
    </row>
    <row r="98" spans="1:154">
      <c r="A98" s="771"/>
      <c r="B98" s="1587"/>
      <c r="C98" s="771"/>
      <c r="D98" s="771"/>
      <c r="E98" s="771"/>
      <c r="F98" s="771"/>
      <c r="G98" s="771"/>
      <c r="H98" s="771"/>
      <c r="I98" s="771"/>
      <c r="J98" s="771"/>
      <c r="K98" s="771"/>
      <c r="L98" s="771"/>
      <c r="M98" s="771"/>
      <c r="N98" s="771"/>
      <c r="O98" s="771"/>
      <c r="P98" s="771"/>
      <c r="Q98" s="771"/>
      <c r="R98" s="771"/>
      <c r="S98" s="771"/>
      <c r="T98" s="771"/>
      <c r="U98" s="771"/>
      <c r="V98" s="771"/>
      <c r="W98" s="771"/>
      <c r="X98" s="771"/>
      <c r="Y98" s="771"/>
      <c r="Z98" s="771"/>
      <c r="AA98" s="771"/>
      <c r="AB98" s="771"/>
      <c r="AC98" s="771"/>
      <c r="AD98" s="771"/>
      <c r="AE98" s="771"/>
      <c r="AF98" s="771"/>
      <c r="AG98" s="771"/>
      <c r="AH98" s="1587"/>
      <c r="AI98" s="771"/>
      <c r="AJ98" s="771"/>
      <c r="AK98" s="771"/>
      <c r="AL98" s="771"/>
      <c r="AM98" s="771"/>
      <c r="AN98" s="771"/>
      <c r="AO98" s="771"/>
      <c r="AP98" s="771"/>
      <c r="AQ98" s="771"/>
      <c r="AR98" s="771"/>
      <c r="AS98" s="771"/>
      <c r="AT98" s="771"/>
      <c r="AU98" s="771"/>
      <c r="AV98" s="771"/>
      <c r="AW98" s="771"/>
      <c r="AX98" s="771"/>
      <c r="AY98" s="771"/>
      <c r="AZ98" s="771"/>
      <c r="BA98" s="771"/>
      <c r="BB98" s="771"/>
      <c r="BC98" s="771"/>
      <c r="BD98" s="771"/>
      <c r="BE98" s="771"/>
      <c r="BF98" s="771"/>
      <c r="BG98" s="771"/>
      <c r="BH98" s="771"/>
      <c r="BI98" s="771"/>
      <c r="BJ98" s="771"/>
      <c r="BK98" s="771"/>
      <c r="BL98" s="771"/>
      <c r="BM98" s="771"/>
      <c r="BN98" s="1587"/>
      <c r="BO98" s="771"/>
      <c r="BP98" s="771"/>
      <c r="BQ98" s="771"/>
      <c r="BR98" s="771"/>
      <c r="BS98" s="771"/>
      <c r="BT98" s="771"/>
      <c r="BU98" s="771"/>
      <c r="BV98" s="771"/>
      <c r="BW98" s="771"/>
      <c r="BX98" s="771"/>
      <c r="BY98" s="771"/>
      <c r="BZ98" s="771"/>
      <c r="CA98" s="771"/>
      <c r="CB98" s="771"/>
      <c r="CC98" s="771"/>
      <c r="CD98" s="771"/>
      <c r="CE98" s="771"/>
      <c r="CF98" s="771"/>
      <c r="CG98" s="771"/>
      <c r="CH98" s="771"/>
      <c r="CI98" s="771"/>
      <c r="CJ98" s="771"/>
      <c r="CK98" s="771"/>
      <c r="CL98" s="771"/>
      <c r="CM98" s="771"/>
      <c r="CN98" s="771"/>
      <c r="CO98" s="771"/>
      <c r="CP98" s="771"/>
      <c r="CQ98" s="771"/>
      <c r="CR98" s="771"/>
      <c r="CS98" s="771"/>
      <c r="CT98" s="771"/>
      <c r="CU98" s="771"/>
      <c r="CV98" s="771"/>
      <c r="CW98" s="771"/>
      <c r="CX98" s="771"/>
      <c r="CY98" s="771"/>
      <c r="CZ98" s="771"/>
      <c r="DA98" s="771"/>
      <c r="DB98" s="771"/>
      <c r="DC98" s="771"/>
      <c r="DD98" s="771"/>
      <c r="DE98" s="771"/>
      <c r="DF98" s="771"/>
      <c r="DG98" s="771"/>
      <c r="DH98" s="771"/>
      <c r="DI98" s="771"/>
      <c r="DJ98" s="771"/>
      <c r="DK98" s="771"/>
      <c r="DL98" s="771"/>
      <c r="DM98" s="771"/>
      <c r="DN98" s="771"/>
      <c r="DO98" s="771"/>
      <c r="DP98" s="771"/>
      <c r="DQ98" s="771"/>
      <c r="DR98" s="771"/>
      <c r="DS98" s="771"/>
      <c r="DT98" s="771"/>
      <c r="DU98" s="771"/>
      <c r="DV98" s="771"/>
      <c r="DW98" s="771"/>
      <c r="DX98" s="771"/>
      <c r="DY98" s="771"/>
      <c r="DZ98" s="771"/>
      <c r="EA98" s="771"/>
      <c r="EB98" s="771"/>
      <c r="EC98" s="771"/>
      <c r="ED98" s="771"/>
      <c r="EE98" s="771"/>
      <c r="EF98" s="771"/>
      <c r="EG98" s="771"/>
      <c r="EH98" s="771"/>
      <c r="EI98" s="771"/>
      <c r="EJ98" s="771"/>
      <c r="EK98" s="771"/>
      <c r="EL98" s="771"/>
      <c r="EM98" s="771"/>
      <c r="EN98" s="771"/>
      <c r="EO98" s="771"/>
      <c r="EP98" s="771"/>
      <c r="EQ98" s="771"/>
      <c r="ER98" s="771"/>
      <c r="ES98" s="771"/>
      <c r="ET98" s="771"/>
      <c r="EU98" s="771"/>
      <c r="EV98" s="771"/>
      <c r="EW98" s="771"/>
      <c r="EX98" s="334"/>
    </row>
    <row r="100" spans="1:154" s="4" customFormat="1">
      <c r="B100" s="4" t="s">
        <v>328</v>
      </c>
    </row>
  </sheetData>
  <mergeCells count="337">
    <mergeCell ref="AH50:AI50"/>
    <mergeCell ref="AH48:AI48"/>
    <mergeCell ref="BD45:BG45"/>
    <mergeCell ref="AH41:AI41"/>
    <mergeCell ref="BH58:BK58"/>
    <mergeCell ref="CN7:CQ7"/>
    <mergeCell ref="DU7:DX7"/>
    <mergeCell ref="DU10:DX10"/>
    <mergeCell ref="DU15:DX15"/>
    <mergeCell ref="DU20:DX20"/>
    <mergeCell ref="DU25:DX25"/>
    <mergeCell ref="DU30:DX30"/>
    <mergeCell ref="DU35:DX35"/>
    <mergeCell ref="DU40:DX40"/>
    <mergeCell ref="DU45:DX45"/>
    <mergeCell ref="DU50:DX50"/>
    <mergeCell ref="DU58:DX58"/>
    <mergeCell ref="CU53:CV53"/>
    <mergeCell ref="CU7:CV8"/>
    <mergeCell ref="CU20:CV20"/>
    <mergeCell ref="CU21:CV21"/>
    <mergeCell ref="CU25:CV25"/>
    <mergeCell ref="CU26:CV26"/>
    <mergeCell ref="CU27:CV27"/>
    <mergeCell ref="DM50:DP50"/>
    <mergeCell ref="DQ50:DT50"/>
    <mergeCell ref="CU42:CV42"/>
    <mergeCell ref="CU43:CV43"/>
    <mergeCell ref="CU38:CV38"/>
    <mergeCell ref="CU45:CV45"/>
    <mergeCell ref="AB50:AE50"/>
    <mergeCell ref="BH7:BK7"/>
    <mergeCell ref="BH10:BK10"/>
    <mergeCell ref="BH15:BK15"/>
    <mergeCell ref="BH20:BK20"/>
    <mergeCell ref="BH25:BK25"/>
    <mergeCell ref="BH30:BK30"/>
    <mergeCell ref="BH35:BK35"/>
    <mergeCell ref="BH40:BK40"/>
    <mergeCell ref="BH45:BK45"/>
    <mergeCell ref="BH50:BK50"/>
    <mergeCell ref="AB7:AE7"/>
    <mergeCell ref="AB10:AE10"/>
    <mergeCell ref="AB15:AE15"/>
    <mergeCell ref="AB20:AE20"/>
    <mergeCell ref="AB25:AE25"/>
    <mergeCell ref="AB30:AE30"/>
    <mergeCell ref="AB35:AE35"/>
    <mergeCell ref="EX7:FA7"/>
    <mergeCell ref="D2:M3"/>
    <mergeCell ref="AH85:AH93"/>
    <mergeCell ref="EB85:EB93"/>
    <mergeCell ref="BN85:BN93"/>
    <mergeCell ref="EB35:EC35"/>
    <mergeCell ref="EB36:EC36"/>
    <mergeCell ref="EB42:EC42"/>
    <mergeCell ref="EB43:EC43"/>
    <mergeCell ref="EB45:EC45"/>
    <mergeCell ref="EB46:EC46"/>
    <mergeCell ref="EB47:EC47"/>
    <mergeCell ref="EB59:EB67"/>
    <mergeCell ref="EB72:EB80"/>
    <mergeCell ref="CU47:CV47"/>
    <mergeCell ref="CU48:CV48"/>
    <mergeCell ref="CU50:CV50"/>
    <mergeCell ref="CU51:CV51"/>
    <mergeCell ref="CU52:CV52"/>
    <mergeCell ref="EL7:EO7"/>
    <mergeCell ref="EP7:ES7"/>
    <mergeCell ref="EB10:EC10"/>
    <mergeCell ref="EB11:EC11"/>
    <mergeCell ref="EB12:EC12"/>
    <mergeCell ref="B68:C68"/>
    <mergeCell ref="B81:C81"/>
    <mergeCell ref="B94:C94"/>
    <mergeCell ref="AH94:AI94"/>
    <mergeCell ref="AH81:AI81"/>
    <mergeCell ref="AH68:AI68"/>
    <mergeCell ref="BN94:BO94"/>
    <mergeCell ref="BN81:BO81"/>
    <mergeCell ref="BN68:BO68"/>
    <mergeCell ref="B72:B80"/>
    <mergeCell ref="B85:B93"/>
    <mergeCell ref="AH72:AH80"/>
    <mergeCell ref="BN72:BN80"/>
    <mergeCell ref="EB25:EC25"/>
    <mergeCell ref="CU94:CV94"/>
    <mergeCell ref="CU81:CV81"/>
    <mergeCell ref="CU68:CV68"/>
    <mergeCell ref="EB68:EC68"/>
    <mergeCell ref="EB81:EC81"/>
    <mergeCell ref="EB94:EC94"/>
    <mergeCell ref="CU59:CU67"/>
    <mergeCell ref="CU72:CU80"/>
    <mergeCell ref="CU85:CU93"/>
    <mergeCell ref="CU36:CV36"/>
    <mergeCell ref="EB48:EC48"/>
    <mergeCell ref="EB50:EC50"/>
    <mergeCell ref="EB51:EC51"/>
    <mergeCell ref="EB52:EC52"/>
    <mergeCell ref="EB53:EC53"/>
    <mergeCell ref="CU40:CV40"/>
    <mergeCell ref="CU41:CV41"/>
    <mergeCell ref="CU46:CV46"/>
    <mergeCell ref="CU37:CV37"/>
    <mergeCell ref="DI50:DL50"/>
    <mergeCell ref="DM58:DP58"/>
    <mergeCell ref="DQ58:DT58"/>
    <mergeCell ref="DM45:DP45"/>
    <mergeCell ref="A7:A8"/>
    <mergeCell ref="AG7:AG8"/>
    <mergeCell ref="EA7:EA8"/>
    <mergeCell ref="CT7:CT8"/>
    <mergeCell ref="BM7:BM8"/>
    <mergeCell ref="BP7:BS7"/>
    <mergeCell ref="B7:C8"/>
    <mergeCell ref="L7:O7"/>
    <mergeCell ref="P7:S7"/>
    <mergeCell ref="AR7:AU7"/>
    <mergeCell ref="AV7:AY7"/>
    <mergeCell ref="DI7:DL7"/>
    <mergeCell ref="H7:K7"/>
    <mergeCell ref="AN7:AQ7"/>
    <mergeCell ref="AH7:AI8"/>
    <mergeCell ref="T7:W7"/>
    <mergeCell ref="DQ7:DT7"/>
    <mergeCell ref="D7:G7"/>
    <mergeCell ref="EB32:EC32"/>
    <mergeCell ref="EB33:EC33"/>
    <mergeCell ref="DA7:DD7"/>
    <mergeCell ref="DE7:DH7"/>
    <mergeCell ref="AJ7:AM7"/>
    <mergeCell ref="CF7:CI7"/>
    <mergeCell ref="AZ7:BC7"/>
    <mergeCell ref="DM7:DP7"/>
    <mergeCell ref="X7:AA7"/>
    <mergeCell ref="BT7:BW7"/>
    <mergeCell ref="CW7:CZ7"/>
    <mergeCell ref="CU10:CV10"/>
    <mergeCell ref="CU11:CV11"/>
    <mergeCell ref="CU12:CV12"/>
    <mergeCell ref="CU13:CV13"/>
    <mergeCell ref="CU15:CV15"/>
    <mergeCell ref="CU16:CV16"/>
    <mergeCell ref="CU17:CV17"/>
    <mergeCell ref="EB17:EC17"/>
    <mergeCell ref="EB18:EC18"/>
    <mergeCell ref="EB20:EC20"/>
    <mergeCell ref="EB21:EC21"/>
    <mergeCell ref="EB22:EC22"/>
    <mergeCell ref="EB23:EC23"/>
    <mergeCell ref="B22:C22"/>
    <mergeCell ref="B23:C23"/>
    <mergeCell ref="B16:C16"/>
    <mergeCell ref="B20:C20"/>
    <mergeCell ref="B25:C25"/>
    <mergeCell ref="AH10:AI10"/>
    <mergeCell ref="AH11:AI11"/>
    <mergeCell ref="B40:C40"/>
    <mergeCell ref="B11:C11"/>
    <mergeCell ref="B12:C12"/>
    <mergeCell ref="B13:C13"/>
    <mergeCell ref="AH40:AI40"/>
    <mergeCell ref="AH16:AI16"/>
    <mergeCell ref="B10:C10"/>
    <mergeCell ref="AH13:AI13"/>
    <mergeCell ref="B15:C15"/>
    <mergeCell ref="B17:C17"/>
    <mergeCell ref="B18:C18"/>
    <mergeCell ref="B21:C21"/>
    <mergeCell ref="AB40:AE40"/>
    <mergeCell ref="BN25:BO25"/>
    <mergeCell ref="CU18:CV18"/>
    <mergeCell ref="CU30:CV30"/>
    <mergeCell ref="CU31:CV31"/>
    <mergeCell ref="CU32:CV32"/>
    <mergeCell ref="CU33:CV33"/>
    <mergeCell ref="CU35:CV35"/>
    <mergeCell ref="AH18:AI18"/>
    <mergeCell ref="AH21:AI21"/>
    <mergeCell ref="AH22:AI22"/>
    <mergeCell ref="AH23:AI23"/>
    <mergeCell ref="BN35:BO35"/>
    <mergeCell ref="BN32:BO32"/>
    <mergeCell ref="BN33:BO33"/>
    <mergeCell ref="BN27:BO27"/>
    <mergeCell ref="BN28:BO28"/>
    <mergeCell ref="BN31:BO31"/>
    <mergeCell ref="BD35:BG35"/>
    <mergeCell ref="CU28:CV28"/>
    <mergeCell ref="BN18:BO18"/>
    <mergeCell ref="BN21:BO21"/>
    <mergeCell ref="BN20:BO20"/>
    <mergeCell ref="BD40:BG40"/>
    <mergeCell ref="X45:AA45"/>
    <mergeCell ref="AH20:AI20"/>
    <mergeCell ref="AH25:AI25"/>
    <mergeCell ref="AH30:AI30"/>
    <mergeCell ref="AH33:AI33"/>
    <mergeCell ref="AH37:AI37"/>
    <mergeCell ref="AH36:AI36"/>
    <mergeCell ref="AH35:AI35"/>
    <mergeCell ref="AH38:AI38"/>
    <mergeCell ref="AH26:AI26"/>
    <mergeCell ref="AH27:AI27"/>
    <mergeCell ref="AH45:AI45"/>
    <mergeCell ref="AB45:AE45"/>
    <mergeCell ref="B59:B67"/>
    <mergeCell ref="B37:C37"/>
    <mergeCell ref="B38:C38"/>
    <mergeCell ref="B41:C41"/>
    <mergeCell ref="B26:C26"/>
    <mergeCell ref="B27:C27"/>
    <mergeCell ref="B28:C28"/>
    <mergeCell ref="B31:C31"/>
    <mergeCell ref="B32:C32"/>
    <mergeCell ref="C58:D58"/>
    <mergeCell ref="B51:C51"/>
    <mergeCell ref="B52:C52"/>
    <mergeCell ref="B53:C53"/>
    <mergeCell ref="B45:C45"/>
    <mergeCell ref="B50:C50"/>
    <mergeCell ref="B42:C42"/>
    <mergeCell ref="B43:C43"/>
    <mergeCell ref="B46:C46"/>
    <mergeCell ref="B47:C47"/>
    <mergeCell ref="B48:C48"/>
    <mergeCell ref="B33:C33"/>
    <mergeCell ref="B36:C36"/>
    <mergeCell ref="B30:C30"/>
    <mergeCell ref="B35:C35"/>
    <mergeCell ref="BN41:BO41"/>
    <mergeCell ref="BN42:BO42"/>
    <mergeCell ref="BN43:BO43"/>
    <mergeCell ref="AH42:AI42"/>
    <mergeCell ref="AH43:AI43"/>
    <mergeCell ref="ET7:EW7"/>
    <mergeCell ref="AH59:AH67"/>
    <mergeCell ref="AH51:AI51"/>
    <mergeCell ref="AH52:AI52"/>
    <mergeCell ref="AH53:AI53"/>
    <mergeCell ref="BN59:BN67"/>
    <mergeCell ref="CU23:CV23"/>
    <mergeCell ref="BN26:BO26"/>
    <mergeCell ref="BN7:BO8"/>
    <mergeCell ref="BX7:CA7"/>
    <mergeCell ref="CB7:CE7"/>
    <mergeCell ref="BN51:BO51"/>
    <mergeCell ref="BN52:BO52"/>
    <mergeCell ref="BN53:BO53"/>
    <mergeCell ref="BN45:BO45"/>
    <mergeCell ref="BN46:BO46"/>
    <mergeCell ref="BN47:BO47"/>
    <mergeCell ref="BN48:BO48"/>
    <mergeCell ref="BN36:BO36"/>
    <mergeCell ref="BN50:BO50"/>
    <mergeCell ref="BN38:BO38"/>
    <mergeCell ref="BD50:BG50"/>
    <mergeCell ref="BD58:BG58"/>
    <mergeCell ref="BN10:BO10"/>
    <mergeCell ref="BN11:BO11"/>
    <mergeCell ref="CJ7:CM7"/>
    <mergeCell ref="BD7:BG7"/>
    <mergeCell ref="X50:AA50"/>
    <mergeCell ref="X10:AA10"/>
    <mergeCell ref="X20:AA20"/>
    <mergeCell ref="X25:AA25"/>
    <mergeCell ref="X30:AA30"/>
    <mergeCell ref="X35:AA35"/>
    <mergeCell ref="X40:AA40"/>
    <mergeCell ref="AH12:AI12"/>
    <mergeCell ref="X15:AA15"/>
    <mergeCell ref="AH15:AI15"/>
    <mergeCell ref="AH28:AI28"/>
    <mergeCell ref="AH31:AI31"/>
    <mergeCell ref="AH32:AI32"/>
    <mergeCell ref="AH17:AI17"/>
    <mergeCell ref="AH47:AI47"/>
    <mergeCell ref="AH46:AI46"/>
    <mergeCell ref="AZ58:BC58"/>
    <mergeCell ref="AZ10:BC10"/>
    <mergeCell ref="AZ15:BC15"/>
    <mergeCell ref="AZ20:BC20"/>
    <mergeCell ref="AZ25:BC25"/>
    <mergeCell ref="AZ30:BC30"/>
    <mergeCell ref="AZ35:BC35"/>
    <mergeCell ref="AZ40:BC40"/>
    <mergeCell ref="AZ45:BC45"/>
    <mergeCell ref="AZ50:BC50"/>
    <mergeCell ref="DM35:DP35"/>
    <mergeCell ref="DM40:DP40"/>
    <mergeCell ref="DM15:DP15"/>
    <mergeCell ref="DM10:DP10"/>
    <mergeCell ref="DI15:DL15"/>
    <mergeCell ref="DM20:DP20"/>
    <mergeCell ref="DM25:DP25"/>
    <mergeCell ref="DM30:DP30"/>
    <mergeCell ref="BD10:BG10"/>
    <mergeCell ref="BD15:BG15"/>
    <mergeCell ref="BD20:BG20"/>
    <mergeCell ref="BD25:BG25"/>
    <mergeCell ref="BD30:BG30"/>
    <mergeCell ref="BN30:BO30"/>
    <mergeCell ref="BN23:BO23"/>
    <mergeCell ref="CU22:CV22"/>
    <mergeCell ref="BN22:BO22"/>
    <mergeCell ref="BN12:BO12"/>
    <mergeCell ref="BN13:BO13"/>
    <mergeCell ref="BN15:BO15"/>
    <mergeCell ref="BN16:BO16"/>
    <mergeCell ref="BN17:BO17"/>
    <mergeCell ref="BN40:BO40"/>
    <mergeCell ref="BN37:BO37"/>
    <mergeCell ref="FB7:FE7"/>
    <mergeCell ref="DQ10:DT10"/>
    <mergeCell ref="DQ15:DT15"/>
    <mergeCell ref="DQ20:DT20"/>
    <mergeCell ref="DQ25:DT25"/>
    <mergeCell ref="DQ30:DT30"/>
    <mergeCell ref="DQ35:DT35"/>
    <mergeCell ref="DQ40:DT40"/>
    <mergeCell ref="DQ45:DT45"/>
    <mergeCell ref="EB13:EC13"/>
    <mergeCell ref="EB15:EC15"/>
    <mergeCell ref="EB30:EC30"/>
    <mergeCell ref="EB31:EC31"/>
    <mergeCell ref="EB26:EC26"/>
    <mergeCell ref="EB27:EC27"/>
    <mergeCell ref="ED7:EG7"/>
    <mergeCell ref="EH7:EK7"/>
    <mergeCell ref="EB37:EC37"/>
    <mergeCell ref="EB38:EC38"/>
    <mergeCell ref="EB40:EC40"/>
    <mergeCell ref="EB41:EC41"/>
    <mergeCell ref="EB28:EC28"/>
    <mergeCell ref="EB7:EC8"/>
    <mergeCell ref="EB16:EC16"/>
  </mergeCells>
  <conditionalFormatting sqref="D59:AE67 D72:AE80 D85:AE93">
    <cfRule type="cellIs" dxfId="5" priority="40" operator="greaterThanOrEqual">
      <formula>5</formula>
    </cfRule>
  </conditionalFormatting>
  <conditionalFormatting sqref="AJ72:AU80 AW72:AW80 AJ59:BK67 AY72:BK80 AJ85:BK93">
    <cfRule type="cellIs" dxfId="4" priority="38" operator="between">
      <formula>6</formula>
      <formula>8.5</formula>
    </cfRule>
  </conditionalFormatting>
  <conditionalFormatting sqref="AJ68:BK68 AJ81:BK81 AJ94:BK94 BP68:CQ68 BP81:CQ81 BP94:CQ94">
    <cfRule type="cellIs" dxfId="3" priority="37" operator="greaterThanOrEqual">
      <formula>5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53"/>
  <sheetViews>
    <sheetView topLeftCell="C1" zoomScale="80" zoomScaleNormal="80" workbookViewId="0">
      <pane ySplit="9" topLeftCell="A10" activePane="bottomLeft" state="frozen"/>
      <selection pane="bottomLeft" activeCell="U9" sqref="U9"/>
    </sheetView>
  </sheetViews>
  <sheetFormatPr defaultRowHeight="15"/>
  <cols>
    <col min="1" max="1" width="23" customWidth="1"/>
    <col min="2" max="2" width="40.85546875" customWidth="1"/>
  </cols>
  <sheetData>
    <row r="1" spans="1:19">
      <c r="A1" s="726"/>
      <c r="B1" s="726"/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64"/>
    </row>
    <row r="2" spans="1:19" ht="15" customHeight="1">
      <c r="A2" s="726"/>
      <c r="B2" s="726"/>
      <c r="C2" s="919"/>
      <c r="D2" s="3595" t="s">
        <v>264</v>
      </c>
      <c r="E2" s="3595"/>
      <c r="F2" s="3595"/>
      <c r="G2" s="3595"/>
      <c r="H2" s="3595"/>
      <c r="I2" s="3595"/>
      <c r="J2" s="3595"/>
      <c r="K2" s="3595"/>
      <c r="L2" s="3595"/>
      <c r="M2" s="3595"/>
      <c r="N2" s="919"/>
      <c r="O2" s="726"/>
      <c r="P2" s="726"/>
      <c r="Q2" s="726"/>
      <c r="R2" s="726"/>
      <c r="S2" s="764"/>
    </row>
    <row r="3" spans="1:19" ht="15" customHeight="1">
      <c r="A3" s="726"/>
      <c r="B3" s="726"/>
      <c r="C3" s="919"/>
      <c r="D3" s="3595"/>
      <c r="E3" s="3595"/>
      <c r="F3" s="3595"/>
      <c r="G3" s="3595"/>
      <c r="H3" s="3595"/>
      <c r="I3" s="3595"/>
      <c r="J3" s="3595"/>
      <c r="K3" s="3595"/>
      <c r="L3" s="3595"/>
      <c r="M3" s="3595"/>
      <c r="N3" s="919"/>
      <c r="O3" s="726"/>
      <c r="P3" s="726"/>
      <c r="Q3" s="726"/>
      <c r="R3" s="726"/>
      <c r="S3" s="764"/>
    </row>
    <row r="4" spans="1:19" ht="15.75" thickBot="1">
      <c r="A4" s="726"/>
      <c r="B4" s="726"/>
      <c r="C4" s="726"/>
      <c r="D4" s="726"/>
      <c r="E4" s="726"/>
      <c r="F4" s="726"/>
      <c r="G4" s="726"/>
      <c r="H4" s="726"/>
      <c r="I4" s="726"/>
      <c r="J4" s="726"/>
      <c r="K4" s="726"/>
      <c r="L4" s="726"/>
      <c r="M4" s="726"/>
      <c r="N4" s="726"/>
      <c r="O4" s="726"/>
      <c r="P4" s="726"/>
      <c r="Q4" s="726"/>
      <c r="R4" s="726"/>
      <c r="S4" s="764"/>
    </row>
    <row r="5" spans="1:19" ht="15.75" thickBot="1">
      <c r="A5" s="752"/>
      <c r="B5" s="752"/>
      <c r="C5" s="752"/>
      <c r="D5" s="726"/>
      <c r="E5" s="726"/>
      <c r="F5" s="3538" t="s">
        <v>237</v>
      </c>
      <c r="G5" s="3539"/>
      <c r="H5" s="3539"/>
      <c r="I5" s="3539"/>
      <c r="J5" s="3539"/>
      <c r="K5" s="3540"/>
      <c r="L5" s="726"/>
      <c r="M5" s="726"/>
      <c r="N5" s="726"/>
      <c r="O5" s="726"/>
      <c r="P5" s="726"/>
      <c r="Q5" s="726"/>
      <c r="R5" s="726"/>
      <c r="S5" s="764"/>
    </row>
    <row r="6" spans="1:19">
      <c r="A6" s="752"/>
      <c r="B6" s="752"/>
      <c r="C6" s="753"/>
      <c r="D6" s="751"/>
      <c r="E6" s="726"/>
      <c r="F6" s="726"/>
      <c r="G6" s="726"/>
      <c r="H6" s="726"/>
      <c r="I6" s="726"/>
      <c r="J6" s="726"/>
      <c r="K6" s="751"/>
      <c r="L6" s="754"/>
      <c r="M6" s="754"/>
      <c r="N6" s="754"/>
      <c r="O6" s="726"/>
      <c r="P6" s="726"/>
      <c r="Q6" s="726"/>
      <c r="R6" s="726"/>
      <c r="S6" s="764"/>
    </row>
    <row r="7" spans="1:19" ht="15.75" thickBot="1">
      <c r="A7" s="116"/>
      <c r="B7" s="116"/>
      <c r="C7" s="237"/>
      <c r="D7" s="237"/>
      <c r="E7" s="237"/>
      <c r="F7" s="237"/>
      <c r="G7" s="237"/>
      <c r="H7" s="193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767"/>
    </row>
    <row r="8" spans="1:19" ht="15.75" thickBot="1">
      <c r="A8" s="3519" t="s">
        <v>239</v>
      </c>
      <c r="B8" s="3521" t="s">
        <v>1</v>
      </c>
      <c r="C8" s="3550">
        <v>2011</v>
      </c>
      <c r="D8" s="3551"/>
      <c r="E8" s="3551"/>
      <c r="F8" s="3552"/>
      <c r="G8" s="3547">
        <v>2012</v>
      </c>
      <c r="H8" s="3548"/>
      <c r="I8" s="3548"/>
      <c r="J8" s="3549"/>
      <c r="K8" s="3752">
        <v>2013</v>
      </c>
      <c r="L8" s="3517"/>
      <c r="M8" s="3517"/>
      <c r="N8" s="3518"/>
      <c r="O8" s="3516">
        <v>2014</v>
      </c>
      <c r="P8" s="3517"/>
      <c r="Q8" s="3517"/>
      <c r="R8" s="3518"/>
      <c r="S8" s="768"/>
    </row>
    <row r="9" spans="1:19" ht="15.75" thickBot="1">
      <c r="A9" s="3520"/>
      <c r="B9" s="3522"/>
      <c r="C9" s="720" t="s">
        <v>2</v>
      </c>
      <c r="D9" s="721" t="s">
        <v>3</v>
      </c>
      <c r="E9" s="725" t="s">
        <v>4</v>
      </c>
      <c r="F9" s="722" t="s">
        <v>5</v>
      </c>
      <c r="G9" s="723" t="s">
        <v>2</v>
      </c>
      <c r="H9" s="721" t="s">
        <v>3</v>
      </c>
      <c r="I9" s="725" t="s">
        <v>4</v>
      </c>
      <c r="J9" s="724" t="s">
        <v>5</v>
      </c>
      <c r="K9" s="723" t="s">
        <v>2</v>
      </c>
      <c r="L9" s="721" t="s">
        <v>3</v>
      </c>
      <c r="M9" s="725" t="s">
        <v>4</v>
      </c>
      <c r="N9" s="724" t="s">
        <v>5</v>
      </c>
      <c r="O9" s="723" t="s">
        <v>2</v>
      </c>
      <c r="P9" s="721" t="s">
        <v>3</v>
      </c>
      <c r="Q9" s="725" t="s">
        <v>4</v>
      </c>
      <c r="R9" s="724" t="s">
        <v>5</v>
      </c>
      <c r="S9" s="769"/>
    </row>
    <row r="10" spans="1:19">
      <c r="A10" s="113"/>
      <c r="B10" s="114"/>
      <c r="C10" s="115"/>
      <c r="D10" s="115"/>
      <c r="E10" s="115"/>
      <c r="F10" s="115"/>
      <c r="G10" s="115"/>
      <c r="H10" s="115"/>
      <c r="I10" s="115"/>
      <c r="J10" s="114"/>
      <c r="K10" s="107"/>
      <c r="L10" s="107"/>
      <c r="M10" s="107"/>
      <c r="N10" s="107"/>
      <c r="O10" s="107"/>
      <c r="P10" s="107"/>
      <c r="Q10" s="107"/>
      <c r="R10" s="107"/>
      <c r="S10" s="767"/>
    </row>
    <row r="11" spans="1:19" ht="16.5" thickBot="1">
      <c r="A11" s="113"/>
      <c r="B11" s="114"/>
      <c r="C11" s="115"/>
      <c r="D11" s="115"/>
      <c r="E11" s="116"/>
      <c r="F11" s="329"/>
      <c r="G11" s="329"/>
      <c r="H11" s="329"/>
      <c r="I11" s="329"/>
      <c r="J11" s="329"/>
      <c r="K11" s="107"/>
      <c r="L11" s="107"/>
      <c r="M11" s="107"/>
      <c r="N11" s="107"/>
      <c r="O11" s="107"/>
      <c r="P11" s="107"/>
      <c r="Q11" s="107"/>
      <c r="R11" s="107"/>
      <c r="S11" s="767"/>
    </row>
    <row r="12" spans="1:19" ht="15.75" thickBot="1">
      <c r="A12" s="328"/>
      <c r="B12" s="116"/>
      <c r="C12" s="116"/>
      <c r="D12" s="116"/>
      <c r="E12" s="107"/>
      <c r="F12" s="3589" t="s">
        <v>242</v>
      </c>
      <c r="G12" s="3590"/>
      <c r="H12" s="3590"/>
      <c r="I12" s="3590"/>
      <c r="J12" s="3590"/>
      <c r="K12" s="3591"/>
      <c r="L12" s="107"/>
      <c r="M12" s="107"/>
      <c r="N12" s="107"/>
      <c r="O12" s="107"/>
      <c r="P12" s="107"/>
      <c r="Q12" s="107"/>
      <c r="R12" s="107"/>
      <c r="S12" s="767"/>
    </row>
    <row r="13" spans="1:19" ht="15.75" thickBot="1">
      <c r="A13" s="328"/>
      <c r="B13" s="266" t="s">
        <v>168</v>
      </c>
      <c r="C13" s="268">
        <v>0.05</v>
      </c>
      <c r="D13" s="268">
        <v>0.05</v>
      </c>
      <c r="E13" s="268">
        <v>0.05</v>
      </c>
      <c r="F13" s="345">
        <v>0.05</v>
      </c>
      <c r="G13" s="346">
        <v>0.05</v>
      </c>
      <c r="H13" s="268">
        <v>0.05</v>
      </c>
      <c r="I13" s="268">
        <v>0.05</v>
      </c>
      <c r="J13" s="274">
        <v>0.05</v>
      </c>
      <c r="K13" s="346">
        <v>0.05</v>
      </c>
      <c r="L13" s="268">
        <v>0.05</v>
      </c>
      <c r="M13" s="268">
        <v>0.05</v>
      </c>
      <c r="N13" s="274">
        <v>0.05</v>
      </c>
      <c r="O13" s="346">
        <v>0.05</v>
      </c>
      <c r="P13" s="268">
        <v>0.05</v>
      </c>
      <c r="Q13" s="268">
        <v>0.05</v>
      </c>
      <c r="R13" s="274">
        <v>0.05</v>
      </c>
      <c r="S13" s="767"/>
    </row>
    <row r="14" spans="1:19" ht="15" customHeight="1">
      <c r="A14" s="3770" t="s">
        <v>238</v>
      </c>
      <c r="B14" s="253">
        <v>1</v>
      </c>
      <c r="C14" s="407"/>
      <c r="D14" s="407"/>
      <c r="E14" s="407"/>
      <c r="F14" s="429"/>
      <c r="G14" s="306">
        <v>0.05</v>
      </c>
      <c r="H14" s="406">
        <v>2.0019999999999998</v>
      </c>
      <c r="I14" s="408">
        <v>2.0019999999999998</v>
      </c>
      <c r="J14" s="432" t="s">
        <v>82</v>
      </c>
      <c r="K14" s="409"/>
      <c r="L14" s="952">
        <v>15.99</v>
      </c>
      <c r="M14" s="410"/>
      <c r="N14" s="411"/>
      <c r="O14" s="318"/>
      <c r="P14" s="304"/>
      <c r="Q14" s="304" t="s">
        <v>423</v>
      </c>
      <c r="R14" s="319"/>
      <c r="S14" s="767"/>
    </row>
    <row r="15" spans="1:19" ht="15" customHeight="1">
      <c r="A15" s="3771"/>
      <c r="B15" s="252">
        <v>2</v>
      </c>
      <c r="C15" s="412"/>
      <c r="D15" s="412"/>
      <c r="E15" s="412"/>
      <c r="F15" s="430"/>
      <c r="G15" s="306">
        <v>0.05</v>
      </c>
      <c r="H15" s="405">
        <v>3.2989999999999999</v>
      </c>
      <c r="I15" s="413">
        <v>3.2989999999999999</v>
      </c>
      <c r="J15" s="432" t="s">
        <v>82</v>
      </c>
      <c r="K15" s="409"/>
      <c r="L15" s="952">
        <v>13.92</v>
      </c>
      <c r="M15" s="410"/>
      <c r="N15" s="411"/>
      <c r="O15" s="318"/>
      <c r="P15" s="304"/>
      <c r="Q15" s="304" t="s">
        <v>423</v>
      </c>
      <c r="R15" s="319"/>
      <c r="S15" s="767"/>
    </row>
    <row r="16" spans="1:19" ht="15" customHeight="1">
      <c r="A16" s="3771"/>
      <c r="B16" s="252">
        <v>3</v>
      </c>
      <c r="C16" s="412"/>
      <c r="D16" s="412"/>
      <c r="E16" s="412"/>
      <c r="F16" s="430"/>
      <c r="G16" s="306">
        <v>0.05</v>
      </c>
      <c r="H16" s="6">
        <v>0.05</v>
      </c>
      <c r="I16" s="7">
        <v>0.05</v>
      </c>
      <c r="J16" s="432" t="s">
        <v>82</v>
      </c>
      <c r="K16" s="409"/>
      <c r="L16" s="952">
        <v>16.04</v>
      </c>
      <c r="M16" s="410"/>
      <c r="N16" s="411"/>
      <c r="O16" s="318"/>
      <c r="P16" s="304"/>
      <c r="Q16" s="304" t="s">
        <v>423</v>
      </c>
      <c r="R16" s="319"/>
      <c r="S16" s="767"/>
    </row>
    <row r="17" spans="1:19" ht="15" customHeight="1">
      <c r="A17" s="3772"/>
      <c r="B17" s="256">
        <v>4</v>
      </c>
      <c r="C17" s="414"/>
      <c r="D17" s="414"/>
      <c r="E17" s="414"/>
      <c r="F17" s="431"/>
      <c r="G17" s="306">
        <v>0.05</v>
      </c>
      <c r="H17" s="46">
        <v>0.05</v>
      </c>
      <c r="I17" s="47">
        <v>0.05</v>
      </c>
      <c r="J17" s="432" t="s">
        <v>82</v>
      </c>
      <c r="K17" s="417"/>
      <c r="L17" s="960">
        <v>15.56</v>
      </c>
      <c r="M17" s="418"/>
      <c r="N17" s="419"/>
      <c r="O17" s="318"/>
      <c r="P17" s="304"/>
      <c r="Q17" s="304" t="s">
        <v>423</v>
      </c>
      <c r="R17" s="319"/>
      <c r="S17" s="767"/>
    </row>
    <row r="18" spans="1:19" ht="15" customHeight="1">
      <c r="A18" s="3772"/>
      <c r="B18" s="256">
        <v>5</v>
      </c>
      <c r="C18" s="414"/>
      <c r="D18" s="414"/>
      <c r="E18" s="414"/>
      <c r="F18" s="431"/>
      <c r="G18" s="306">
        <v>0.05</v>
      </c>
      <c r="H18" s="415">
        <v>2.2770000000000001</v>
      </c>
      <c r="I18" s="416">
        <v>2.2770000000000001</v>
      </c>
      <c r="J18" s="432" t="s">
        <v>82</v>
      </c>
      <c r="K18" s="417"/>
      <c r="L18" s="960">
        <v>17.760000000000002</v>
      </c>
      <c r="M18" s="418"/>
      <c r="N18" s="419"/>
      <c r="O18" s="318"/>
      <c r="P18" s="304"/>
      <c r="Q18" s="304" t="s">
        <v>423</v>
      </c>
      <c r="R18" s="319"/>
      <c r="S18" s="767"/>
    </row>
    <row r="19" spans="1:19" ht="15" customHeight="1">
      <c r="A19" s="3772"/>
      <c r="B19" s="256">
        <v>6</v>
      </c>
      <c r="C19" s="414"/>
      <c r="D19" s="414"/>
      <c r="E19" s="414"/>
      <c r="F19" s="431"/>
      <c r="G19" s="306">
        <v>0.05</v>
      </c>
      <c r="H19" s="415">
        <v>2.7719999999999998</v>
      </c>
      <c r="I19" s="416">
        <v>2.7719999999999998</v>
      </c>
      <c r="J19" s="432" t="s">
        <v>82</v>
      </c>
      <c r="K19" s="417"/>
      <c r="L19" s="960">
        <v>25.33</v>
      </c>
      <c r="M19" s="418"/>
      <c r="N19" s="419"/>
      <c r="O19" s="318"/>
      <c r="P19" s="304"/>
      <c r="Q19" s="304" t="s">
        <v>423</v>
      </c>
      <c r="R19" s="319"/>
      <c r="S19" s="767"/>
    </row>
    <row r="20" spans="1:19" ht="15" customHeight="1">
      <c r="A20" s="3772"/>
      <c r="B20" s="256">
        <v>7</v>
      </c>
      <c r="C20" s="414"/>
      <c r="D20" s="414"/>
      <c r="E20" s="414"/>
      <c r="F20" s="431"/>
      <c r="G20" s="306">
        <v>0.05</v>
      </c>
      <c r="H20" s="415"/>
      <c r="I20" s="416"/>
      <c r="J20" s="432" t="s">
        <v>82</v>
      </c>
      <c r="K20" s="417"/>
      <c r="L20" s="960">
        <v>2.12</v>
      </c>
      <c r="M20" s="418"/>
      <c r="N20" s="419"/>
      <c r="O20" s="318"/>
      <c r="P20" s="304"/>
      <c r="Q20" s="304" t="s">
        <v>423</v>
      </c>
      <c r="R20" s="319"/>
      <c r="S20" s="767"/>
    </row>
    <row r="21" spans="1:19" ht="15" customHeight="1">
      <c r="A21" s="3772"/>
      <c r="B21" s="256">
        <v>8</v>
      </c>
      <c r="C21" s="414"/>
      <c r="D21" s="414"/>
      <c r="E21" s="414"/>
      <c r="F21" s="431"/>
      <c r="G21" s="306">
        <v>0.05</v>
      </c>
      <c r="H21" s="415">
        <v>2.952</v>
      </c>
      <c r="I21" s="416">
        <v>2.952</v>
      </c>
      <c r="J21" s="432" t="s">
        <v>82</v>
      </c>
      <c r="K21" s="417"/>
      <c r="L21" s="960">
        <v>18.52</v>
      </c>
      <c r="M21" s="418"/>
      <c r="N21" s="419"/>
      <c r="O21" s="318"/>
      <c r="P21" s="304"/>
      <c r="Q21" s="304" t="s">
        <v>423</v>
      </c>
      <c r="R21" s="319"/>
      <c r="S21" s="767"/>
    </row>
    <row r="22" spans="1:19" ht="15" customHeight="1" thickBot="1">
      <c r="A22" s="3773"/>
      <c r="B22" s="256">
        <v>9</v>
      </c>
      <c r="C22" s="414"/>
      <c r="D22" s="414"/>
      <c r="E22" s="414"/>
      <c r="F22" s="431"/>
      <c r="G22" s="718">
        <v>0.05</v>
      </c>
      <c r="H22" s="415">
        <v>6.7190000000000003</v>
      </c>
      <c r="I22" s="416">
        <v>6.7190000000000003</v>
      </c>
      <c r="J22" s="719" t="s">
        <v>82</v>
      </c>
      <c r="K22" s="417"/>
      <c r="L22" s="960">
        <v>21.49</v>
      </c>
      <c r="M22" s="418"/>
      <c r="N22" s="419"/>
      <c r="O22" s="539"/>
      <c r="P22" s="540"/>
      <c r="Q22" s="304" t="s">
        <v>423</v>
      </c>
      <c r="R22" s="541"/>
      <c r="S22" s="767"/>
    </row>
    <row r="23" spans="1:19" ht="15" customHeight="1" thickBot="1">
      <c r="A23" s="108"/>
      <c r="B23" s="265" t="s">
        <v>200</v>
      </c>
      <c r="C23" s="275" t="e">
        <f>COUNTIF(C14:C22,"&lt;=0.05")/COUNT(C14:C22)</f>
        <v>#DIV/0!</v>
      </c>
      <c r="D23" s="275" t="e">
        <f t="shared" ref="D23:R23" si="0">COUNTIF(D14:D22,"&lt;=0.05")/COUNT(D14:D22)</f>
        <v>#DIV/0!</v>
      </c>
      <c r="E23" s="275" t="e">
        <f t="shared" si="0"/>
        <v>#DIV/0!</v>
      </c>
      <c r="F23" s="425" t="e">
        <f t="shared" si="0"/>
        <v>#DIV/0!</v>
      </c>
      <c r="G23" s="426">
        <f t="shared" si="0"/>
        <v>1</v>
      </c>
      <c r="H23" s="275">
        <f t="shared" si="0"/>
        <v>0.25</v>
      </c>
      <c r="I23" s="275">
        <f t="shared" si="0"/>
        <v>0.25</v>
      </c>
      <c r="J23" s="427" t="e">
        <f t="shared" si="0"/>
        <v>#DIV/0!</v>
      </c>
      <c r="K23" s="623" t="e">
        <f t="shared" si="0"/>
        <v>#DIV/0!</v>
      </c>
      <c r="L23" s="275">
        <f t="shared" si="0"/>
        <v>0</v>
      </c>
      <c r="M23" s="275" t="e">
        <f t="shared" si="0"/>
        <v>#DIV/0!</v>
      </c>
      <c r="N23" s="425" t="e">
        <f t="shared" si="0"/>
        <v>#DIV/0!</v>
      </c>
      <c r="O23" s="426" t="e">
        <f t="shared" si="0"/>
        <v>#DIV/0!</v>
      </c>
      <c r="P23" s="275" t="e">
        <f t="shared" si="0"/>
        <v>#DIV/0!</v>
      </c>
      <c r="Q23" s="275" t="e">
        <f t="shared" si="0"/>
        <v>#DIV/0!</v>
      </c>
      <c r="R23" s="427" t="e">
        <f t="shared" si="0"/>
        <v>#DIV/0!</v>
      </c>
      <c r="S23" s="767"/>
    </row>
    <row r="24" spans="1:19">
      <c r="A24" s="108"/>
      <c r="B24" s="117"/>
      <c r="C24" s="118"/>
      <c r="D24" s="118"/>
      <c r="E24" s="118"/>
      <c r="F24" s="118"/>
      <c r="G24" s="118"/>
      <c r="H24" s="118"/>
      <c r="I24" s="118"/>
      <c r="J24" s="118"/>
      <c r="K24" s="107"/>
      <c r="L24" s="107"/>
      <c r="M24" s="107"/>
      <c r="N24" s="107"/>
      <c r="O24" s="107"/>
      <c r="P24" s="107"/>
      <c r="Q24" s="107"/>
      <c r="R24" s="107"/>
      <c r="S24" s="767"/>
    </row>
    <row r="25" spans="1:19" ht="15.75" thickBot="1">
      <c r="A25" s="108"/>
      <c r="B25" s="117"/>
      <c r="C25" s="118"/>
      <c r="D25" s="118"/>
      <c r="E25" s="118"/>
      <c r="F25" s="118"/>
      <c r="G25" s="118"/>
      <c r="H25" s="118"/>
      <c r="I25" s="118"/>
      <c r="J25" s="118"/>
      <c r="K25" s="107"/>
      <c r="L25" s="107"/>
      <c r="M25" s="107"/>
      <c r="N25" s="107"/>
      <c r="O25" s="107"/>
      <c r="P25" s="107"/>
      <c r="Q25" s="107"/>
      <c r="R25" s="107"/>
      <c r="S25" s="767"/>
    </row>
    <row r="26" spans="1:19" ht="15.75" thickBot="1">
      <c r="A26" s="108"/>
      <c r="B26" s="109"/>
      <c r="C26" s="110"/>
      <c r="D26" s="110"/>
      <c r="E26" s="107"/>
      <c r="F26" s="3589" t="s">
        <v>243</v>
      </c>
      <c r="G26" s="3590"/>
      <c r="H26" s="3590"/>
      <c r="I26" s="3590"/>
      <c r="J26" s="3590"/>
      <c r="K26" s="3591"/>
      <c r="L26" s="107"/>
      <c r="M26" s="107"/>
      <c r="N26" s="107"/>
      <c r="O26" s="107"/>
      <c r="P26" s="107"/>
      <c r="Q26" s="107"/>
      <c r="R26" s="107"/>
      <c r="S26" s="767"/>
    </row>
    <row r="27" spans="1:19" ht="15.75" thickBot="1">
      <c r="A27" s="108"/>
      <c r="B27" s="266" t="s">
        <v>168</v>
      </c>
      <c r="C27" s="268">
        <v>0.1</v>
      </c>
      <c r="D27" s="268">
        <v>0.1</v>
      </c>
      <c r="E27" s="268">
        <v>0.1</v>
      </c>
      <c r="F27" s="345">
        <v>0.1</v>
      </c>
      <c r="G27" s="346">
        <v>0.1</v>
      </c>
      <c r="H27" s="268">
        <v>0.1</v>
      </c>
      <c r="I27" s="268">
        <v>0.1</v>
      </c>
      <c r="J27" s="274">
        <v>0.1</v>
      </c>
      <c r="K27" s="346">
        <v>0.1</v>
      </c>
      <c r="L27" s="268">
        <v>0.1</v>
      </c>
      <c r="M27" s="268">
        <v>0.1</v>
      </c>
      <c r="N27" s="274">
        <v>0.1</v>
      </c>
      <c r="O27" s="346">
        <v>0.1</v>
      </c>
      <c r="P27" s="268">
        <v>0.1</v>
      </c>
      <c r="Q27" s="268">
        <v>0.1</v>
      </c>
      <c r="R27" s="274">
        <v>0.1</v>
      </c>
      <c r="S27" s="767"/>
    </row>
    <row r="28" spans="1:19" ht="15" customHeight="1">
      <c r="A28" s="3765" t="s">
        <v>240</v>
      </c>
      <c r="B28" s="253">
        <v>1</v>
      </c>
      <c r="C28" s="52"/>
      <c r="D28" s="52"/>
      <c r="E28" s="52"/>
      <c r="F28" s="308"/>
      <c r="G28" s="305">
        <v>12.77</v>
      </c>
      <c r="H28" s="406">
        <v>9.7309999999999999</v>
      </c>
      <c r="I28" s="408">
        <v>9.7309999999999999</v>
      </c>
      <c r="J28" s="71" t="s">
        <v>82</v>
      </c>
      <c r="K28" s="393"/>
      <c r="L28" s="963">
        <v>7.79</v>
      </c>
      <c r="M28" s="394"/>
      <c r="N28" s="361"/>
      <c r="O28" s="318"/>
      <c r="P28" s="318"/>
      <c r="Q28" s="304" t="s">
        <v>421</v>
      </c>
      <c r="R28" s="319"/>
      <c r="S28" s="767"/>
    </row>
    <row r="29" spans="1:19" ht="15" customHeight="1">
      <c r="A29" s="3767"/>
      <c r="B29" s="252">
        <v>2</v>
      </c>
      <c r="C29" s="8"/>
      <c r="D29" s="8"/>
      <c r="E29" s="8"/>
      <c r="F29" s="310"/>
      <c r="G29" s="311">
        <v>7.22</v>
      </c>
      <c r="H29" s="421">
        <v>5.9509999999999996</v>
      </c>
      <c r="I29" s="423">
        <v>5.9509999999999996</v>
      </c>
      <c r="J29" s="71" t="s">
        <v>82</v>
      </c>
      <c r="K29" s="393"/>
      <c r="L29" s="963">
        <v>56.92</v>
      </c>
      <c r="M29" s="394"/>
      <c r="N29" s="361"/>
      <c r="O29" s="318"/>
      <c r="P29" s="318"/>
      <c r="Q29" s="304" t="s">
        <v>421</v>
      </c>
      <c r="R29" s="319"/>
      <c r="S29" s="767"/>
    </row>
    <row r="30" spans="1:19" ht="15" customHeight="1">
      <c r="A30" s="3774"/>
      <c r="B30" s="256">
        <v>3</v>
      </c>
      <c r="C30" s="54"/>
      <c r="D30" s="54"/>
      <c r="E30" s="54"/>
      <c r="F30" s="312"/>
      <c r="G30" s="313">
        <v>7.31</v>
      </c>
      <c r="H30" s="54">
        <v>4.59</v>
      </c>
      <c r="I30" s="55">
        <v>4.59</v>
      </c>
      <c r="J30" s="71" t="s">
        <v>82</v>
      </c>
      <c r="K30" s="393"/>
      <c r="L30" s="963">
        <v>7.58</v>
      </c>
      <c r="M30" s="394"/>
      <c r="N30" s="361"/>
      <c r="O30" s="318"/>
      <c r="P30" s="318"/>
      <c r="Q30" s="304" t="s">
        <v>421</v>
      </c>
      <c r="R30" s="319"/>
      <c r="S30" s="767"/>
    </row>
    <row r="31" spans="1:19" ht="15" customHeight="1">
      <c r="A31" s="3774"/>
      <c r="B31" s="256">
        <v>4</v>
      </c>
      <c r="C31" s="54"/>
      <c r="D31" s="54"/>
      <c r="E31" s="54"/>
      <c r="F31" s="312"/>
      <c r="G31" s="313">
        <v>9.3800000000000008</v>
      </c>
      <c r="H31" s="422">
        <v>9.6549999999999994</v>
      </c>
      <c r="I31" s="424">
        <v>9.6549999999999994</v>
      </c>
      <c r="J31" s="71" t="s">
        <v>82</v>
      </c>
      <c r="K31" s="393"/>
      <c r="L31" s="963">
        <v>5.61</v>
      </c>
      <c r="M31" s="394"/>
      <c r="N31" s="361"/>
      <c r="O31" s="318"/>
      <c r="P31" s="318"/>
      <c r="Q31" s="304" t="s">
        <v>421</v>
      </c>
      <c r="R31" s="319"/>
      <c r="S31" s="767"/>
    </row>
    <row r="32" spans="1:19" ht="15" customHeight="1">
      <c r="A32" s="3774"/>
      <c r="B32" s="256">
        <v>5</v>
      </c>
      <c r="C32" s="54"/>
      <c r="D32" s="54"/>
      <c r="E32" s="54"/>
      <c r="F32" s="312"/>
      <c r="G32" s="313">
        <v>1.54</v>
      </c>
      <c r="H32" s="422">
        <v>1.2130000000000001</v>
      </c>
      <c r="I32" s="424">
        <v>1.2130000000000001</v>
      </c>
      <c r="J32" s="71" t="s">
        <v>82</v>
      </c>
      <c r="K32" s="393"/>
      <c r="L32" s="963">
        <v>6.02</v>
      </c>
      <c r="M32" s="394"/>
      <c r="N32" s="361"/>
      <c r="O32" s="318"/>
      <c r="P32" s="318"/>
      <c r="Q32" s="304">
        <v>2.17</v>
      </c>
      <c r="R32" s="319"/>
      <c r="S32" s="767"/>
    </row>
    <row r="33" spans="1:19" ht="15" customHeight="1">
      <c r="A33" s="3774"/>
      <c r="B33" s="256">
        <v>6</v>
      </c>
      <c r="C33" s="54"/>
      <c r="D33" s="54"/>
      <c r="E33" s="54"/>
      <c r="F33" s="312"/>
      <c r="G33" s="313">
        <v>0.01</v>
      </c>
      <c r="H33" s="54">
        <v>0.01</v>
      </c>
      <c r="I33" s="55">
        <v>0.01</v>
      </c>
      <c r="J33" s="71" t="s">
        <v>82</v>
      </c>
      <c r="K33" s="393"/>
      <c r="L33" s="963">
        <v>2.85</v>
      </c>
      <c r="M33" s="394"/>
      <c r="N33" s="361"/>
      <c r="O33" s="318"/>
      <c r="P33" s="318"/>
      <c r="Q33" s="304" t="s">
        <v>421</v>
      </c>
      <c r="R33" s="319"/>
      <c r="S33" s="767"/>
    </row>
    <row r="34" spans="1:19" ht="15" customHeight="1">
      <c r="A34" s="3774"/>
      <c r="B34" s="256">
        <v>7</v>
      </c>
      <c r="C34" s="54"/>
      <c r="D34" s="54"/>
      <c r="E34" s="54"/>
      <c r="F34" s="312"/>
      <c r="G34" s="313">
        <v>0.01</v>
      </c>
      <c r="H34" s="54"/>
      <c r="I34" s="55"/>
      <c r="J34" s="71" t="s">
        <v>82</v>
      </c>
      <c r="K34" s="393"/>
      <c r="L34" s="963">
        <v>0.34</v>
      </c>
      <c r="M34" s="394"/>
      <c r="N34" s="361"/>
      <c r="O34" s="318"/>
      <c r="P34" s="318"/>
      <c r="Q34" s="304" t="s">
        <v>421</v>
      </c>
      <c r="R34" s="319"/>
      <c r="S34" s="767"/>
    </row>
    <row r="35" spans="1:19" ht="15" customHeight="1">
      <c r="A35" s="3774"/>
      <c r="B35" s="256">
        <v>8</v>
      </c>
      <c r="C35" s="54"/>
      <c r="D35" s="54"/>
      <c r="E35" s="54"/>
      <c r="F35" s="312"/>
      <c r="G35" s="313">
        <v>0.01</v>
      </c>
      <c r="H35" s="54">
        <v>0.01</v>
      </c>
      <c r="I35" s="55">
        <v>0.01</v>
      </c>
      <c r="J35" s="71" t="s">
        <v>82</v>
      </c>
      <c r="K35" s="393"/>
      <c r="L35" s="963">
        <v>5.52</v>
      </c>
      <c r="M35" s="394"/>
      <c r="N35" s="361"/>
      <c r="O35" s="318"/>
      <c r="P35" s="318"/>
      <c r="Q35" s="304">
        <v>2.2799999999999998</v>
      </c>
      <c r="R35" s="319"/>
      <c r="S35" s="767"/>
    </row>
    <row r="36" spans="1:19" ht="15" customHeight="1" thickBot="1">
      <c r="A36" s="3768"/>
      <c r="B36" s="256">
        <v>9</v>
      </c>
      <c r="C36" s="53"/>
      <c r="D36" s="53"/>
      <c r="E36" s="53"/>
      <c r="F36" s="309"/>
      <c r="G36" s="420">
        <v>2.2999999999999998</v>
      </c>
      <c r="H36" s="415">
        <v>1.8759999999999999</v>
      </c>
      <c r="I36" s="416">
        <v>1.8759999999999999</v>
      </c>
      <c r="J36" s="695" t="s">
        <v>82</v>
      </c>
      <c r="K36" s="395"/>
      <c r="L36" s="964">
        <v>5.38</v>
      </c>
      <c r="M36" s="396"/>
      <c r="N36" s="397"/>
      <c r="O36" s="539"/>
      <c r="P36" s="539"/>
      <c r="Q36" s="540">
        <v>2.57</v>
      </c>
      <c r="R36" s="541"/>
      <c r="S36" s="767"/>
    </row>
    <row r="37" spans="1:19" ht="15" customHeight="1" thickBot="1">
      <c r="A37" s="108"/>
      <c r="B37" s="265" t="s">
        <v>200</v>
      </c>
      <c r="C37" s="275" t="e">
        <f>COUNTIF(C28:C36,"&lt;0.1")/COUNT(C28:C36)</f>
        <v>#DIV/0!</v>
      </c>
      <c r="D37" s="275" t="e">
        <f t="shared" ref="D37:R37" si="1">COUNTIF(D28:D36,"&lt;0.1")/COUNT(D28:D36)</f>
        <v>#DIV/0!</v>
      </c>
      <c r="E37" s="275" t="e">
        <f t="shared" si="1"/>
        <v>#DIV/0!</v>
      </c>
      <c r="F37" s="425" t="e">
        <f t="shared" si="1"/>
        <v>#DIV/0!</v>
      </c>
      <c r="G37" s="426">
        <f t="shared" si="1"/>
        <v>0.33333333333333331</v>
      </c>
      <c r="H37" s="275">
        <f t="shared" si="1"/>
        <v>0.25</v>
      </c>
      <c r="I37" s="275">
        <f t="shared" si="1"/>
        <v>0.25</v>
      </c>
      <c r="J37" s="427" t="e">
        <f t="shared" si="1"/>
        <v>#DIV/0!</v>
      </c>
      <c r="K37" s="623" t="e">
        <f t="shared" si="1"/>
        <v>#DIV/0!</v>
      </c>
      <c r="L37" s="275">
        <f t="shared" si="1"/>
        <v>0</v>
      </c>
      <c r="M37" s="275" t="e">
        <f t="shared" si="1"/>
        <v>#DIV/0!</v>
      </c>
      <c r="N37" s="425" t="e">
        <f t="shared" si="1"/>
        <v>#DIV/0!</v>
      </c>
      <c r="O37" s="426" t="e">
        <f t="shared" si="1"/>
        <v>#DIV/0!</v>
      </c>
      <c r="P37" s="275">
        <f>COUNTIF(Q28:Q36,"&lt;0.1")/COUNT(Q28:Q36)</f>
        <v>0</v>
      </c>
      <c r="Q37" s="275" t="e">
        <f>COUNTIF(#REF!,"&lt;0.1")/COUNT(#REF!)</f>
        <v>#REF!</v>
      </c>
      <c r="R37" s="427" t="e">
        <f t="shared" si="1"/>
        <v>#DIV/0!</v>
      </c>
      <c r="S37" s="767"/>
    </row>
    <row r="38" spans="1:19">
      <c r="A38" s="108"/>
      <c r="B38" s="109"/>
      <c r="C38" s="110"/>
      <c r="D38" s="110"/>
      <c r="E38" s="110"/>
      <c r="F38" s="110"/>
      <c r="G38" s="110"/>
      <c r="H38" s="111"/>
      <c r="I38" s="110"/>
      <c r="J38" s="112"/>
      <c r="K38" s="107"/>
      <c r="L38" s="107"/>
      <c r="M38" s="107"/>
      <c r="N38" s="107"/>
      <c r="O38" s="107"/>
      <c r="P38" s="107"/>
      <c r="Q38" s="107"/>
      <c r="R38" s="107"/>
      <c r="S38" s="767"/>
    </row>
    <row r="39" spans="1:19" ht="15.75" thickBot="1">
      <c r="A39" s="3769" t="s">
        <v>422</v>
      </c>
      <c r="B39" s="3769"/>
      <c r="C39" s="110"/>
      <c r="D39" s="110"/>
      <c r="E39" s="110"/>
      <c r="F39" s="110"/>
      <c r="G39" s="110"/>
      <c r="H39" s="111"/>
      <c r="I39" s="110"/>
      <c r="J39" s="112"/>
      <c r="K39" s="107"/>
      <c r="L39" s="107"/>
      <c r="M39" s="107"/>
      <c r="N39" s="107"/>
      <c r="O39" s="107"/>
      <c r="P39" s="107"/>
      <c r="Q39" s="107"/>
      <c r="R39" s="107"/>
      <c r="S39" s="767"/>
    </row>
    <row r="40" spans="1:19" ht="15.75" thickBot="1">
      <c r="A40" s="108"/>
      <c r="B40" s="109"/>
      <c r="C40" s="110"/>
      <c r="D40" s="110"/>
      <c r="E40" s="107"/>
      <c r="F40" s="3589" t="s">
        <v>244</v>
      </c>
      <c r="G40" s="3590"/>
      <c r="H40" s="3590"/>
      <c r="I40" s="3590"/>
      <c r="J40" s="3590"/>
      <c r="K40" s="3591"/>
      <c r="L40" s="107"/>
      <c r="M40" s="107"/>
      <c r="N40" s="107"/>
      <c r="O40" s="107"/>
      <c r="P40" s="107"/>
      <c r="Q40" s="107"/>
      <c r="R40" s="107"/>
      <c r="S40" s="767"/>
    </row>
    <row r="41" spans="1:19" ht="15.75" thickBot="1">
      <c r="A41" s="108"/>
      <c r="B41" s="266" t="s">
        <v>168</v>
      </c>
      <c r="C41" s="268">
        <v>0.01</v>
      </c>
      <c r="D41" s="268">
        <v>0.01</v>
      </c>
      <c r="E41" s="268">
        <v>0.01</v>
      </c>
      <c r="F41" s="345">
        <v>0.01</v>
      </c>
      <c r="G41" s="346">
        <v>0.01</v>
      </c>
      <c r="H41" s="268">
        <v>0.01</v>
      </c>
      <c r="I41" s="268">
        <v>0.01</v>
      </c>
      <c r="J41" s="274">
        <v>0.01</v>
      </c>
      <c r="K41" s="346">
        <v>0.01</v>
      </c>
      <c r="L41" s="268">
        <v>0.01</v>
      </c>
      <c r="M41" s="268">
        <v>0.01</v>
      </c>
      <c r="N41" s="274">
        <v>0.01</v>
      </c>
      <c r="O41" s="346">
        <v>0.01</v>
      </c>
      <c r="P41" s="268">
        <v>0.01</v>
      </c>
      <c r="Q41" s="268">
        <v>0.01</v>
      </c>
      <c r="R41" s="274">
        <v>0.01</v>
      </c>
      <c r="S41" s="767"/>
    </row>
    <row r="42" spans="1:19">
      <c r="A42" s="3765" t="s">
        <v>241</v>
      </c>
      <c r="B42" s="253">
        <v>1</v>
      </c>
      <c r="C42" s="52"/>
      <c r="D42" s="52"/>
      <c r="E42" s="52"/>
      <c r="F42" s="308"/>
      <c r="G42" s="404">
        <v>4.0000000000000001E-3</v>
      </c>
      <c r="H42" s="404">
        <v>4.0000000000000001E-3</v>
      </c>
      <c r="I42" s="404">
        <v>4.0000000000000001E-3</v>
      </c>
      <c r="J42" s="536" t="s">
        <v>82</v>
      </c>
      <c r="K42" s="393"/>
      <c r="L42" s="961">
        <v>7.4700000000000003E-2</v>
      </c>
      <c r="M42" s="394"/>
      <c r="N42" s="361"/>
      <c r="O42" s="318"/>
      <c r="P42" s="304"/>
      <c r="Q42" s="304">
        <v>2</v>
      </c>
      <c r="R42" s="319"/>
      <c r="S42" s="767"/>
    </row>
    <row r="43" spans="1:19">
      <c r="A43" s="3766"/>
      <c r="B43" s="253">
        <v>2</v>
      </c>
      <c r="C43" s="52"/>
      <c r="D43" s="52"/>
      <c r="E43" s="52"/>
      <c r="F43" s="308"/>
      <c r="G43" s="404">
        <v>4.0000000000000001E-3</v>
      </c>
      <c r="H43" s="404">
        <v>4.0000000000000001E-3</v>
      </c>
      <c r="I43" s="404">
        <v>4.0000000000000001E-3</v>
      </c>
      <c r="J43" s="536" t="s">
        <v>82</v>
      </c>
      <c r="K43" s="393"/>
      <c r="L43" s="961">
        <v>4.0000000000000001E-3</v>
      </c>
      <c r="M43" s="394"/>
      <c r="N43" s="361"/>
      <c r="O43" s="318"/>
      <c r="P43" s="304"/>
      <c r="Q43" s="304">
        <v>1.71</v>
      </c>
      <c r="R43" s="319"/>
      <c r="S43" s="767"/>
    </row>
    <row r="44" spans="1:19">
      <c r="A44" s="3766"/>
      <c r="B44" s="253">
        <v>3</v>
      </c>
      <c r="C44" s="52"/>
      <c r="D44" s="52"/>
      <c r="E44" s="52"/>
      <c r="F44" s="308"/>
      <c r="G44" s="404">
        <v>4.0000000000000001E-3</v>
      </c>
      <c r="H44" s="404">
        <v>4.0000000000000001E-3</v>
      </c>
      <c r="I44" s="404">
        <v>4.0000000000000001E-3</v>
      </c>
      <c r="J44" s="536" t="s">
        <v>82</v>
      </c>
      <c r="K44" s="393"/>
      <c r="L44" s="961">
        <v>4.0000000000000001E-3</v>
      </c>
      <c r="M44" s="394"/>
      <c r="N44" s="361"/>
      <c r="O44" s="318"/>
      <c r="P44" s="304"/>
      <c r="Q44" s="304">
        <v>2.23</v>
      </c>
      <c r="R44" s="319"/>
      <c r="S44" s="767"/>
    </row>
    <row r="45" spans="1:19">
      <c r="A45" s="3766"/>
      <c r="B45" s="253">
        <v>4</v>
      </c>
      <c r="C45" s="52"/>
      <c r="D45" s="52"/>
      <c r="E45" s="52"/>
      <c r="F45" s="308"/>
      <c r="G45" s="404">
        <v>4.0000000000000001E-3</v>
      </c>
      <c r="H45" s="404">
        <v>4.0000000000000001E-3</v>
      </c>
      <c r="I45" s="404">
        <v>4.0000000000000001E-3</v>
      </c>
      <c r="J45" s="536" t="s">
        <v>82</v>
      </c>
      <c r="K45" s="393"/>
      <c r="L45" s="961">
        <v>4.0000000000000001E-3</v>
      </c>
      <c r="M45" s="394"/>
      <c r="N45" s="361"/>
      <c r="O45" s="318"/>
      <c r="P45" s="304"/>
      <c r="Q45" s="304">
        <v>2.4700000000000002</v>
      </c>
      <c r="R45" s="319"/>
      <c r="S45" s="767"/>
    </row>
    <row r="46" spans="1:19">
      <c r="A46" s="3766"/>
      <c r="B46" s="253">
        <v>5</v>
      </c>
      <c r="C46" s="52"/>
      <c r="D46" s="52"/>
      <c r="E46" s="52"/>
      <c r="F46" s="308"/>
      <c r="G46" s="404">
        <v>4.0000000000000001E-3</v>
      </c>
      <c r="H46" s="404">
        <v>4.0000000000000001E-3</v>
      </c>
      <c r="I46" s="404">
        <v>4.0000000000000001E-3</v>
      </c>
      <c r="J46" s="536" t="s">
        <v>82</v>
      </c>
      <c r="K46" s="393"/>
      <c r="L46" s="961">
        <v>4.0000000000000001E-3</v>
      </c>
      <c r="M46" s="394"/>
      <c r="N46" s="361"/>
      <c r="O46" s="318"/>
      <c r="P46" s="304"/>
      <c r="Q46" s="304">
        <v>2.63</v>
      </c>
      <c r="R46" s="319"/>
      <c r="S46" s="767"/>
    </row>
    <row r="47" spans="1:19">
      <c r="A47" s="3766"/>
      <c r="B47" s="253">
        <v>6</v>
      </c>
      <c r="C47" s="52"/>
      <c r="D47" s="52"/>
      <c r="E47" s="52"/>
      <c r="F47" s="308"/>
      <c r="G47" s="404">
        <v>4.0000000000000001E-3</v>
      </c>
      <c r="H47" s="404">
        <v>4.0000000000000001E-3</v>
      </c>
      <c r="I47" s="404">
        <v>4.0000000000000001E-3</v>
      </c>
      <c r="J47" s="536" t="s">
        <v>82</v>
      </c>
      <c r="K47" s="393"/>
      <c r="L47" s="961">
        <v>0.37309999999999999</v>
      </c>
      <c r="M47" s="394"/>
      <c r="N47" s="361"/>
      <c r="O47" s="318"/>
      <c r="P47" s="304"/>
      <c r="Q47" s="304">
        <v>2.94</v>
      </c>
      <c r="R47" s="319"/>
      <c r="S47" s="767"/>
    </row>
    <row r="48" spans="1:19">
      <c r="A48" s="3766"/>
      <c r="B48" s="253">
        <v>7</v>
      </c>
      <c r="C48" s="52"/>
      <c r="D48" s="52"/>
      <c r="E48" s="52"/>
      <c r="F48" s="308"/>
      <c r="G48" s="404">
        <v>4.0000000000000001E-3</v>
      </c>
      <c r="H48" s="404">
        <v>4.0000000000000001E-3</v>
      </c>
      <c r="I48" s="404">
        <v>4.0000000000000001E-3</v>
      </c>
      <c r="J48" s="536" t="s">
        <v>82</v>
      </c>
      <c r="K48" s="393"/>
      <c r="L48" s="961">
        <v>4.0000000000000001E-3</v>
      </c>
      <c r="M48" s="394"/>
      <c r="N48" s="361"/>
      <c r="O48" s="318"/>
      <c r="P48" s="304"/>
      <c r="Q48" s="304">
        <v>2.98</v>
      </c>
      <c r="R48" s="319"/>
      <c r="S48" s="767"/>
    </row>
    <row r="49" spans="1:19">
      <c r="A49" s="3767"/>
      <c r="B49" s="252">
        <v>8</v>
      </c>
      <c r="C49" s="8"/>
      <c r="D49" s="8"/>
      <c r="E49" s="8"/>
      <c r="F49" s="310"/>
      <c r="G49" s="404">
        <v>4.0000000000000001E-3</v>
      </c>
      <c r="H49" s="404">
        <v>4.0000000000000001E-3</v>
      </c>
      <c r="I49" s="404">
        <v>4.0000000000000001E-3</v>
      </c>
      <c r="J49" s="536" t="s">
        <v>82</v>
      </c>
      <c r="K49" s="393"/>
      <c r="L49" s="961">
        <v>4.0000000000000001E-3</v>
      </c>
      <c r="M49" s="394"/>
      <c r="N49" s="361"/>
      <c r="O49" s="318"/>
      <c r="P49" s="304"/>
      <c r="Q49" s="304">
        <v>2.86</v>
      </c>
      <c r="R49" s="319"/>
      <c r="S49" s="767"/>
    </row>
    <row r="50" spans="1:19" ht="15.75" thickBot="1">
      <c r="A50" s="3768"/>
      <c r="B50" s="256">
        <v>9</v>
      </c>
      <c r="C50" s="53"/>
      <c r="D50" s="53"/>
      <c r="E50" s="53"/>
      <c r="F50" s="309"/>
      <c r="G50" s="696">
        <v>4.0000000000000001E-3</v>
      </c>
      <c r="H50" s="696">
        <v>4.0000000000000001E-3</v>
      </c>
      <c r="I50" s="696">
        <v>4.0000000000000001E-3</v>
      </c>
      <c r="J50" s="697" t="s">
        <v>82</v>
      </c>
      <c r="K50" s="395"/>
      <c r="L50" s="962">
        <v>4.0000000000000001E-3</v>
      </c>
      <c r="M50" s="396"/>
      <c r="N50" s="397"/>
      <c r="O50" s="539"/>
      <c r="P50" s="540"/>
      <c r="Q50" s="540">
        <v>3.63</v>
      </c>
      <c r="R50" s="541"/>
      <c r="S50" s="767"/>
    </row>
    <row r="51" spans="1:19" ht="15.75" thickBot="1">
      <c r="A51" s="108"/>
      <c r="B51" s="265" t="s">
        <v>200</v>
      </c>
      <c r="C51" s="275" t="e">
        <f>COUNTIF(C42:C50,"&lt;0.01")/COUNT(C42:C50)</f>
        <v>#DIV/0!</v>
      </c>
      <c r="D51" s="275" t="e">
        <f t="shared" ref="D51:R51" si="2">COUNTIF(D42:D50,"&lt;0.01")/COUNT(D42:D50)</f>
        <v>#DIV/0!</v>
      </c>
      <c r="E51" s="275" t="e">
        <f t="shared" si="2"/>
        <v>#DIV/0!</v>
      </c>
      <c r="F51" s="425" t="e">
        <f t="shared" si="2"/>
        <v>#DIV/0!</v>
      </c>
      <c r="G51" s="426">
        <f t="shared" si="2"/>
        <v>1</v>
      </c>
      <c r="H51" s="275">
        <f t="shared" si="2"/>
        <v>1</v>
      </c>
      <c r="I51" s="275">
        <f t="shared" si="2"/>
        <v>1</v>
      </c>
      <c r="J51" s="427" t="e">
        <f t="shared" si="2"/>
        <v>#DIV/0!</v>
      </c>
      <c r="K51" s="623" t="e">
        <f t="shared" si="2"/>
        <v>#DIV/0!</v>
      </c>
      <c r="L51" s="275">
        <f t="shared" si="2"/>
        <v>0.77777777777777779</v>
      </c>
      <c r="M51" s="275" t="e">
        <f t="shared" si="2"/>
        <v>#DIV/0!</v>
      </c>
      <c r="N51" s="425" t="e">
        <f t="shared" si="2"/>
        <v>#DIV/0!</v>
      </c>
      <c r="O51" s="426" t="e">
        <f t="shared" si="2"/>
        <v>#DIV/0!</v>
      </c>
      <c r="P51" s="275" t="e">
        <f t="shared" si="2"/>
        <v>#DIV/0!</v>
      </c>
      <c r="Q51" s="275">
        <f t="shared" si="2"/>
        <v>0</v>
      </c>
      <c r="R51" s="427" t="e">
        <f t="shared" si="2"/>
        <v>#DIV/0!</v>
      </c>
      <c r="S51" s="767"/>
    </row>
    <row r="52" spans="1:19">
      <c r="A52" s="108"/>
      <c r="B52" s="109"/>
      <c r="C52" s="110"/>
      <c r="D52" s="110"/>
      <c r="E52" s="110"/>
      <c r="F52" s="110"/>
      <c r="G52" s="110"/>
      <c r="H52" s="111"/>
      <c r="I52" s="110"/>
      <c r="J52" s="112"/>
      <c r="K52" s="107"/>
      <c r="L52" s="107"/>
      <c r="M52" s="107"/>
      <c r="N52" s="107"/>
      <c r="O52" s="107"/>
      <c r="P52" s="107"/>
      <c r="Q52" s="107"/>
      <c r="R52" s="107"/>
      <c r="S52" s="767"/>
    </row>
    <row r="53" spans="1:19">
      <c r="A53" s="771"/>
      <c r="B53" s="771"/>
      <c r="C53" s="771"/>
      <c r="D53" s="771"/>
      <c r="E53" s="771"/>
      <c r="F53" s="771"/>
      <c r="G53" s="771"/>
      <c r="H53" s="771"/>
      <c r="I53" s="771"/>
      <c r="J53" s="771"/>
      <c r="K53" s="771"/>
      <c r="L53" s="771"/>
      <c r="M53" s="771"/>
      <c r="N53" s="771"/>
      <c r="O53" s="771"/>
      <c r="P53" s="771"/>
      <c r="Q53" s="771"/>
      <c r="R53" s="771"/>
      <c r="S53" s="334"/>
    </row>
  </sheetData>
  <mergeCells count="15">
    <mergeCell ref="F5:K5"/>
    <mergeCell ref="O8:R8"/>
    <mergeCell ref="A14:A22"/>
    <mergeCell ref="A28:A36"/>
    <mergeCell ref="D2:M3"/>
    <mergeCell ref="A42:A50"/>
    <mergeCell ref="F26:K26"/>
    <mergeCell ref="F40:K40"/>
    <mergeCell ref="F12:K12"/>
    <mergeCell ref="A8:A9"/>
    <mergeCell ref="B8:B9"/>
    <mergeCell ref="C8:F8"/>
    <mergeCell ref="G8:J8"/>
    <mergeCell ref="K8:N8"/>
    <mergeCell ref="A39:B39"/>
  </mergeCells>
  <conditionalFormatting sqref="C14:R22">
    <cfRule type="cellIs" dxfId="2" priority="4" operator="lessThanOrEqual">
      <formula>0.05</formula>
    </cfRule>
  </conditionalFormatting>
  <conditionalFormatting sqref="C28:R36">
    <cfRule type="cellIs" dxfId="1" priority="2" operator="lessThanOrEqual">
      <formula>0.1</formula>
    </cfRule>
  </conditionalFormatting>
  <conditionalFormatting sqref="C42:R50">
    <cfRule type="cellIs" dxfId="0" priority="1" operator="lessThanOrEqual">
      <formula>0.01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251"/>
  <sheetViews>
    <sheetView topLeftCell="D1" zoomScale="80" zoomScaleNormal="80" workbookViewId="0">
      <pane ySplit="9" topLeftCell="A232" activePane="bottomLeft" state="frozen"/>
      <selection pane="bottomLeft" activeCell="O238" sqref="O238:V249"/>
    </sheetView>
  </sheetViews>
  <sheetFormatPr defaultRowHeight="15"/>
  <cols>
    <col min="1" max="1" width="23.140625" customWidth="1"/>
    <col min="2" max="2" width="40.85546875" customWidth="1"/>
  </cols>
  <sheetData>
    <row r="1" spans="1:25">
      <c r="A1" s="726"/>
      <c r="B1" s="726"/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54"/>
      <c r="P1" s="754"/>
      <c r="Q1" s="754"/>
      <c r="R1" s="754"/>
    </row>
    <row r="2" spans="1:25" ht="15" customHeight="1">
      <c r="A2" s="726"/>
      <c r="B2" s="726"/>
      <c r="C2" s="3595" t="s">
        <v>264</v>
      </c>
      <c r="D2" s="3595"/>
      <c r="E2" s="3595"/>
      <c r="F2" s="3595"/>
      <c r="G2" s="3595"/>
      <c r="H2" s="3595"/>
      <c r="I2" s="3595"/>
      <c r="J2" s="3595"/>
      <c r="K2" s="3595"/>
      <c r="L2" s="3595"/>
      <c r="M2" s="920"/>
      <c r="N2" s="920"/>
      <c r="O2" s="920"/>
      <c r="P2" s="920"/>
      <c r="Q2" s="754"/>
      <c r="R2" s="754"/>
    </row>
    <row r="3" spans="1:25" ht="15" customHeight="1">
      <c r="A3" s="726"/>
      <c r="B3" s="726"/>
      <c r="C3" s="3595"/>
      <c r="D3" s="3595"/>
      <c r="E3" s="3595"/>
      <c r="F3" s="3595"/>
      <c r="G3" s="3595"/>
      <c r="H3" s="3595"/>
      <c r="I3" s="3595"/>
      <c r="J3" s="3595"/>
      <c r="K3" s="3595"/>
      <c r="L3" s="3595"/>
      <c r="M3" s="920"/>
      <c r="N3" s="920"/>
      <c r="O3" s="920"/>
      <c r="P3" s="920"/>
      <c r="Q3" s="754"/>
      <c r="R3" s="754"/>
    </row>
    <row r="4" spans="1:25" ht="15.75" thickBot="1">
      <c r="A4" s="726"/>
      <c r="B4" s="726"/>
      <c r="C4" s="726"/>
      <c r="D4" s="726"/>
      <c r="E4" s="726"/>
      <c r="F4" s="726"/>
      <c r="G4" s="726"/>
      <c r="H4" s="726"/>
      <c r="I4" s="726"/>
      <c r="J4" s="726"/>
      <c r="K4" s="726"/>
      <c r="L4" s="726"/>
      <c r="M4" s="726"/>
      <c r="N4" s="726"/>
      <c r="O4" s="754"/>
      <c r="P4" s="754"/>
      <c r="Q4" s="754"/>
      <c r="R4" s="754"/>
    </row>
    <row r="5" spans="1:25" ht="15.75" thickBot="1">
      <c r="A5" s="750"/>
      <c r="B5" s="750"/>
      <c r="C5" s="726"/>
      <c r="D5" s="3538" t="s">
        <v>255</v>
      </c>
      <c r="E5" s="3539"/>
      <c r="F5" s="3539"/>
      <c r="G5" s="3539"/>
      <c r="H5" s="3539"/>
      <c r="I5" s="3539"/>
      <c r="J5" s="3539"/>
      <c r="K5" s="3540"/>
      <c r="L5" s="726"/>
      <c r="M5" s="726"/>
      <c r="O5" s="750"/>
      <c r="P5" s="726"/>
      <c r="Q5" s="726"/>
      <c r="R5" s="726"/>
    </row>
    <row r="6" spans="1:25">
      <c r="A6" s="751"/>
      <c r="B6" s="751"/>
      <c r="C6" s="752"/>
      <c r="D6" s="752"/>
      <c r="E6" s="751"/>
      <c r="F6" s="751"/>
      <c r="G6" s="726"/>
      <c r="H6" s="726"/>
      <c r="I6" s="726"/>
      <c r="J6" s="726"/>
      <c r="K6" s="726"/>
      <c r="L6" s="726"/>
      <c r="M6" s="726"/>
      <c r="N6" s="726"/>
      <c r="O6" s="726"/>
      <c r="P6" s="726"/>
      <c r="Q6" s="726"/>
      <c r="R6" s="726"/>
    </row>
    <row r="7" spans="1:25" ht="15.75" thickBot="1">
      <c r="A7" s="116"/>
      <c r="B7" s="116"/>
      <c r="C7" s="237"/>
      <c r="D7" s="237"/>
      <c r="E7" s="237"/>
      <c r="F7" s="237"/>
      <c r="G7" s="237"/>
      <c r="H7" s="193"/>
      <c r="I7" s="107"/>
      <c r="J7" s="107"/>
      <c r="K7" s="107"/>
      <c r="L7" s="107"/>
      <c r="M7" s="107"/>
      <c r="N7" s="107"/>
      <c r="O7" s="107"/>
      <c r="P7" s="107"/>
      <c r="Q7" s="107"/>
      <c r="R7" s="107"/>
    </row>
    <row r="8" spans="1:25" ht="15.75" thickBot="1">
      <c r="A8" s="3739" t="s">
        <v>0</v>
      </c>
      <c r="B8" s="3785"/>
      <c r="C8" s="3550">
        <v>2011</v>
      </c>
      <c r="D8" s="3551"/>
      <c r="E8" s="3551"/>
      <c r="F8" s="3552"/>
      <c r="G8" s="3547">
        <v>2012</v>
      </c>
      <c r="H8" s="3548"/>
      <c r="I8" s="3548"/>
      <c r="J8" s="3549"/>
      <c r="K8" s="3752">
        <v>2013</v>
      </c>
      <c r="L8" s="3517"/>
      <c r="M8" s="3517"/>
      <c r="N8" s="3518"/>
      <c r="O8" s="3516">
        <v>2014</v>
      </c>
      <c r="P8" s="3517"/>
      <c r="Q8" s="3517"/>
      <c r="R8" s="3518"/>
      <c r="S8" s="3516">
        <v>2015</v>
      </c>
      <c r="T8" s="3517"/>
      <c r="U8" s="3517"/>
      <c r="V8" s="3518"/>
      <c r="Y8" s="726"/>
    </row>
    <row r="9" spans="1:25" ht="15.75" thickBot="1">
      <c r="A9" s="3741"/>
      <c r="B9" s="3786"/>
      <c r="C9" s="720" t="s">
        <v>2</v>
      </c>
      <c r="D9" s="721" t="s">
        <v>3</v>
      </c>
      <c r="E9" s="725" t="s">
        <v>4</v>
      </c>
      <c r="F9" s="722" t="s">
        <v>5</v>
      </c>
      <c r="G9" s="723" t="s">
        <v>2</v>
      </c>
      <c r="H9" s="721" t="s">
        <v>3</v>
      </c>
      <c r="I9" s="725" t="s">
        <v>4</v>
      </c>
      <c r="J9" s="724" t="s">
        <v>5</v>
      </c>
      <c r="K9" s="723" t="s">
        <v>2</v>
      </c>
      <c r="L9" s="721" t="s">
        <v>3</v>
      </c>
      <c r="M9" s="725" t="s">
        <v>4</v>
      </c>
      <c r="N9" s="724" t="s">
        <v>5</v>
      </c>
      <c r="O9" s="723" t="s">
        <v>2</v>
      </c>
      <c r="P9" s="721" t="s">
        <v>3</v>
      </c>
      <c r="Q9" s="725" t="s">
        <v>4</v>
      </c>
      <c r="R9" s="724" t="s">
        <v>5</v>
      </c>
      <c r="S9" s="3003" t="s">
        <v>2</v>
      </c>
      <c r="T9" s="3004" t="s">
        <v>3</v>
      </c>
      <c r="U9" s="3005" t="s">
        <v>4</v>
      </c>
      <c r="V9" s="724" t="s">
        <v>5</v>
      </c>
    </row>
    <row r="10" spans="1:25" s="79" customFormat="1"/>
    <row r="11" spans="1:25" s="79" customFormat="1"/>
    <row r="12" spans="1:25" s="79" customFormat="1">
      <c r="A12" s="3775" t="s">
        <v>205</v>
      </c>
      <c r="B12" s="3775"/>
    </row>
    <row r="13" spans="1:25" s="79" customFormat="1">
      <c r="A13" s="3775"/>
      <c r="B13" s="3775"/>
    </row>
    <row r="14" spans="1:25" s="79" customFormat="1">
      <c r="A14" s="3780" t="s">
        <v>16</v>
      </c>
      <c r="B14" s="3781"/>
    </row>
    <row r="15" spans="1:25" s="79" customFormat="1">
      <c r="A15" s="3782"/>
      <c r="B15" s="3783"/>
    </row>
    <row r="16" spans="1:25" s="79" customFormat="1">
      <c r="A16" s="3776" t="s">
        <v>201</v>
      </c>
      <c r="B16" s="3776"/>
      <c r="C16" s="1566">
        <f>DO!E230</f>
        <v>1</v>
      </c>
      <c r="D16" s="1566">
        <f>DO!F230</f>
        <v>1</v>
      </c>
      <c r="E16" s="1566">
        <f>DO!G230</f>
        <v>1</v>
      </c>
      <c r="F16" s="1566">
        <f>DO!H230</f>
        <v>0.5</v>
      </c>
      <c r="G16" s="1566">
        <f>DO!I230</f>
        <v>0.75</v>
      </c>
      <c r="H16" s="1566">
        <f>DO!J230</f>
        <v>0</v>
      </c>
      <c r="I16" s="1566">
        <f>DO!K230</f>
        <v>0.5</v>
      </c>
      <c r="J16" s="1566">
        <f>DO!L230</f>
        <v>0.5</v>
      </c>
      <c r="K16" s="1566">
        <f>DO!M230</f>
        <v>0.75</v>
      </c>
      <c r="L16" s="1566">
        <f>DO!N230</f>
        <v>0.25</v>
      </c>
      <c r="M16" s="1566">
        <f>DO!O230</f>
        <v>0.25</v>
      </c>
      <c r="N16" s="1566" t="e">
        <f>DO!P230</f>
        <v>#REF!</v>
      </c>
      <c r="O16" s="1566">
        <f>DO!Q230</f>
        <v>0.25</v>
      </c>
      <c r="P16" s="1566">
        <f>DO!R230</f>
        <v>0</v>
      </c>
      <c r="Q16" s="1566">
        <f>DO!S230</f>
        <v>0</v>
      </c>
      <c r="R16" s="1566">
        <f>DO!T230</f>
        <v>0</v>
      </c>
      <c r="S16" s="1566" t="e">
        <f>DO!U230</f>
        <v>#DIV/0!</v>
      </c>
      <c r="T16" s="1566" t="e">
        <f>DO!V230</f>
        <v>#DIV/0!</v>
      </c>
      <c r="U16" s="1566" t="e">
        <f>DO!W230</f>
        <v>#DIV/0!</v>
      </c>
      <c r="V16" s="1566">
        <f>DO!X230</f>
        <v>0</v>
      </c>
    </row>
    <row r="17" spans="1:22" s="79" customFormat="1">
      <c r="A17" s="3776" t="s">
        <v>203</v>
      </c>
      <c r="B17" s="3776"/>
      <c r="C17" s="1566">
        <f>BOD!D224</f>
        <v>1</v>
      </c>
      <c r="D17" s="1566">
        <f>BOD!E224</f>
        <v>1</v>
      </c>
      <c r="E17" s="1566">
        <f>BOD!F224</f>
        <v>1</v>
      </c>
      <c r="F17" s="1566">
        <f>BOD!G224</f>
        <v>1</v>
      </c>
      <c r="G17" s="1566">
        <f>BOD!H224</f>
        <v>1</v>
      </c>
      <c r="H17" s="1566">
        <f>BOD!I224</f>
        <v>1</v>
      </c>
      <c r="I17" s="1566">
        <f>BOD!J224</f>
        <v>1</v>
      </c>
      <c r="J17" s="1566">
        <f>BOD!K224</f>
        <v>1</v>
      </c>
      <c r="K17" s="1566">
        <f>BOD!L224</f>
        <v>1</v>
      </c>
      <c r="L17" s="1566">
        <f>BOD!M224</f>
        <v>1</v>
      </c>
      <c r="M17" s="1566">
        <f>BOD!N224</f>
        <v>1</v>
      </c>
      <c r="N17" s="1566">
        <f>BOD!O224</f>
        <v>0.5</v>
      </c>
      <c r="O17" s="1566">
        <f>BOD!P224</f>
        <v>1</v>
      </c>
      <c r="P17" s="1566">
        <f>BOD!Q224</f>
        <v>0.75</v>
      </c>
      <c r="Q17" s="1566">
        <f>BOD!R224</f>
        <v>1</v>
      </c>
      <c r="R17" s="1566">
        <f>BOD!S224</f>
        <v>1</v>
      </c>
      <c r="S17" s="1566" t="e">
        <f>BOD!T224</f>
        <v>#DIV/0!</v>
      </c>
      <c r="T17" s="1566" t="e">
        <f>BOD!U224</f>
        <v>#DIV/0!</v>
      </c>
      <c r="U17" s="1566" t="e">
        <f>BOD!V224</f>
        <v>#DIV/0!</v>
      </c>
      <c r="V17" s="1566">
        <f>BOD!W224</f>
        <v>1</v>
      </c>
    </row>
    <row r="18" spans="1:22" s="79" customFormat="1">
      <c r="A18" s="3776" t="s">
        <v>204</v>
      </c>
      <c r="B18" s="3776"/>
      <c r="C18" s="1566">
        <f>TSS!D164</f>
        <v>1</v>
      </c>
      <c r="D18" s="1566">
        <f>TSS!E164</f>
        <v>1</v>
      </c>
      <c r="E18" s="1566">
        <f>TSS!F164</f>
        <v>1</v>
      </c>
      <c r="F18" s="1566">
        <f>TSS!G164</f>
        <v>1</v>
      </c>
      <c r="G18" s="1566">
        <f>TSS!H164</f>
        <v>0.75</v>
      </c>
      <c r="H18" s="1566">
        <f>TSS!I164</f>
        <v>1</v>
      </c>
      <c r="I18" s="1566">
        <f>TSS!J164</f>
        <v>0</v>
      </c>
      <c r="J18" s="1566">
        <f>TSS!K164</f>
        <v>1</v>
      </c>
      <c r="K18" s="1566">
        <f>TSS!L164</f>
        <v>0.75</v>
      </c>
      <c r="L18" s="1566">
        <f>TSS!M164</f>
        <v>1</v>
      </c>
      <c r="M18" s="1566">
        <f>TSS!N164</f>
        <v>0</v>
      </c>
      <c r="N18" s="1566">
        <f>TSS!O164</f>
        <v>1</v>
      </c>
      <c r="O18" s="1566">
        <f>TSS!P164</f>
        <v>1</v>
      </c>
      <c r="P18" s="1566">
        <f>TSS!Q164</f>
        <v>0.5</v>
      </c>
      <c r="Q18" s="1566">
        <f>TSS!R164</f>
        <v>1</v>
      </c>
      <c r="R18" s="1566">
        <f>TSS!S164</f>
        <v>1</v>
      </c>
      <c r="S18" s="1566" t="e">
        <f>TSS!T164</f>
        <v>#DIV/0!</v>
      </c>
      <c r="T18" s="1566" t="e">
        <f>TSS!U164</f>
        <v>#DIV/0!</v>
      </c>
      <c r="U18" s="1566">
        <f>TSS!V164</f>
        <v>0</v>
      </c>
      <c r="V18" s="1566">
        <f>TSS!W164</f>
        <v>0</v>
      </c>
    </row>
    <row r="19" spans="1:22" s="79" customFormat="1">
      <c r="A19" s="3776" t="s">
        <v>199</v>
      </c>
      <c r="B19" s="3776"/>
      <c r="C19" s="1566">
        <f>pH!D224</f>
        <v>0.25</v>
      </c>
      <c r="D19" s="1566">
        <f>pH!E224</f>
        <v>1</v>
      </c>
      <c r="E19" s="1566">
        <f>pH!F224</f>
        <v>1</v>
      </c>
      <c r="F19" s="1566">
        <f>pH!G224</f>
        <v>1</v>
      </c>
      <c r="G19" s="1566">
        <f>pH!H224</f>
        <v>0.5</v>
      </c>
      <c r="H19" s="1566">
        <f>pH!I224</f>
        <v>1</v>
      </c>
      <c r="I19" s="1566">
        <f>pH!J224</f>
        <v>1</v>
      </c>
      <c r="J19" s="1566">
        <f>pH!K224</f>
        <v>0.5</v>
      </c>
      <c r="K19" s="1566">
        <f>pH!L224</f>
        <v>1</v>
      </c>
      <c r="L19" s="1566">
        <f>pH!M224</f>
        <v>0.25</v>
      </c>
      <c r="M19" s="1566">
        <f>pH!N224</f>
        <v>0.75</v>
      </c>
      <c r="N19" s="1566">
        <f>pH!O224</f>
        <v>0.75</v>
      </c>
      <c r="O19" s="1566">
        <f>pH!P224</f>
        <v>0.5</v>
      </c>
      <c r="P19" s="1566">
        <f>pH!Q224</f>
        <v>1</v>
      </c>
      <c r="Q19" s="1566">
        <f>pH!R224</f>
        <v>1</v>
      </c>
      <c r="R19" s="1566">
        <f>pH!S224</f>
        <v>1</v>
      </c>
      <c r="S19" s="1566">
        <f>pH!T224</f>
        <v>1</v>
      </c>
      <c r="T19" s="1566">
        <f>pH!U224</f>
        <v>1</v>
      </c>
      <c r="U19" s="1566">
        <f>pH!V224</f>
        <v>1</v>
      </c>
      <c r="V19" s="1566">
        <f>pH!W224</f>
        <v>1</v>
      </c>
    </row>
    <row r="20" spans="1:22" s="79" customFormat="1">
      <c r="A20" s="3776" t="s">
        <v>170</v>
      </c>
      <c r="B20" s="3776"/>
      <c r="C20" s="1566" t="e">
        <f>Nitrate!D221</f>
        <v>#DIV/0!</v>
      </c>
      <c r="D20" s="1566" t="e">
        <f>Nitrate!E221</f>
        <v>#DIV/0!</v>
      </c>
      <c r="E20" s="1566" t="e">
        <f>Nitrate!F221</f>
        <v>#DIV/0!</v>
      </c>
      <c r="F20" s="1566" t="e">
        <f>Nitrate!G221</f>
        <v>#DIV/0!</v>
      </c>
      <c r="G20" s="1566" t="e">
        <f>Nitrate!H221</f>
        <v>#DIV/0!</v>
      </c>
      <c r="H20" s="1566">
        <f>Nitrate!I221</f>
        <v>1</v>
      </c>
      <c r="I20" s="1566">
        <f>Nitrate!J221</f>
        <v>1</v>
      </c>
      <c r="J20" s="1566">
        <f>Nitrate!K221</f>
        <v>1</v>
      </c>
      <c r="K20" s="1566">
        <f>Nitrate!L221</f>
        <v>1</v>
      </c>
      <c r="L20" s="1566" t="e">
        <f>Nitrate!M221</f>
        <v>#DIV/0!</v>
      </c>
      <c r="M20" s="1566">
        <f>Nitrate!N221</f>
        <v>1</v>
      </c>
      <c r="N20" s="1566" t="e">
        <f>Nitrate!O221</f>
        <v>#DIV/0!</v>
      </c>
      <c r="O20" s="1566">
        <f>Nitrate!P221</f>
        <v>1</v>
      </c>
      <c r="P20" s="1566">
        <f>Nitrate!Q221</f>
        <v>1</v>
      </c>
      <c r="Q20" s="1566">
        <f>Nitrate!R221</f>
        <v>1</v>
      </c>
      <c r="R20" s="1566">
        <f>Nitrate!S221</f>
        <v>1</v>
      </c>
      <c r="S20" s="1566" t="e">
        <f>Nitrate!T221</f>
        <v>#DIV/0!</v>
      </c>
      <c r="T20" s="1566" t="e">
        <f>Nitrate!U221</f>
        <v>#DIV/0!</v>
      </c>
      <c r="U20" s="1566" t="e">
        <f>Nitrate!V221</f>
        <v>#DIV/0!</v>
      </c>
      <c r="V20" s="1566">
        <f>Nitrate!W221</f>
        <v>1</v>
      </c>
    </row>
    <row r="21" spans="1:22" s="79" customFormat="1">
      <c r="A21" s="3777" t="s">
        <v>169</v>
      </c>
      <c r="B21" s="3777"/>
      <c r="C21" s="1566" t="e">
        <f>Phosphate!D225</f>
        <v>#DIV/0!</v>
      </c>
      <c r="D21" s="1566" t="e">
        <f>Phosphate!E225</f>
        <v>#DIV/0!</v>
      </c>
      <c r="E21" s="1566" t="e">
        <f>Phosphate!F225</f>
        <v>#DIV/0!</v>
      </c>
      <c r="F21" s="1566" t="e">
        <f>Phosphate!G225</f>
        <v>#DIV/0!</v>
      </c>
      <c r="G21" s="1566" t="e">
        <f>Phosphate!H225</f>
        <v>#DIV/0!</v>
      </c>
      <c r="H21" s="1566">
        <f>Phosphate!I225</f>
        <v>1</v>
      </c>
      <c r="I21" s="1566">
        <f>Phosphate!J225</f>
        <v>1</v>
      </c>
      <c r="J21" s="1566">
        <f>Phosphate!K225</f>
        <v>1</v>
      </c>
      <c r="K21" s="1566">
        <f>Phosphate!L225</f>
        <v>1</v>
      </c>
      <c r="L21" s="1566" t="e">
        <f>Phosphate!M225</f>
        <v>#DIV/0!</v>
      </c>
      <c r="M21" s="1566">
        <f>Phosphate!N225</f>
        <v>1</v>
      </c>
      <c r="N21" s="1566" t="e">
        <f>Phosphate!O225</f>
        <v>#DIV/0!</v>
      </c>
      <c r="O21" s="1566">
        <f>Phosphate!P225</f>
        <v>1</v>
      </c>
      <c r="P21" s="1566">
        <f>Phosphate!Q225</f>
        <v>0.25</v>
      </c>
      <c r="Q21" s="1566">
        <f>Phosphate!R225</f>
        <v>1</v>
      </c>
      <c r="R21" s="1566">
        <f>Phosphate!S225</f>
        <v>0</v>
      </c>
      <c r="S21" s="1566" t="e">
        <f>Phosphate!T225</f>
        <v>#DIV/0!</v>
      </c>
      <c r="T21" s="1566" t="e">
        <f>Phosphate!U225</f>
        <v>#DIV/0!</v>
      </c>
      <c r="U21" s="1566" t="e">
        <f>Phosphate!V225</f>
        <v>#DIV/0!</v>
      </c>
      <c r="V21" s="1566">
        <f>Phosphate!W225</f>
        <v>1</v>
      </c>
    </row>
    <row r="22" spans="1:22" s="79" customFormat="1">
      <c r="A22" s="3776" t="s">
        <v>198</v>
      </c>
      <c r="B22" s="3776"/>
      <c r="C22" s="1566"/>
      <c r="D22" s="1566"/>
      <c r="E22" s="1566"/>
      <c r="F22" s="1566"/>
      <c r="G22" s="1566"/>
      <c r="H22" s="1566"/>
      <c r="I22" s="1566"/>
      <c r="J22" s="1566"/>
      <c r="K22" s="1566"/>
      <c r="L22" s="1566"/>
      <c r="M22" s="1566"/>
      <c r="N22" s="1566"/>
      <c r="O22" s="1566"/>
      <c r="P22" s="1566"/>
      <c r="Q22" s="1566"/>
      <c r="R22" s="1566"/>
    </row>
    <row r="23" spans="1:22" s="79" customFormat="1"/>
    <row r="24" spans="1:22" s="79" customFormat="1"/>
    <row r="25" spans="1:22" s="79" customFormat="1">
      <c r="A25" s="3780" t="s">
        <v>131</v>
      </c>
      <c r="B25" s="3781"/>
    </row>
    <row r="26" spans="1:22" s="79" customFormat="1">
      <c r="A26" s="3782"/>
      <c r="B26" s="3783"/>
    </row>
    <row r="27" spans="1:22" s="79" customFormat="1">
      <c r="A27" s="3776" t="s">
        <v>201</v>
      </c>
      <c r="B27" s="3776"/>
      <c r="C27" s="1567">
        <f>DO!E233</f>
        <v>0</v>
      </c>
      <c r="D27" s="1567">
        <f>DO!F233</f>
        <v>0</v>
      </c>
      <c r="E27" s="1567">
        <f>DO!G233</f>
        <v>0</v>
      </c>
      <c r="F27" s="1567">
        <f>DO!H233</f>
        <v>0</v>
      </c>
      <c r="G27" s="1567">
        <f>DO!I233</f>
        <v>1</v>
      </c>
      <c r="H27" s="1567">
        <f>DO!J233</f>
        <v>0</v>
      </c>
      <c r="I27" s="1567">
        <f>DO!K233</f>
        <v>0</v>
      </c>
      <c r="J27" s="1567">
        <f>DO!L233</f>
        <v>0</v>
      </c>
      <c r="K27" s="1567">
        <f>DO!M233</f>
        <v>0</v>
      </c>
      <c r="L27" s="1567">
        <f>DO!N233</f>
        <v>0</v>
      </c>
      <c r="M27" s="1567">
        <f>DO!O233</f>
        <v>0</v>
      </c>
      <c r="N27" s="1567" t="e">
        <f>DO!P233</f>
        <v>#REF!</v>
      </c>
      <c r="O27" s="1567">
        <f>DO!Q233</f>
        <v>0</v>
      </c>
      <c r="P27" s="1567">
        <f>DO!R233</f>
        <v>0</v>
      </c>
      <c r="Q27" s="1567">
        <f>DO!S233</f>
        <v>0</v>
      </c>
      <c r="R27" s="1567">
        <f>DO!T233</f>
        <v>0</v>
      </c>
      <c r="S27" s="1567">
        <f>DO!U233</f>
        <v>0</v>
      </c>
      <c r="T27" s="1567">
        <f>DO!V233</f>
        <v>0</v>
      </c>
      <c r="U27" s="1567">
        <f>DO!W233</f>
        <v>0</v>
      </c>
      <c r="V27" s="1567">
        <f>DO!X233</f>
        <v>0</v>
      </c>
    </row>
    <row r="28" spans="1:22" s="79" customFormat="1">
      <c r="A28" s="3776" t="s">
        <v>203</v>
      </c>
      <c r="B28" s="3776"/>
      <c r="C28" s="1568">
        <f>BOD!D227</f>
        <v>0.66666666666666663</v>
      </c>
      <c r="D28" s="1568">
        <f>BOD!E227</f>
        <v>1</v>
      </c>
      <c r="E28" s="1568">
        <f>BOD!F227</f>
        <v>1</v>
      </c>
      <c r="F28" s="1568">
        <f>BOD!G227</f>
        <v>1</v>
      </c>
      <c r="G28" s="1568">
        <f>BOD!H227</f>
        <v>0.33333333333333331</v>
      </c>
      <c r="H28" s="1568">
        <f>BOD!I227</f>
        <v>0.66666666666666663</v>
      </c>
      <c r="I28" s="1568">
        <f>BOD!J227</f>
        <v>1</v>
      </c>
      <c r="J28" s="1568">
        <f>BOD!K227</f>
        <v>0</v>
      </c>
      <c r="K28" s="1568">
        <f>BOD!L227</f>
        <v>0</v>
      </c>
      <c r="L28" s="1568">
        <f>BOD!M227</f>
        <v>0.66666666666666663</v>
      </c>
      <c r="M28" s="1568">
        <f>BOD!N227</f>
        <v>1</v>
      </c>
      <c r="N28" s="1568">
        <f>BOD!O227</f>
        <v>1</v>
      </c>
      <c r="O28" s="1568">
        <f>BOD!P227</f>
        <v>0</v>
      </c>
      <c r="P28" s="1568">
        <f>BOD!Q227</f>
        <v>0</v>
      </c>
      <c r="Q28" s="1568">
        <f>BOD!R227</f>
        <v>0</v>
      </c>
      <c r="R28" s="1568">
        <f>BOD!S227</f>
        <v>0</v>
      </c>
      <c r="S28" s="1568">
        <f>BOD!T227</f>
        <v>0</v>
      </c>
      <c r="T28" s="1568">
        <f>BOD!U227</f>
        <v>0</v>
      </c>
      <c r="U28" s="1568">
        <f>BOD!V227</f>
        <v>0</v>
      </c>
      <c r="V28" s="1568">
        <f>BOD!W227</f>
        <v>0</v>
      </c>
    </row>
    <row r="29" spans="1:22" s="79" customFormat="1">
      <c r="A29" s="3776" t="s">
        <v>204</v>
      </c>
      <c r="B29" s="3776"/>
      <c r="C29" s="1568">
        <f>TSS!D167</f>
        <v>1</v>
      </c>
      <c r="D29" s="1568">
        <f>TSS!E167</f>
        <v>1</v>
      </c>
      <c r="E29" s="1568">
        <f>TSS!F167</f>
        <v>0.66666666666666663</v>
      </c>
      <c r="F29" s="1568">
        <f>TSS!G167</f>
        <v>1</v>
      </c>
      <c r="G29" s="1568">
        <f>TSS!H167</f>
        <v>1</v>
      </c>
      <c r="H29" s="1568">
        <f>TSS!I167</f>
        <v>1</v>
      </c>
      <c r="I29" s="1568">
        <f>TSS!J167</f>
        <v>1</v>
      </c>
      <c r="J29" s="1568">
        <f>TSS!K167</f>
        <v>1</v>
      </c>
      <c r="K29" s="1568">
        <f>TSS!L167</f>
        <v>1</v>
      </c>
      <c r="L29" s="1568">
        <f>TSS!M167</f>
        <v>1</v>
      </c>
      <c r="M29" s="1568">
        <f>TSS!N167</f>
        <v>1</v>
      </c>
      <c r="N29" s="1568">
        <f>TSS!O167</f>
        <v>1</v>
      </c>
      <c r="O29" s="1568">
        <f>TSS!P167</f>
        <v>1</v>
      </c>
      <c r="P29" s="1568">
        <f>TSS!Q167</f>
        <v>1</v>
      </c>
      <c r="Q29" s="1568">
        <f>TSS!R167</f>
        <v>1</v>
      </c>
      <c r="R29" s="1568">
        <f>TSS!S167</f>
        <v>1</v>
      </c>
      <c r="S29" s="1568">
        <f>TSS!T167</f>
        <v>1</v>
      </c>
      <c r="T29" s="1568">
        <f>TSS!U167</f>
        <v>1</v>
      </c>
      <c r="U29" s="1568">
        <f>TSS!V167</f>
        <v>0</v>
      </c>
      <c r="V29" s="1568">
        <f>TSS!W167</f>
        <v>0</v>
      </c>
    </row>
    <row r="30" spans="1:22" s="79" customFormat="1">
      <c r="A30" s="3776" t="s">
        <v>199</v>
      </c>
      <c r="B30" s="3776"/>
      <c r="C30" s="1568">
        <f>pH!D227</f>
        <v>0.66666666666666663</v>
      </c>
      <c r="D30" s="1568">
        <f>pH!E227</f>
        <v>1</v>
      </c>
      <c r="E30" s="1568">
        <f>pH!F227</f>
        <v>1</v>
      </c>
      <c r="F30" s="1568">
        <f>pH!G227</f>
        <v>1</v>
      </c>
      <c r="G30" s="1568">
        <f>pH!H227</f>
        <v>0</v>
      </c>
      <c r="H30" s="1568">
        <f>pH!I227</f>
        <v>1</v>
      </c>
      <c r="I30" s="1568">
        <f>pH!J227</f>
        <v>1</v>
      </c>
      <c r="J30" s="1568">
        <f>pH!K227</f>
        <v>1</v>
      </c>
      <c r="K30" s="1568">
        <f>pH!L227</f>
        <v>1</v>
      </c>
      <c r="L30" s="1568">
        <f>pH!M227</f>
        <v>1</v>
      </c>
      <c r="M30" s="1568">
        <f>pH!N227</f>
        <v>1</v>
      </c>
      <c r="N30" s="1568">
        <f>pH!O227</f>
        <v>1</v>
      </c>
      <c r="O30" s="1568">
        <f>pH!P227</f>
        <v>1</v>
      </c>
      <c r="P30" s="1568">
        <f>pH!Q227</f>
        <v>1</v>
      </c>
      <c r="Q30" s="1568">
        <f>pH!R227</f>
        <v>1</v>
      </c>
      <c r="R30" s="1568">
        <f>pH!S227</f>
        <v>1</v>
      </c>
      <c r="S30" s="1568">
        <f>pH!T227</f>
        <v>1</v>
      </c>
      <c r="T30" s="1568">
        <f>pH!U227</f>
        <v>1</v>
      </c>
      <c r="U30" s="1568">
        <f>pH!V227</f>
        <v>1</v>
      </c>
      <c r="V30" s="1568">
        <f>pH!W227</f>
        <v>1</v>
      </c>
    </row>
    <row r="31" spans="1:22" s="79" customFormat="1">
      <c r="A31" s="3776" t="s">
        <v>170</v>
      </c>
      <c r="B31" s="3776"/>
      <c r="C31" s="1568" t="e">
        <f>Nitrate!D224</f>
        <v>#DIV/0!</v>
      </c>
      <c r="D31" s="1568" t="e">
        <f>Nitrate!E224</f>
        <v>#DIV/0!</v>
      </c>
      <c r="E31" s="1568" t="e">
        <f>Nitrate!F224</f>
        <v>#DIV/0!</v>
      </c>
      <c r="F31" s="1568" t="e">
        <f>Nitrate!G224</f>
        <v>#DIV/0!</v>
      </c>
      <c r="G31" s="1568" t="e">
        <f>Nitrate!H224</f>
        <v>#DIV/0!</v>
      </c>
      <c r="H31" s="1568">
        <f>Nitrate!I224</f>
        <v>1</v>
      </c>
      <c r="I31" s="1568">
        <f>Nitrate!J224</f>
        <v>1</v>
      </c>
      <c r="J31" s="1568">
        <f>Nitrate!K224</f>
        <v>1</v>
      </c>
      <c r="K31" s="1568">
        <f>Nitrate!L224</f>
        <v>1</v>
      </c>
      <c r="L31" s="1568" t="e">
        <f>Nitrate!M224</f>
        <v>#DIV/0!</v>
      </c>
      <c r="M31" s="1568">
        <f>Nitrate!N224</f>
        <v>1</v>
      </c>
      <c r="N31" s="1568" t="e">
        <f>Nitrate!O224</f>
        <v>#DIV/0!</v>
      </c>
      <c r="O31" s="1568">
        <f>Nitrate!P224</f>
        <v>1</v>
      </c>
      <c r="P31" s="1568">
        <f>Nitrate!Q224</f>
        <v>1</v>
      </c>
      <c r="Q31" s="1568">
        <f>Nitrate!R224</f>
        <v>1</v>
      </c>
      <c r="R31" s="1568">
        <f>Nitrate!S224</f>
        <v>1</v>
      </c>
      <c r="S31" s="1568">
        <f>Nitrate!T224</f>
        <v>1</v>
      </c>
      <c r="T31" s="1568">
        <f>Nitrate!U224</f>
        <v>1</v>
      </c>
      <c r="U31" s="1568">
        <f>Nitrate!V224</f>
        <v>1</v>
      </c>
      <c r="V31" s="1568">
        <f>Nitrate!W224</f>
        <v>1</v>
      </c>
    </row>
    <row r="32" spans="1:22" s="79" customFormat="1">
      <c r="A32" s="3777" t="s">
        <v>169</v>
      </c>
      <c r="B32" s="3777"/>
      <c r="C32" s="1569" t="e">
        <f>Phosphate!D228</f>
        <v>#DIV/0!</v>
      </c>
      <c r="D32" s="1569" t="e">
        <f>Phosphate!E228</f>
        <v>#DIV/0!</v>
      </c>
      <c r="E32" s="1569" t="e">
        <f>Phosphate!F228</f>
        <v>#DIV/0!</v>
      </c>
      <c r="F32" s="1569" t="e">
        <f>Phosphate!G228</f>
        <v>#DIV/0!</v>
      </c>
      <c r="G32" s="1569" t="e">
        <f>Phosphate!H228</f>
        <v>#DIV/0!</v>
      </c>
      <c r="H32" s="1569">
        <f>Phosphate!I228</f>
        <v>0</v>
      </c>
      <c r="I32" s="1569">
        <f>Phosphate!J228</f>
        <v>0</v>
      </c>
      <c r="J32" s="1569">
        <f>Phosphate!K228</f>
        <v>0</v>
      </c>
      <c r="K32" s="1569">
        <f>Phosphate!L228</f>
        <v>0</v>
      </c>
      <c r="L32" s="1569" t="e">
        <f>Phosphate!M228</f>
        <v>#DIV/0!</v>
      </c>
      <c r="M32" s="1569">
        <f>Phosphate!N228</f>
        <v>0</v>
      </c>
      <c r="N32" s="1569" t="e">
        <f>Phosphate!O228</f>
        <v>#DIV/0!</v>
      </c>
      <c r="O32" s="1569">
        <f>Phosphate!P228</f>
        <v>0</v>
      </c>
      <c r="P32" s="1569">
        <f>Phosphate!Q228</f>
        <v>0</v>
      </c>
      <c r="Q32" s="1569">
        <f>Phosphate!R228</f>
        <v>0</v>
      </c>
      <c r="R32" s="1569">
        <f>Phosphate!S228</f>
        <v>0</v>
      </c>
      <c r="S32" s="1569">
        <f>Phosphate!T228</f>
        <v>0</v>
      </c>
      <c r="T32" s="1569">
        <f>Phosphate!U228</f>
        <v>0</v>
      </c>
      <c r="U32" s="1569">
        <f>Phosphate!V228</f>
        <v>0</v>
      </c>
      <c r="V32" s="1569">
        <f>Phosphate!W228</f>
        <v>0</v>
      </c>
    </row>
    <row r="33" spans="1:22" s="79" customFormat="1">
      <c r="A33" s="3776" t="s">
        <v>198</v>
      </c>
      <c r="B33" s="3776"/>
      <c r="C33" s="1568"/>
      <c r="D33" s="1568"/>
      <c r="E33" s="1568"/>
      <c r="F33" s="1568"/>
      <c r="G33" s="1568"/>
      <c r="H33" s="1568"/>
      <c r="I33" s="1568"/>
      <c r="J33" s="1568"/>
      <c r="K33" s="1568"/>
      <c r="L33" s="1568"/>
      <c r="M33" s="1568"/>
      <c r="N33" s="1568"/>
      <c r="O33" s="1568"/>
      <c r="P33" s="1568"/>
      <c r="Q33" s="1568"/>
      <c r="R33" s="1568"/>
      <c r="S33" s="1568"/>
      <c r="T33" s="1568"/>
      <c r="U33" s="1568"/>
      <c r="V33" s="1568"/>
    </row>
    <row r="34" spans="1:22" s="79" customFormat="1"/>
    <row r="35" spans="1:22" s="79" customFormat="1"/>
    <row r="36" spans="1:22" s="79" customFormat="1">
      <c r="A36" s="3780" t="s">
        <v>185</v>
      </c>
      <c r="B36" s="3781"/>
    </row>
    <row r="37" spans="1:22" s="79" customFormat="1">
      <c r="A37" s="3782"/>
      <c r="B37" s="3783"/>
    </row>
    <row r="38" spans="1:22" s="79" customFormat="1">
      <c r="A38" s="3776" t="s">
        <v>201</v>
      </c>
      <c r="B38" s="3776"/>
      <c r="C38" s="1567">
        <f>DO!E236</f>
        <v>0.33333333333333331</v>
      </c>
      <c r="D38" s="1567">
        <f>DO!F236</f>
        <v>0</v>
      </c>
      <c r="E38" s="1567">
        <f>DO!G236</f>
        <v>0.33333333333333331</v>
      </c>
      <c r="F38" s="1567">
        <f>DO!H236</f>
        <v>0.33333333333333331</v>
      </c>
      <c r="G38" s="1567">
        <f>DO!I236</f>
        <v>1</v>
      </c>
      <c r="H38" s="1567">
        <f>DO!J236</f>
        <v>0</v>
      </c>
      <c r="I38" s="1567">
        <f>DO!K236</f>
        <v>1</v>
      </c>
      <c r="J38" s="1567">
        <f>DO!L236</f>
        <v>0</v>
      </c>
      <c r="K38" s="1567" t="e">
        <f>DO!M236</f>
        <v>#DIV/0!</v>
      </c>
      <c r="L38" s="1567">
        <f>DO!N236</f>
        <v>0</v>
      </c>
      <c r="M38" s="1567">
        <f>DO!O236</f>
        <v>0</v>
      </c>
      <c r="N38" s="1567" t="e">
        <f>DO!P236</f>
        <v>#REF!</v>
      </c>
      <c r="O38" s="1567">
        <f>DO!Q236</f>
        <v>0</v>
      </c>
      <c r="P38" s="1567">
        <f>DO!R236</f>
        <v>0</v>
      </c>
      <c r="Q38" s="1567">
        <f>DO!S236</f>
        <v>0</v>
      </c>
      <c r="R38" s="1567" t="e">
        <f>DO!T236</f>
        <v>#DIV/0!</v>
      </c>
      <c r="S38" s="1567" t="e">
        <f>DO!U236</f>
        <v>#DIV/0!</v>
      </c>
      <c r="T38" s="1567" t="e">
        <f>DO!V236</f>
        <v>#DIV/0!</v>
      </c>
      <c r="U38" s="1567" t="e">
        <f>DO!W236</f>
        <v>#DIV/0!</v>
      </c>
      <c r="V38" s="1567">
        <f>DO!X236</f>
        <v>0</v>
      </c>
    </row>
    <row r="39" spans="1:22" s="79" customFormat="1">
      <c r="A39" s="3776" t="s">
        <v>203</v>
      </c>
      <c r="B39" s="3776"/>
      <c r="C39" s="1567">
        <f>BOD!D230</f>
        <v>0.33333333333333331</v>
      </c>
      <c r="D39" s="1567">
        <f>BOD!E230</f>
        <v>0</v>
      </c>
      <c r="E39" s="1567">
        <f>BOD!F230</f>
        <v>1</v>
      </c>
      <c r="F39" s="1567">
        <f>BOD!G230</f>
        <v>1</v>
      </c>
      <c r="G39" s="1567">
        <f>BOD!H230</f>
        <v>1</v>
      </c>
      <c r="H39" s="1567">
        <f>BOD!I230</f>
        <v>0.33333333333333331</v>
      </c>
      <c r="I39" s="1567">
        <f>BOD!J230</f>
        <v>1</v>
      </c>
      <c r="J39" s="1567">
        <f>BOD!K230</f>
        <v>0.66666666666666663</v>
      </c>
      <c r="K39" s="1567">
        <f>BOD!L230</f>
        <v>0</v>
      </c>
      <c r="L39" s="1567">
        <f>BOD!M230</f>
        <v>0</v>
      </c>
      <c r="M39" s="1567">
        <f>BOD!N230</f>
        <v>0.66666666666666663</v>
      </c>
      <c r="N39" s="1567">
        <f>BOD!O230</f>
        <v>1</v>
      </c>
      <c r="O39" s="1567">
        <f>BOD!P230</f>
        <v>0</v>
      </c>
      <c r="P39" s="1567">
        <f>BOD!Q230</f>
        <v>0</v>
      </c>
      <c r="Q39" s="1567">
        <f>BOD!R230</f>
        <v>0</v>
      </c>
      <c r="R39" s="1567">
        <f>BOD!S230</f>
        <v>0</v>
      </c>
      <c r="S39" s="1567" t="e">
        <f>BOD!T230</f>
        <v>#DIV/0!</v>
      </c>
      <c r="T39" s="1567" t="e">
        <f>BOD!U230</f>
        <v>#DIV/0!</v>
      </c>
      <c r="U39" s="1567">
        <f>BOD!V230</f>
        <v>0</v>
      </c>
      <c r="V39" s="1567">
        <f>BOD!W230</f>
        <v>0</v>
      </c>
    </row>
    <row r="40" spans="1:22" s="79" customFormat="1">
      <c r="A40" s="3776" t="s">
        <v>204</v>
      </c>
      <c r="B40" s="3776"/>
      <c r="C40" s="1567">
        <f>TSS!D170</f>
        <v>1</v>
      </c>
      <c r="D40" s="1567">
        <f>TSS!E170</f>
        <v>1</v>
      </c>
      <c r="E40" s="1567">
        <f>TSS!F170</f>
        <v>1</v>
      </c>
      <c r="F40" s="1567">
        <f>TSS!G170</f>
        <v>1</v>
      </c>
      <c r="G40" s="1567">
        <f>TSS!H170</f>
        <v>1</v>
      </c>
      <c r="H40" s="1567">
        <f>TSS!I170</f>
        <v>1</v>
      </c>
      <c r="I40" s="1567">
        <f>TSS!J170</f>
        <v>0.33333333333333331</v>
      </c>
      <c r="J40" s="1567">
        <f>TSS!K170</f>
        <v>1</v>
      </c>
      <c r="K40" s="1567" t="e">
        <f>TSS!L170</f>
        <v>#DIV/0!</v>
      </c>
      <c r="L40" s="1567">
        <f>TSS!M170</f>
        <v>0.66666666666666663</v>
      </c>
      <c r="M40" s="1567">
        <f>TSS!N170</f>
        <v>1</v>
      </c>
      <c r="N40" s="1567">
        <f>TSS!O170</f>
        <v>0.33333333333333331</v>
      </c>
      <c r="O40" s="1567">
        <f>TSS!P170</f>
        <v>1</v>
      </c>
      <c r="P40" s="1567">
        <f>TSS!Q170</f>
        <v>0.66666666666666663</v>
      </c>
      <c r="Q40" s="1567">
        <f>TSS!R170</f>
        <v>1</v>
      </c>
      <c r="R40" s="1567">
        <f>TSS!S170</f>
        <v>1</v>
      </c>
      <c r="S40" s="1567" t="e">
        <f>TSS!T170</f>
        <v>#DIV/0!</v>
      </c>
      <c r="T40" s="1567" t="e">
        <f>TSS!U170</f>
        <v>#DIV/0!</v>
      </c>
      <c r="U40" s="1567">
        <f>TSS!V170</f>
        <v>0</v>
      </c>
      <c r="V40" s="1567">
        <f>TSS!W170</f>
        <v>0</v>
      </c>
    </row>
    <row r="41" spans="1:22" s="79" customFormat="1">
      <c r="A41" s="3776" t="s">
        <v>199</v>
      </c>
      <c r="B41" s="3776"/>
      <c r="C41" s="1567">
        <f>pH!D230</f>
        <v>0.66666666666666663</v>
      </c>
      <c r="D41" s="1567">
        <f>pH!E230</f>
        <v>1</v>
      </c>
      <c r="E41" s="1567">
        <f>pH!F230</f>
        <v>1</v>
      </c>
      <c r="F41" s="1567">
        <f>pH!G230</f>
        <v>1</v>
      </c>
      <c r="G41" s="1567">
        <f>pH!H230</f>
        <v>0.33333333333333331</v>
      </c>
      <c r="H41" s="1567">
        <f>pH!I230</f>
        <v>0.66666666666666663</v>
      </c>
      <c r="I41" s="1567">
        <f>pH!J230</f>
        <v>1</v>
      </c>
      <c r="J41" s="1567">
        <f>pH!K230</f>
        <v>1</v>
      </c>
      <c r="K41" s="1567" t="e">
        <f>pH!L230</f>
        <v>#DIV/0!</v>
      </c>
      <c r="L41" s="1567">
        <f>pH!M230</f>
        <v>1</v>
      </c>
      <c r="M41" s="1567">
        <f>pH!N230</f>
        <v>1</v>
      </c>
      <c r="N41" s="1567">
        <f>pH!O230</f>
        <v>0.66666666666666663</v>
      </c>
      <c r="O41" s="1567">
        <f>pH!P230</f>
        <v>1</v>
      </c>
      <c r="P41" s="1567">
        <f>pH!Q230</f>
        <v>1</v>
      </c>
      <c r="Q41" s="1567">
        <f>pH!R230</f>
        <v>1</v>
      </c>
      <c r="R41" s="1567">
        <f>pH!S230</f>
        <v>0.66666666666666663</v>
      </c>
      <c r="S41" s="1567" t="e">
        <f>pH!T230</f>
        <v>#DIV/0!</v>
      </c>
      <c r="T41" s="1567" t="e">
        <f>pH!U230</f>
        <v>#DIV/0!</v>
      </c>
      <c r="U41" s="1567" t="e">
        <f>pH!V230</f>
        <v>#DIV/0!</v>
      </c>
      <c r="V41" s="1567">
        <f>pH!W230</f>
        <v>1</v>
      </c>
    </row>
    <row r="42" spans="1:22" s="79" customFormat="1">
      <c r="A42" s="3776" t="s">
        <v>170</v>
      </c>
      <c r="B42" s="3776"/>
      <c r="C42" s="1567" t="e">
        <f>Nitrate!D227</f>
        <v>#DIV/0!</v>
      </c>
      <c r="D42" s="1567" t="e">
        <f>Nitrate!E227</f>
        <v>#DIV/0!</v>
      </c>
      <c r="E42" s="1567" t="e">
        <f>Nitrate!F227</f>
        <v>#DIV/0!</v>
      </c>
      <c r="F42" s="1567" t="e">
        <f>Nitrate!G227</f>
        <v>#DIV/0!</v>
      </c>
      <c r="G42" s="1567" t="e">
        <f>Nitrate!H227</f>
        <v>#DIV/0!</v>
      </c>
      <c r="H42" s="1567">
        <f>Nitrate!I227</f>
        <v>1</v>
      </c>
      <c r="I42" s="1567">
        <f>Nitrate!J227</f>
        <v>1</v>
      </c>
      <c r="J42" s="1567">
        <f>Nitrate!K227</f>
        <v>1</v>
      </c>
      <c r="K42" s="1567" t="e">
        <f>Nitrate!L227</f>
        <v>#DIV/0!</v>
      </c>
      <c r="L42" s="1567" t="e">
        <f>Nitrate!M227</f>
        <v>#DIV/0!</v>
      </c>
      <c r="M42" s="1567" t="e">
        <f>Nitrate!N227</f>
        <v>#DIV/0!</v>
      </c>
      <c r="N42" s="1567" t="e">
        <f>Nitrate!O227</f>
        <v>#DIV/0!</v>
      </c>
      <c r="O42" s="1567">
        <f>Nitrate!P227</f>
        <v>1</v>
      </c>
      <c r="P42" s="1567">
        <f>Nitrate!Q227</f>
        <v>1</v>
      </c>
      <c r="Q42" s="1567">
        <f>Nitrate!R227</f>
        <v>1</v>
      </c>
      <c r="R42" s="1567">
        <f>Nitrate!S227</f>
        <v>1</v>
      </c>
      <c r="S42" s="1567" t="e">
        <f>Nitrate!T227</f>
        <v>#DIV/0!</v>
      </c>
      <c r="T42" s="1567" t="e">
        <f>Nitrate!U227</f>
        <v>#DIV/0!</v>
      </c>
      <c r="U42" s="1567" t="e">
        <f>Nitrate!V227</f>
        <v>#DIV/0!</v>
      </c>
      <c r="V42" s="1567">
        <f>Nitrate!W227</f>
        <v>1</v>
      </c>
    </row>
    <row r="43" spans="1:22" s="79" customFormat="1">
      <c r="A43" s="3777" t="s">
        <v>169</v>
      </c>
      <c r="B43" s="3777"/>
      <c r="C43" s="1567" t="e">
        <f>Phosphate!D231</f>
        <v>#DIV/0!</v>
      </c>
      <c r="D43" s="1567" t="e">
        <f>Phosphate!E231</f>
        <v>#DIV/0!</v>
      </c>
      <c r="E43" s="1567" t="e">
        <f>Phosphate!F231</f>
        <v>#DIV/0!</v>
      </c>
      <c r="F43" s="1567" t="e">
        <f>Phosphate!G231</f>
        <v>#DIV/0!</v>
      </c>
      <c r="G43" s="1567" t="e">
        <f>Phosphate!H231</f>
        <v>#DIV/0!</v>
      </c>
      <c r="H43" s="1567">
        <f>Phosphate!I231</f>
        <v>0</v>
      </c>
      <c r="I43" s="1567">
        <f>Phosphate!J231</f>
        <v>0</v>
      </c>
      <c r="J43" s="1567">
        <f>Phosphate!K231</f>
        <v>0</v>
      </c>
      <c r="K43" s="1567" t="e">
        <f>Phosphate!L231</f>
        <v>#DIV/0!</v>
      </c>
      <c r="L43" s="1567" t="e">
        <f>Phosphate!M231</f>
        <v>#DIV/0!</v>
      </c>
      <c r="M43" s="1567" t="e">
        <f>Phosphate!N231</f>
        <v>#DIV/0!</v>
      </c>
      <c r="N43" s="1567" t="e">
        <f>Phosphate!O231</f>
        <v>#DIV/0!</v>
      </c>
      <c r="O43" s="1567">
        <f>Phosphate!P231</f>
        <v>0</v>
      </c>
      <c r="P43" s="1567">
        <f>Phosphate!Q231</f>
        <v>0</v>
      </c>
      <c r="Q43" s="1567">
        <f>Phosphate!R231</f>
        <v>0</v>
      </c>
      <c r="R43" s="1567">
        <f>Phosphate!S231</f>
        <v>0</v>
      </c>
      <c r="S43" s="1567" t="e">
        <f>Phosphate!T231</f>
        <v>#DIV/0!</v>
      </c>
      <c r="T43" s="1567" t="e">
        <f>Phosphate!U231</f>
        <v>#DIV/0!</v>
      </c>
      <c r="U43" s="1567" t="e">
        <f>Phosphate!V231</f>
        <v>#DIV/0!</v>
      </c>
      <c r="V43" s="1567">
        <f>Phosphate!W231</f>
        <v>0</v>
      </c>
    </row>
    <row r="44" spans="1:22" s="79" customFormat="1">
      <c r="A44" s="3776" t="s">
        <v>198</v>
      </c>
      <c r="B44" s="3776"/>
      <c r="C44" s="1568"/>
      <c r="D44" s="1568"/>
      <c r="E44" s="1568"/>
      <c r="F44" s="1568"/>
      <c r="G44" s="1568"/>
      <c r="H44" s="1568"/>
      <c r="I44" s="1568"/>
      <c r="J44" s="1568"/>
      <c r="K44" s="1568"/>
      <c r="L44" s="1568"/>
      <c r="M44" s="1568"/>
      <c r="N44" s="1568"/>
      <c r="O44" s="1568"/>
      <c r="P44" s="1568"/>
      <c r="Q44" s="1568"/>
      <c r="R44" s="1568"/>
      <c r="S44" s="1568"/>
      <c r="T44" s="1568"/>
      <c r="U44" s="1568"/>
      <c r="V44" s="1568"/>
    </row>
    <row r="45" spans="1:22" s="79" customFormat="1"/>
    <row r="46" spans="1:22" s="79" customFormat="1"/>
    <row r="47" spans="1:22" s="79" customFormat="1">
      <c r="A47" s="3780" t="s">
        <v>132</v>
      </c>
      <c r="B47" s="3781"/>
    </row>
    <row r="48" spans="1:22" s="79" customFormat="1">
      <c r="A48" s="3782"/>
      <c r="B48" s="3783"/>
    </row>
    <row r="49" spans="1:22" s="79" customFormat="1">
      <c r="A49" s="3776" t="s">
        <v>201</v>
      </c>
      <c r="B49" s="3776"/>
      <c r="C49" s="1568">
        <f>DO!E239</f>
        <v>0</v>
      </c>
      <c r="D49" s="1568">
        <f>DO!F239</f>
        <v>0</v>
      </c>
      <c r="E49" s="1568">
        <f>DO!G239</f>
        <v>0</v>
      </c>
      <c r="F49" s="1568">
        <f>DO!H239</f>
        <v>0.2</v>
      </c>
      <c r="G49" s="1568">
        <f>DO!I239</f>
        <v>0</v>
      </c>
      <c r="H49" s="1568">
        <f>DO!J239</f>
        <v>0.2</v>
      </c>
      <c r="I49" s="1568">
        <f>DO!K239</f>
        <v>0</v>
      </c>
      <c r="J49" s="1568">
        <f>DO!L239</f>
        <v>0</v>
      </c>
      <c r="K49" s="1568">
        <f>DO!M239</f>
        <v>0</v>
      </c>
      <c r="L49" s="1568">
        <f>DO!N239</f>
        <v>0</v>
      </c>
      <c r="M49" s="1568">
        <f>DO!O239</f>
        <v>0</v>
      </c>
      <c r="N49" s="1568" t="e">
        <f>DO!P239</f>
        <v>#REF!</v>
      </c>
      <c r="O49" s="1568">
        <f>DO!Q239</f>
        <v>0</v>
      </c>
      <c r="P49" s="1568">
        <f>DO!R239</f>
        <v>0</v>
      </c>
      <c r="Q49" s="1568">
        <f>DO!S239</f>
        <v>0</v>
      </c>
      <c r="R49" s="1568">
        <f>DO!T239</f>
        <v>0</v>
      </c>
      <c r="S49" s="1568">
        <f>DO!U239</f>
        <v>0</v>
      </c>
      <c r="T49" s="1568">
        <f>DO!V239</f>
        <v>0</v>
      </c>
      <c r="U49" s="1568">
        <f>DO!W239</f>
        <v>0</v>
      </c>
      <c r="V49" s="1568">
        <f>DO!X239</f>
        <v>0</v>
      </c>
    </row>
    <row r="50" spans="1:22" s="79" customFormat="1">
      <c r="A50" s="3776" t="s">
        <v>203</v>
      </c>
      <c r="B50" s="3776"/>
      <c r="C50" s="1568">
        <f>BOD!D233</f>
        <v>0</v>
      </c>
      <c r="D50" s="1568">
        <f>BOD!E233</f>
        <v>0.2</v>
      </c>
      <c r="E50" s="1568">
        <f>BOD!F233</f>
        <v>0.8</v>
      </c>
      <c r="F50" s="1568">
        <f>BOD!G233</f>
        <v>0.4</v>
      </c>
      <c r="G50" s="1568">
        <f>BOD!H233</f>
        <v>0</v>
      </c>
      <c r="H50" s="1568">
        <f>BOD!I233</f>
        <v>0</v>
      </c>
      <c r="I50" s="1568">
        <f>BOD!J233</f>
        <v>0</v>
      </c>
      <c r="J50" s="1568">
        <f>BOD!K233</f>
        <v>0</v>
      </c>
      <c r="K50" s="1568">
        <f>BOD!L233</f>
        <v>0</v>
      </c>
      <c r="L50" s="1568">
        <f>BOD!M233</f>
        <v>0</v>
      </c>
      <c r="M50" s="1568">
        <f>BOD!N233</f>
        <v>1</v>
      </c>
      <c r="N50" s="1568">
        <f>BOD!O233</f>
        <v>0.6</v>
      </c>
      <c r="O50" s="1568">
        <f>BOD!P233</f>
        <v>0</v>
      </c>
      <c r="P50" s="1568">
        <f>BOD!Q233</f>
        <v>0.2</v>
      </c>
      <c r="Q50" s="1568">
        <f>BOD!R233</f>
        <v>0.4</v>
      </c>
      <c r="R50" s="1568">
        <f>BOD!S233</f>
        <v>0</v>
      </c>
      <c r="S50" s="1568">
        <f>BOD!T233</f>
        <v>0</v>
      </c>
      <c r="T50" s="1568">
        <f>BOD!U233</f>
        <v>0</v>
      </c>
      <c r="U50" s="1568">
        <f>BOD!V233</f>
        <v>0</v>
      </c>
      <c r="V50" s="1568">
        <f>BOD!W233</f>
        <v>0</v>
      </c>
    </row>
    <row r="51" spans="1:22" s="79" customFormat="1">
      <c r="A51" s="3776" t="s">
        <v>204</v>
      </c>
      <c r="B51" s="3776"/>
      <c r="C51" s="1568">
        <f>TSS!D173</f>
        <v>1</v>
      </c>
      <c r="D51" s="1568">
        <f>TSS!E173</f>
        <v>0</v>
      </c>
      <c r="E51" s="1568">
        <f>TSS!F173</f>
        <v>0</v>
      </c>
      <c r="F51" s="1568">
        <f>TSS!G173</f>
        <v>0.8</v>
      </c>
      <c r="G51" s="1568">
        <f>TSS!H173</f>
        <v>1</v>
      </c>
      <c r="H51" s="1568">
        <f>TSS!I173</f>
        <v>1</v>
      </c>
      <c r="I51" s="1568">
        <f>TSS!J173</f>
        <v>1</v>
      </c>
      <c r="J51" s="1568">
        <f>TSS!K173</f>
        <v>1</v>
      </c>
      <c r="K51" s="1568">
        <f>TSS!L173</f>
        <v>1</v>
      </c>
      <c r="L51" s="1568">
        <f>TSS!M173</f>
        <v>0.2</v>
      </c>
      <c r="M51" s="1568">
        <f>TSS!N173</f>
        <v>0.4</v>
      </c>
      <c r="N51" s="1568">
        <f>TSS!O173</f>
        <v>1</v>
      </c>
      <c r="O51" s="1568">
        <f>TSS!P173</f>
        <v>1</v>
      </c>
      <c r="P51" s="1568">
        <f>TSS!Q173</f>
        <v>1</v>
      </c>
      <c r="Q51" s="1568">
        <f>TSS!R173</f>
        <v>1</v>
      </c>
      <c r="R51" s="1568">
        <f>TSS!S173</f>
        <v>1</v>
      </c>
      <c r="S51" s="1568">
        <f>TSS!T173</f>
        <v>1</v>
      </c>
      <c r="T51" s="1568">
        <f>TSS!U173</f>
        <v>0.8</v>
      </c>
      <c r="U51" s="1568">
        <f>TSS!V173</f>
        <v>0</v>
      </c>
      <c r="V51" s="1568">
        <f>TSS!W173</f>
        <v>0</v>
      </c>
    </row>
    <row r="52" spans="1:22" s="79" customFormat="1">
      <c r="A52" s="3776" t="s">
        <v>199</v>
      </c>
      <c r="B52" s="3776"/>
      <c r="C52" s="1568">
        <f>pH!D233</f>
        <v>0.2</v>
      </c>
      <c r="D52" s="1568">
        <f>pH!E233</f>
        <v>1</v>
      </c>
      <c r="E52" s="1568">
        <f>pH!F233</f>
        <v>1</v>
      </c>
      <c r="F52" s="1568">
        <f>pH!G233</f>
        <v>0.8</v>
      </c>
      <c r="G52" s="1568">
        <f>pH!H233</f>
        <v>1</v>
      </c>
      <c r="H52" s="1568">
        <f>pH!I233</f>
        <v>0.6</v>
      </c>
      <c r="I52" s="1568">
        <f>pH!J233</f>
        <v>1</v>
      </c>
      <c r="J52" s="1568">
        <f>pH!K233</f>
        <v>1</v>
      </c>
      <c r="K52" s="1568">
        <f>pH!L233</f>
        <v>0.8</v>
      </c>
      <c r="L52" s="1568">
        <f>pH!M233</f>
        <v>1</v>
      </c>
      <c r="M52" s="1568">
        <f>pH!N233</f>
        <v>1</v>
      </c>
      <c r="N52" s="1568">
        <f>pH!O233</f>
        <v>1</v>
      </c>
      <c r="O52" s="1568">
        <f>pH!P233</f>
        <v>0.8</v>
      </c>
      <c r="P52" s="1568">
        <f>pH!Q233</f>
        <v>1</v>
      </c>
      <c r="Q52" s="1568">
        <f>pH!R233</f>
        <v>1</v>
      </c>
      <c r="R52" s="1568">
        <f>pH!S233</f>
        <v>1</v>
      </c>
      <c r="S52" s="1568">
        <f>pH!T233</f>
        <v>1</v>
      </c>
      <c r="T52" s="1568">
        <f>pH!U233</f>
        <v>1</v>
      </c>
      <c r="U52" s="1568">
        <f>pH!V233</f>
        <v>1</v>
      </c>
      <c r="V52" s="1568">
        <f>pH!W233</f>
        <v>1</v>
      </c>
    </row>
    <row r="53" spans="1:22" s="79" customFormat="1">
      <c r="A53" s="3776" t="s">
        <v>170</v>
      </c>
      <c r="B53" s="3776"/>
      <c r="C53" s="1568" t="e">
        <f>Nitrate!D230</f>
        <v>#DIV/0!</v>
      </c>
      <c r="D53" s="1568">
        <f>Nitrate!E230</f>
        <v>0</v>
      </c>
      <c r="E53" s="1568">
        <f>Nitrate!F230</f>
        <v>0</v>
      </c>
      <c r="F53" s="1568">
        <f>Nitrate!G230</f>
        <v>0</v>
      </c>
      <c r="G53" s="1568">
        <f>Nitrate!H230</f>
        <v>0</v>
      </c>
      <c r="H53" s="1568">
        <f>Nitrate!I230</f>
        <v>1</v>
      </c>
      <c r="I53" s="1568">
        <f>Nitrate!J230</f>
        <v>1</v>
      </c>
      <c r="J53" s="1568">
        <f>Nitrate!K230</f>
        <v>1</v>
      </c>
      <c r="K53" s="1568">
        <f>Nitrate!L230</f>
        <v>1</v>
      </c>
      <c r="L53" s="1568">
        <f>Nitrate!M230</f>
        <v>0</v>
      </c>
      <c r="M53" s="1568">
        <f>Nitrate!N230</f>
        <v>1</v>
      </c>
      <c r="N53" s="1568">
        <f>Nitrate!O230</f>
        <v>0</v>
      </c>
      <c r="O53" s="1568">
        <f>Nitrate!P230</f>
        <v>1</v>
      </c>
      <c r="P53" s="1568">
        <f>Nitrate!Q230</f>
        <v>1</v>
      </c>
      <c r="Q53" s="1568">
        <f>Nitrate!R230</f>
        <v>1</v>
      </c>
      <c r="R53" s="1568">
        <f>Nitrate!S230</f>
        <v>1</v>
      </c>
      <c r="S53" s="1568" t="e">
        <f>Nitrate!T230</f>
        <v>#DIV/0!</v>
      </c>
      <c r="T53" s="1568" t="e">
        <f>Nitrate!U230</f>
        <v>#DIV/0!</v>
      </c>
      <c r="U53" s="1568" t="e">
        <f>Nitrate!V230</f>
        <v>#DIV/0!</v>
      </c>
      <c r="V53" s="1568" t="e">
        <f>Nitrate!W230</f>
        <v>#DIV/0!</v>
      </c>
    </row>
    <row r="54" spans="1:22" s="79" customFormat="1">
      <c r="A54" s="3777" t="s">
        <v>169</v>
      </c>
      <c r="B54" s="3777"/>
      <c r="C54" s="1569" t="e">
        <f>Phosphate!D234</f>
        <v>#DIV/0!</v>
      </c>
      <c r="D54" s="1569" t="e">
        <f>Phosphate!E234</f>
        <v>#DIV/0!</v>
      </c>
      <c r="E54" s="1569" t="e">
        <f>Phosphate!F234</f>
        <v>#DIV/0!</v>
      </c>
      <c r="F54" s="1569" t="e">
        <f>Phosphate!G234</f>
        <v>#DIV/0!</v>
      </c>
      <c r="G54" s="1569" t="e">
        <f>Phosphate!H234</f>
        <v>#DIV/0!</v>
      </c>
      <c r="H54" s="1569">
        <f>Phosphate!I234</f>
        <v>0</v>
      </c>
      <c r="I54" s="1569">
        <f>Phosphate!J234</f>
        <v>0</v>
      </c>
      <c r="J54" s="1569">
        <f>Phosphate!K234</f>
        <v>0</v>
      </c>
      <c r="K54" s="1569">
        <f>Phosphate!L234</f>
        <v>0</v>
      </c>
      <c r="L54" s="1569" t="e">
        <f>Phosphate!M234</f>
        <v>#DIV/0!</v>
      </c>
      <c r="M54" s="1569">
        <f>Phosphate!N234</f>
        <v>0</v>
      </c>
      <c r="N54" s="1569" t="e">
        <f>Phosphate!O234</f>
        <v>#DIV/0!</v>
      </c>
      <c r="O54" s="1569">
        <f>Phosphate!P234</f>
        <v>0</v>
      </c>
      <c r="P54" s="1569">
        <f>Phosphate!Q234</f>
        <v>0</v>
      </c>
      <c r="Q54" s="1569">
        <f>Phosphate!R234</f>
        <v>0</v>
      </c>
      <c r="R54" s="1569">
        <f>Phosphate!S234</f>
        <v>0</v>
      </c>
      <c r="S54" s="1569">
        <f>Phosphate!T234</f>
        <v>0</v>
      </c>
      <c r="T54" s="1569">
        <f>Phosphate!U234</f>
        <v>0</v>
      </c>
      <c r="U54" s="1569">
        <f>Phosphate!V234</f>
        <v>0</v>
      </c>
      <c r="V54" s="1569">
        <f>Phosphate!W234</f>
        <v>0</v>
      </c>
    </row>
    <row r="55" spans="1:22" s="79" customFormat="1" ht="15.75" thickBot="1">
      <c r="A55" s="3776" t="s">
        <v>198</v>
      </c>
      <c r="B55" s="3776"/>
      <c r="C55" s="1568"/>
      <c r="D55" s="1568"/>
      <c r="E55" s="1568"/>
      <c r="F55" s="1570"/>
      <c r="G55" s="1571"/>
      <c r="H55" s="1572"/>
      <c r="I55" s="1572"/>
      <c r="J55" s="1573"/>
      <c r="K55" s="1571"/>
      <c r="L55" s="1572"/>
      <c r="M55" s="1572"/>
      <c r="N55" s="1574"/>
      <c r="O55" s="371"/>
      <c r="P55" s="321"/>
      <c r="Q55" s="321"/>
      <c r="R55" s="322"/>
      <c r="S55" s="371"/>
      <c r="T55" s="321"/>
      <c r="U55" s="321"/>
      <c r="V55" s="322"/>
    </row>
    <row r="56" spans="1:22" s="79" customFormat="1"/>
    <row r="57" spans="1:22" s="79" customFormat="1"/>
    <row r="58" spans="1:22" s="79" customFormat="1">
      <c r="A58" s="3780" t="s">
        <v>63</v>
      </c>
      <c r="B58" s="3781"/>
    </row>
    <row r="59" spans="1:22" s="79" customFormat="1">
      <c r="A59" s="3782"/>
      <c r="B59" s="3783"/>
    </row>
    <row r="60" spans="1:22" s="79" customFormat="1">
      <c r="A60" s="3776" t="s">
        <v>201</v>
      </c>
      <c r="B60" s="3776"/>
      <c r="C60" s="1568">
        <f>DO!E242</f>
        <v>0</v>
      </c>
      <c r="D60" s="1568">
        <f>DO!F242</f>
        <v>0</v>
      </c>
      <c r="E60" s="1568">
        <f>DO!G242</f>
        <v>0.6</v>
      </c>
      <c r="F60" s="1568">
        <f>DO!H242</f>
        <v>0.2</v>
      </c>
      <c r="G60" s="1568">
        <f>DO!I242</f>
        <v>0.2</v>
      </c>
      <c r="H60" s="1568">
        <f>DO!J242</f>
        <v>0</v>
      </c>
      <c r="I60" s="1568">
        <f>DO!K242</f>
        <v>0</v>
      </c>
      <c r="J60" s="1568">
        <f>DO!L242</f>
        <v>0</v>
      </c>
      <c r="K60" s="1568">
        <f>DO!M242</f>
        <v>0</v>
      </c>
      <c r="L60" s="1568">
        <f>DO!N242</f>
        <v>0</v>
      </c>
      <c r="M60" s="1568">
        <f>DO!O242</f>
        <v>0</v>
      </c>
      <c r="N60" s="1568" t="e">
        <f>DO!P242</f>
        <v>#REF!</v>
      </c>
      <c r="O60" s="1568">
        <f>DO!Q242</f>
        <v>0</v>
      </c>
      <c r="P60" s="1568">
        <f>DO!R242</f>
        <v>0</v>
      </c>
      <c r="Q60" s="1568">
        <f>DO!S242</f>
        <v>0</v>
      </c>
      <c r="R60" s="1568">
        <f>DO!T242</f>
        <v>0</v>
      </c>
      <c r="S60" s="1568">
        <f>DO!U242</f>
        <v>0</v>
      </c>
      <c r="T60" s="1568">
        <f>DO!V242</f>
        <v>0</v>
      </c>
      <c r="U60" s="1568">
        <f>DO!W242</f>
        <v>0</v>
      </c>
      <c r="V60" s="1568">
        <f>DO!X242</f>
        <v>0</v>
      </c>
    </row>
    <row r="61" spans="1:22" s="79" customFormat="1">
      <c r="A61" s="3776" t="s">
        <v>203</v>
      </c>
      <c r="B61" s="3776"/>
      <c r="C61" s="1568">
        <f>BOD!D236</f>
        <v>0</v>
      </c>
      <c r="D61" s="1568">
        <f>BOD!E236</f>
        <v>0</v>
      </c>
      <c r="E61" s="1568">
        <f>BOD!F236</f>
        <v>0.2</v>
      </c>
      <c r="F61" s="1568">
        <f>BOD!G236</f>
        <v>0</v>
      </c>
      <c r="G61" s="1568">
        <f>BOD!H236</f>
        <v>0</v>
      </c>
      <c r="H61" s="1568">
        <f>BOD!I236</f>
        <v>0</v>
      </c>
      <c r="I61" s="1568">
        <f>BOD!J236</f>
        <v>0</v>
      </c>
      <c r="J61" s="1568">
        <f>BOD!K236</f>
        <v>0</v>
      </c>
      <c r="K61" s="1568">
        <f>BOD!L236</f>
        <v>0</v>
      </c>
      <c r="L61" s="1568">
        <f>BOD!M236</f>
        <v>0</v>
      </c>
      <c r="M61" s="1568">
        <f>BOD!N236</f>
        <v>0.4</v>
      </c>
      <c r="N61" s="1568">
        <f>BOD!O236</f>
        <v>0</v>
      </c>
      <c r="O61" s="1568">
        <f>BOD!P236</f>
        <v>0</v>
      </c>
      <c r="P61" s="1568">
        <f>BOD!Q236</f>
        <v>0</v>
      </c>
      <c r="Q61" s="1568">
        <f>BOD!R236</f>
        <v>0</v>
      </c>
      <c r="R61" s="1568">
        <f>BOD!S236</f>
        <v>0</v>
      </c>
      <c r="S61" s="1568" t="e">
        <f>BOD!T236</f>
        <v>#DIV/0!</v>
      </c>
      <c r="T61" s="1568" t="e">
        <f>BOD!U236</f>
        <v>#DIV/0!</v>
      </c>
      <c r="U61" s="1568" t="e">
        <f>BOD!V236</f>
        <v>#DIV/0!</v>
      </c>
      <c r="V61" s="1568" t="e">
        <f>BOD!W236</f>
        <v>#DIV/0!</v>
      </c>
    </row>
    <row r="62" spans="1:22" s="79" customFormat="1">
      <c r="A62" s="3776" t="s">
        <v>204</v>
      </c>
      <c r="B62" s="3776"/>
      <c r="C62" s="1568">
        <f>TSS!D176</f>
        <v>0.8</v>
      </c>
      <c r="D62" s="1568">
        <f>TSS!E176</f>
        <v>0.8</v>
      </c>
      <c r="E62" s="1568">
        <f>TSS!F176</f>
        <v>0.8</v>
      </c>
      <c r="F62" s="1568">
        <f>TSS!G176</f>
        <v>0.6</v>
      </c>
      <c r="G62" s="1568">
        <f>TSS!H176</f>
        <v>1</v>
      </c>
      <c r="H62" s="1568">
        <f>TSS!I176</f>
        <v>0.6</v>
      </c>
      <c r="I62" s="1568">
        <f>TSS!J176</f>
        <v>1</v>
      </c>
      <c r="J62" s="1568">
        <f>TSS!K176</f>
        <v>0.8</v>
      </c>
      <c r="K62" s="1568">
        <f>TSS!L176</f>
        <v>0.6</v>
      </c>
      <c r="L62" s="1568">
        <f>TSS!M176</f>
        <v>0.2</v>
      </c>
      <c r="M62" s="1568">
        <f>TSS!N176</f>
        <v>1</v>
      </c>
      <c r="N62" s="1568">
        <f>TSS!O176</f>
        <v>1</v>
      </c>
      <c r="O62" s="1568">
        <f>TSS!P176</f>
        <v>1</v>
      </c>
      <c r="P62" s="1568">
        <f>TSS!Q176</f>
        <v>0.8</v>
      </c>
      <c r="Q62" s="1568">
        <f>TSS!R176</f>
        <v>1</v>
      </c>
      <c r="R62" s="1568">
        <f>TSS!S176</f>
        <v>1</v>
      </c>
      <c r="S62" s="1568" t="e">
        <f>TSS!T176</f>
        <v>#DIV/0!</v>
      </c>
      <c r="T62" s="1568">
        <f>TSS!U176</f>
        <v>1</v>
      </c>
      <c r="U62" s="1568">
        <f>TSS!V176</f>
        <v>0</v>
      </c>
      <c r="V62" s="1568">
        <f>TSS!W176</f>
        <v>0</v>
      </c>
    </row>
    <row r="63" spans="1:22" s="79" customFormat="1">
      <c r="A63" s="3776" t="s">
        <v>199</v>
      </c>
      <c r="B63" s="3776"/>
      <c r="C63" s="1568">
        <f>pH!D236</f>
        <v>0.8</v>
      </c>
      <c r="D63" s="1568">
        <f>pH!E236</f>
        <v>1</v>
      </c>
      <c r="E63" s="1568">
        <f>pH!F236</f>
        <v>1</v>
      </c>
      <c r="F63" s="1568">
        <f>pH!G236</f>
        <v>1</v>
      </c>
      <c r="G63" s="1568">
        <f>pH!H236</f>
        <v>0.8</v>
      </c>
      <c r="H63" s="1568">
        <f>pH!I236</f>
        <v>1</v>
      </c>
      <c r="I63" s="1568">
        <f>pH!J236</f>
        <v>1</v>
      </c>
      <c r="J63" s="1568">
        <f>pH!K236</f>
        <v>1</v>
      </c>
      <c r="K63" s="1568">
        <f>pH!L236</f>
        <v>0.8</v>
      </c>
      <c r="L63" s="1568">
        <f>pH!M236</f>
        <v>1</v>
      </c>
      <c r="M63" s="1568">
        <f>pH!N236</f>
        <v>1</v>
      </c>
      <c r="N63" s="1568">
        <f>pH!O236</f>
        <v>1</v>
      </c>
      <c r="O63" s="1568">
        <f>pH!P236</f>
        <v>0.6</v>
      </c>
      <c r="P63" s="1568">
        <f>pH!Q236</f>
        <v>1</v>
      </c>
      <c r="Q63" s="1568">
        <f>pH!R236</f>
        <v>1</v>
      </c>
      <c r="R63" s="1568">
        <f>pH!S236</f>
        <v>1</v>
      </c>
      <c r="S63" s="1568">
        <f>pH!T236</f>
        <v>1</v>
      </c>
      <c r="T63" s="1568">
        <f>pH!U236</f>
        <v>1</v>
      </c>
      <c r="U63" s="1568">
        <f>pH!V236</f>
        <v>1</v>
      </c>
      <c r="V63" s="1568">
        <f>pH!W236</f>
        <v>1</v>
      </c>
    </row>
    <row r="64" spans="1:22" s="79" customFormat="1">
      <c r="A64" s="3776" t="s">
        <v>170</v>
      </c>
      <c r="B64" s="3776"/>
      <c r="C64" s="1568" t="e">
        <f>Nitrate!D233</f>
        <v>#DIV/0!</v>
      </c>
      <c r="D64" s="1568" t="e">
        <f>Nitrate!E233</f>
        <v>#DIV/0!</v>
      </c>
      <c r="E64" s="1568" t="e">
        <f>Nitrate!F233</f>
        <v>#DIV/0!</v>
      </c>
      <c r="F64" s="1568" t="e">
        <f>Nitrate!G233</f>
        <v>#DIV/0!</v>
      </c>
      <c r="G64" s="1568" t="e">
        <f>Nitrate!H233</f>
        <v>#DIV/0!</v>
      </c>
      <c r="H64" s="1568">
        <f>Nitrate!I233</f>
        <v>1</v>
      </c>
      <c r="I64" s="1568">
        <f>Nitrate!J233</f>
        <v>1</v>
      </c>
      <c r="J64" s="1568">
        <f>Nitrate!K233</f>
        <v>1</v>
      </c>
      <c r="K64" s="1568">
        <f>Nitrate!L233</f>
        <v>1</v>
      </c>
      <c r="L64" s="1568" t="e">
        <f>Nitrate!M233</f>
        <v>#DIV/0!</v>
      </c>
      <c r="M64" s="1568">
        <f>Nitrate!N233</f>
        <v>1</v>
      </c>
      <c r="N64" s="1568" t="e">
        <f>Nitrate!O233</f>
        <v>#DIV/0!</v>
      </c>
      <c r="O64" s="1568">
        <f>Nitrate!P233</f>
        <v>1</v>
      </c>
      <c r="P64" s="1568">
        <f>Nitrate!Q233</f>
        <v>1</v>
      </c>
      <c r="Q64" s="1568">
        <f>Nitrate!R233</f>
        <v>1</v>
      </c>
      <c r="R64" s="1568">
        <f>Nitrate!S233</f>
        <v>1</v>
      </c>
      <c r="S64" s="1568">
        <f>Nitrate!T233</f>
        <v>1</v>
      </c>
      <c r="T64" s="1568">
        <f>Nitrate!U233</f>
        <v>1</v>
      </c>
      <c r="U64" s="1568">
        <f>Nitrate!V233</f>
        <v>1</v>
      </c>
      <c r="V64" s="1568">
        <f>Nitrate!W233</f>
        <v>1</v>
      </c>
    </row>
    <row r="65" spans="1:22" s="79" customFormat="1">
      <c r="A65" s="3777" t="s">
        <v>169</v>
      </c>
      <c r="B65" s="3777"/>
      <c r="C65" s="1569" t="e">
        <f>Phosphate!D237</f>
        <v>#DIV/0!</v>
      </c>
      <c r="D65" s="1569" t="e">
        <f>Phosphate!E237</f>
        <v>#DIV/0!</v>
      </c>
      <c r="E65" s="1569" t="e">
        <f>Phosphate!F237</f>
        <v>#DIV/0!</v>
      </c>
      <c r="F65" s="1569" t="e">
        <f>Phosphate!G237</f>
        <v>#DIV/0!</v>
      </c>
      <c r="G65" s="1569" t="e">
        <f>Phosphate!H237</f>
        <v>#DIV/0!</v>
      </c>
      <c r="H65" s="1569">
        <f>Phosphate!I237</f>
        <v>0</v>
      </c>
      <c r="I65" s="1569">
        <f>Phosphate!J237</f>
        <v>0</v>
      </c>
      <c r="J65" s="1569">
        <f>Phosphate!K237</f>
        <v>0</v>
      </c>
      <c r="K65" s="1569">
        <f>Phosphate!L237</f>
        <v>0</v>
      </c>
      <c r="L65" s="1569" t="e">
        <f>Phosphate!M237</f>
        <v>#DIV/0!</v>
      </c>
      <c r="M65" s="1569">
        <f>Phosphate!N237</f>
        <v>0</v>
      </c>
      <c r="N65" s="1569" t="e">
        <f>Phosphate!O237</f>
        <v>#DIV/0!</v>
      </c>
      <c r="O65" s="1569">
        <f>Phosphate!P237</f>
        <v>0</v>
      </c>
      <c r="P65" s="1569">
        <f>Phosphate!Q237</f>
        <v>0</v>
      </c>
      <c r="Q65" s="1569">
        <f>Phosphate!R237</f>
        <v>0</v>
      </c>
      <c r="R65" s="1569">
        <f>Phosphate!S237</f>
        <v>0</v>
      </c>
      <c r="S65" s="1569">
        <f>Phosphate!T237</f>
        <v>0</v>
      </c>
      <c r="T65" s="1569">
        <f>Phosphate!U237</f>
        <v>0</v>
      </c>
      <c r="U65" s="1569">
        <f>Phosphate!V237</f>
        <v>0</v>
      </c>
      <c r="V65" s="1569">
        <f>Phosphate!W237</f>
        <v>0</v>
      </c>
    </row>
    <row r="66" spans="1:22" s="79" customFormat="1" ht="15.75" thickBot="1">
      <c r="A66" s="3776" t="s">
        <v>198</v>
      </c>
      <c r="B66" s="3776"/>
      <c r="C66" s="1568"/>
      <c r="D66" s="1568"/>
      <c r="E66" s="1568"/>
      <c r="F66" s="1570"/>
      <c r="G66" s="1571"/>
      <c r="H66" s="1572"/>
      <c r="I66" s="1572"/>
      <c r="J66" s="1573"/>
      <c r="K66" s="1571"/>
      <c r="L66" s="1572"/>
      <c r="M66" s="1572"/>
      <c r="N66" s="1574"/>
      <c r="O66" s="371"/>
      <c r="P66" s="321"/>
      <c r="Q66" s="321"/>
      <c r="R66" s="322"/>
      <c r="S66" s="371"/>
      <c r="T66" s="321"/>
      <c r="U66" s="321"/>
      <c r="V66" s="322"/>
    </row>
    <row r="67" spans="1:22" s="79" customFormat="1"/>
    <row r="68" spans="1:22" s="79" customFormat="1"/>
    <row r="69" spans="1:22" s="79" customFormat="1">
      <c r="A69" s="3780" t="s">
        <v>23</v>
      </c>
      <c r="B69" s="3781"/>
    </row>
    <row r="70" spans="1:22" s="79" customFormat="1">
      <c r="A70" s="3782"/>
      <c r="B70" s="3783"/>
    </row>
    <row r="71" spans="1:22" s="79" customFormat="1">
      <c r="A71" s="3776" t="s">
        <v>201</v>
      </c>
      <c r="B71" s="3776"/>
      <c r="C71" s="1568">
        <f>DO!E245</f>
        <v>0</v>
      </c>
      <c r="D71" s="1568">
        <f>DO!F245</f>
        <v>0.33333333333333331</v>
      </c>
      <c r="E71" s="1568">
        <f>DO!G245</f>
        <v>0.66666666666666663</v>
      </c>
      <c r="F71" s="1568">
        <f>DO!H245</f>
        <v>0.33333333333333331</v>
      </c>
      <c r="G71" s="1568">
        <f>DO!I245</f>
        <v>0</v>
      </c>
      <c r="H71" s="1568">
        <f>DO!J245</f>
        <v>0</v>
      </c>
      <c r="I71" s="1568">
        <f>DO!K245</f>
        <v>0</v>
      </c>
      <c r="J71" s="1568">
        <f>DO!L245</f>
        <v>0</v>
      </c>
      <c r="K71" s="1568">
        <f>DO!M245</f>
        <v>0</v>
      </c>
      <c r="L71" s="1568">
        <f>DO!N245</f>
        <v>0</v>
      </c>
      <c r="M71" s="1568">
        <f>DO!O245</f>
        <v>0</v>
      </c>
      <c r="N71" s="1568" t="e">
        <f>DO!P245</f>
        <v>#REF!</v>
      </c>
      <c r="O71" s="1568">
        <f>DO!Q245</f>
        <v>0</v>
      </c>
      <c r="P71" s="1568">
        <f>DO!R245</f>
        <v>0</v>
      </c>
      <c r="Q71" s="1568">
        <f>DO!S245</f>
        <v>0</v>
      </c>
      <c r="R71" s="1568">
        <f>DO!T245</f>
        <v>0</v>
      </c>
      <c r="S71" s="1568" t="e">
        <f>DO!U245</f>
        <v>#DIV/0!</v>
      </c>
      <c r="T71" s="1568" t="e">
        <f>DO!V245</f>
        <v>#DIV/0!</v>
      </c>
      <c r="U71" s="1568" t="e">
        <f>DO!W245</f>
        <v>#DIV/0!</v>
      </c>
      <c r="V71" s="1568">
        <f>DO!X245</f>
        <v>0</v>
      </c>
    </row>
    <row r="72" spans="1:22" s="79" customFormat="1">
      <c r="A72" s="3776" t="s">
        <v>203</v>
      </c>
      <c r="B72" s="3776"/>
      <c r="C72" s="1568">
        <f>BOD!D239</f>
        <v>0</v>
      </c>
      <c r="D72" s="1568">
        <f>BOD!E239</f>
        <v>0.33333333333333331</v>
      </c>
      <c r="E72" s="1568">
        <f>BOD!F239</f>
        <v>0.33333333333333331</v>
      </c>
      <c r="F72" s="1568">
        <f>BOD!G239</f>
        <v>0</v>
      </c>
      <c r="G72" s="1568">
        <f>BOD!H239</f>
        <v>0.33333333333333331</v>
      </c>
      <c r="H72" s="1568">
        <f>BOD!I239</f>
        <v>0</v>
      </c>
      <c r="I72" s="1568">
        <f>BOD!J239</f>
        <v>1</v>
      </c>
      <c r="J72" s="1568">
        <f>BOD!K239</f>
        <v>1</v>
      </c>
      <c r="K72" s="1568">
        <f>BOD!L239</f>
        <v>0</v>
      </c>
      <c r="L72" s="1568">
        <f>BOD!M239</f>
        <v>0.33333333333333331</v>
      </c>
      <c r="M72" s="1568">
        <f>BOD!N239</f>
        <v>0.66666666666666663</v>
      </c>
      <c r="N72" s="1568">
        <f>BOD!O239</f>
        <v>0.66666666666666663</v>
      </c>
      <c r="O72" s="1568">
        <f>BOD!P239</f>
        <v>0.66666666666666663</v>
      </c>
      <c r="P72" s="1568">
        <f>BOD!Q239</f>
        <v>0.66666666666666663</v>
      </c>
      <c r="Q72" s="1568">
        <f>BOD!R239</f>
        <v>0</v>
      </c>
      <c r="R72" s="1568">
        <f>BOD!S239</f>
        <v>0</v>
      </c>
      <c r="S72" s="1568">
        <f>BOD!T239</f>
        <v>0</v>
      </c>
      <c r="T72" s="1568">
        <f>BOD!U239</f>
        <v>0</v>
      </c>
      <c r="U72" s="1568" t="e">
        <f>BOD!V239</f>
        <v>#DIV/0!</v>
      </c>
      <c r="V72" s="1568" t="e">
        <f>BOD!W239</f>
        <v>#DIV/0!</v>
      </c>
    </row>
    <row r="73" spans="1:22" s="79" customFormat="1">
      <c r="A73" s="3776" t="s">
        <v>204</v>
      </c>
      <c r="B73" s="3776"/>
      <c r="C73" s="1568">
        <f>TSS!D179</f>
        <v>1</v>
      </c>
      <c r="D73" s="1568">
        <f>TSS!E179</f>
        <v>1</v>
      </c>
      <c r="E73" s="1568">
        <f>TSS!F179</f>
        <v>1</v>
      </c>
      <c r="F73" s="1568">
        <f>TSS!G179</f>
        <v>0.66666666666666663</v>
      </c>
      <c r="G73" s="1568">
        <f>TSS!H179</f>
        <v>0.66666666666666663</v>
      </c>
      <c r="H73" s="1568">
        <f>TSS!I179</f>
        <v>0.33333333333333331</v>
      </c>
      <c r="I73" s="1568">
        <f>TSS!J179</f>
        <v>1</v>
      </c>
      <c r="J73" s="1568">
        <f>TSS!K179</f>
        <v>1</v>
      </c>
      <c r="K73" s="1568">
        <f>TSS!L179</f>
        <v>0.33333333333333331</v>
      </c>
      <c r="L73" s="1568">
        <f>TSS!M179</f>
        <v>1</v>
      </c>
      <c r="M73" s="1568">
        <f>TSS!N179</f>
        <v>1</v>
      </c>
      <c r="N73" s="1568">
        <f>TSS!O179</f>
        <v>1</v>
      </c>
      <c r="O73" s="1568">
        <f>TSS!P179</f>
        <v>1</v>
      </c>
      <c r="P73" s="1568">
        <f>TSS!Q179</f>
        <v>1</v>
      </c>
      <c r="Q73" s="1568">
        <f>TSS!R179</f>
        <v>1</v>
      </c>
      <c r="R73" s="1568">
        <f>TSS!S179</f>
        <v>1</v>
      </c>
      <c r="S73" s="1568" t="e">
        <f>TSS!T179</f>
        <v>#DIV/0!</v>
      </c>
      <c r="T73" s="1568" t="e">
        <f>TSS!U179</f>
        <v>#DIV/0!</v>
      </c>
      <c r="U73" s="1568">
        <f>TSS!V179</f>
        <v>0</v>
      </c>
      <c r="V73" s="1568">
        <f>TSS!W179</f>
        <v>0</v>
      </c>
    </row>
    <row r="74" spans="1:22" s="79" customFormat="1">
      <c r="A74" s="3776" t="s">
        <v>199</v>
      </c>
      <c r="B74" s="3776"/>
      <c r="C74" s="1568">
        <f>pH!D239</f>
        <v>0.66666666666666663</v>
      </c>
      <c r="D74" s="1568">
        <f>pH!E239</f>
        <v>1</v>
      </c>
      <c r="E74" s="1568">
        <f>pH!F239</f>
        <v>1</v>
      </c>
      <c r="F74" s="1568">
        <f>pH!G239</f>
        <v>1</v>
      </c>
      <c r="G74" s="1568">
        <f>pH!H239</f>
        <v>1</v>
      </c>
      <c r="H74" s="1568">
        <f>pH!I239</f>
        <v>1</v>
      </c>
      <c r="I74" s="1568">
        <f>pH!J239</f>
        <v>1</v>
      </c>
      <c r="J74" s="1568">
        <f>pH!K239</f>
        <v>1</v>
      </c>
      <c r="K74" s="1568">
        <f>pH!L239</f>
        <v>1</v>
      </c>
      <c r="L74" s="1568">
        <f>pH!M239</f>
        <v>1</v>
      </c>
      <c r="M74" s="1568">
        <f>pH!N239</f>
        <v>1</v>
      </c>
      <c r="N74" s="1568">
        <f>pH!O239</f>
        <v>1</v>
      </c>
      <c r="O74" s="1568">
        <f>pH!P239</f>
        <v>1</v>
      </c>
      <c r="P74" s="1568">
        <f>pH!Q239</f>
        <v>1</v>
      </c>
      <c r="Q74" s="1568">
        <f>pH!R239</f>
        <v>1</v>
      </c>
      <c r="R74" s="1568">
        <f>pH!S239</f>
        <v>1</v>
      </c>
      <c r="S74" s="1568" t="e">
        <f>pH!T239</f>
        <v>#DIV/0!</v>
      </c>
      <c r="T74" s="1568" t="e">
        <f>pH!U239</f>
        <v>#DIV/0!</v>
      </c>
      <c r="U74" s="1568" t="e">
        <f>pH!V239</f>
        <v>#DIV/0!</v>
      </c>
      <c r="V74" s="1568">
        <f>pH!W239</f>
        <v>1</v>
      </c>
    </row>
    <row r="75" spans="1:22" s="79" customFormat="1">
      <c r="A75" s="3776" t="s">
        <v>170</v>
      </c>
      <c r="B75" s="3776"/>
      <c r="C75" s="1568" t="e">
        <f>Nitrate!D236</f>
        <v>#DIV/0!</v>
      </c>
      <c r="D75" s="1568" t="e">
        <f>Nitrate!E236</f>
        <v>#DIV/0!</v>
      </c>
      <c r="E75" s="1568" t="e">
        <f>Nitrate!F236</f>
        <v>#DIV/0!</v>
      </c>
      <c r="F75" s="1568" t="e">
        <f>Nitrate!G236</f>
        <v>#DIV/0!</v>
      </c>
      <c r="G75" s="1568" t="e">
        <f>Nitrate!H236</f>
        <v>#DIV/0!</v>
      </c>
      <c r="H75" s="1568">
        <f>Nitrate!I236</f>
        <v>1</v>
      </c>
      <c r="I75" s="1568">
        <f>Nitrate!J236</f>
        <v>1</v>
      </c>
      <c r="J75" s="1568">
        <f>Nitrate!K236</f>
        <v>1</v>
      </c>
      <c r="K75" s="1568">
        <f>Nitrate!L236</f>
        <v>1</v>
      </c>
      <c r="L75" s="1568" t="e">
        <f>Nitrate!M236</f>
        <v>#DIV/0!</v>
      </c>
      <c r="M75" s="1568">
        <f>Nitrate!N236</f>
        <v>1</v>
      </c>
      <c r="N75" s="1568" t="e">
        <f>Nitrate!O236</f>
        <v>#DIV/0!</v>
      </c>
      <c r="O75" s="1568">
        <f>Nitrate!P236</f>
        <v>1</v>
      </c>
      <c r="P75" s="1568">
        <f>Nitrate!Q236</f>
        <v>1</v>
      </c>
      <c r="Q75" s="1568">
        <f>Nitrate!R236</f>
        <v>1</v>
      </c>
      <c r="R75" s="1568">
        <f>Nitrate!S236</f>
        <v>1</v>
      </c>
      <c r="S75" s="1568" t="e">
        <f>Nitrate!T236</f>
        <v>#DIV/0!</v>
      </c>
      <c r="T75" s="1568" t="e">
        <f>Nitrate!U236</f>
        <v>#DIV/0!</v>
      </c>
      <c r="U75" s="1568" t="e">
        <f>Nitrate!V236</f>
        <v>#DIV/0!</v>
      </c>
      <c r="V75" s="1568">
        <f>Nitrate!W236</f>
        <v>1</v>
      </c>
    </row>
    <row r="76" spans="1:22" s="79" customFormat="1">
      <c r="A76" s="3777" t="s">
        <v>169</v>
      </c>
      <c r="B76" s="3777"/>
      <c r="C76" s="1569" t="e">
        <f>Phosphate!D240</f>
        <v>#DIV/0!</v>
      </c>
      <c r="D76" s="1569" t="e">
        <f>Phosphate!E240</f>
        <v>#DIV/0!</v>
      </c>
      <c r="E76" s="1569" t="e">
        <f>Phosphate!F240</f>
        <v>#DIV/0!</v>
      </c>
      <c r="F76" s="1569" t="e">
        <f>Phosphate!G240</f>
        <v>#DIV/0!</v>
      </c>
      <c r="G76" s="1569" t="e">
        <f>Phosphate!H240</f>
        <v>#DIV/0!</v>
      </c>
      <c r="H76" s="1569">
        <f>Phosphate!I240</f>
        <v>0</v>
      </c>
      <c r="I76" s="1569">
        <f>Phosphate!J240</f>
        <v>0</v>
      </c>
      <c r="J76" s="1569">
        <f>Phosphate!K240</f>
        <v>0</v>
      </c>
      <c r="K76" s="1569">
        <f>Phosphate!L240</f>
        <v>0</v>
      </c>
      <c r="L76" s="1569" t="e">
        <f>Phosphate!M240</f>
        <v>#DIV/0!</v>
      </c>
      <c r="M76" s="1569">
        <f>Phosphate!N240</f>
        <v>0.66666666666666663</v>
      </c>
      <c r="N76" s="1569" t="e">
        <f>Phosphate!O240</f>
        <v>#DIV/0!</v>
      </c>
      <c r="O76" s="1569">
        <f>Phosphate!P240</f>
        <v>0.33333333333333331</v>
      </c>
      <c r="P76" s="1569">
        <f>Phosphate!Q240</f>
        <v>0</v>
      </c>
      <c r="Q76" s="1569">
        <f>Phosphate!R240</f>
        <v>0</v>
      </c>
      <c r="R76" s="1569">
        <f>Phosphate!S240</f>
        <v>0</v>
      </c>
      <c r="S76" s="1569" t="e">
        <f>Phosphate!T240</f>
        <v>#DIV/0!</v>
      </c>
      <c r="T76" s="1569" t="e">
        <f>Phosphate!U240</f>
        <v>#DIV/0!</v>
      </c>
      <c r="U76" s="1569" t="e">
        <f>Phosphate!V240</f>
        <v>#DIV/0!</v>
      </c>
      <c r="V76" s="1569">
        <f>Phosphate!W240</f>
        <v>0</v>
      </c>
    </row>
    <row r="77" spans="1:22" s="79" customFormat="1" ht="15.75" thickBot="1">
      <c r="A77" s="3776" t="s">
        <v>198</v>
      </c>
      <c r="B77" s="3776"/>
      <c r="C77" s="1568"/>
      <c r="D77" s="1568"/>
      <c r="E77" s="1568"/>
      <c r="F77" s="1570"/>
      <c r="G77" s="1571"/>
      <c r="H77" s="1572"/>
      <c r="I77" s="1572"/>
      <c r="J77" s="1573"/>
      <c r="K77" s="1571"/>
      <c r="L77" s="1572"/>
      <c r="M77" s="1572"/>
      <c r="N77" s="1574"/>
      <c r="O77" s="371"/>
      <c r="P77" s="321"/>
      <c r="Q77" s="321"/>
      <c r="R77" s="322"/>
      <c r="S77" s="371"/>
      <c r="T77" s="321"/>
      <c r="U77" s="321"/>
      <c r="V77" s="322"/>
    </row>
    <row r="78" spans="1:22" s="79" customFormat="1"/>
    <row r="79" spans="1:22" s="79" customFormat="1"/>
    <row r="80" spans="1:22" s="79" customFormat="1">
      <c r="A80" s="3780" t="s">
        <v>6</v>
      </c>
      <c r="B80" s="3781"/>
    </row>
    <row r="81" spans="1:22" s="79" customFormat="1">
      <c r="A81" s="3782"/>
      <c r="B81" s="3783"/>
    </row>
    <row r="82" spans="1:22" s="79" customFormat="1">
      <c r="A82" s="3776" t="s">
        <v>201</v>
      </c>
      <c r="B82" s="3776"/>
      <c r="C82" s="1568">
        <f>DO!E248</f>
        <v>1</v>
      </c>
      <c r="D82" s="1568">
        <f>DO!F248</f>
        <v>0</v>
      </c>
      <c r="E82" s="1568">
        <f>DO!G248</f>
        <v>0</v>
      </c>
      <c r="F82" s="1568">
        <f>DO!H248</f>
        <v>0.8</v>
      </c>
      <c r="G82" s="1568">
        <f>DO!I248</f>
        <v>0.2</v>
      </c>
      <c r="H82" s="1568">
        <f>DO!J248</f>
        <v>0.8</v>
      </c>
      <c r="I82" s="1568">
        <f>DO!K248</f>
        <v>0</v>
      </c>
      <c r="J82" s="1568">
        <f>DO!L248</f>
        <v>0</v>
      </c>
      <c r="K82" s="1568">
        <f>DO!M248</f>
        <v>0</v>
      </c>
      <c r="L82" s="1568">
        <f>DO!N248</f>
        <v>0</v>
      </c>
      <c r="M82" s="1568">
        <f>DO!O248</f>
        <v>0</v>
      </c>
      <c r="N82" s="1568" t="e">
        <f>DO!P248</f>
        <v>#REF!</v>
      </c>
      <c r="O82" s="1568" t="e">
        <f>DO!Q248</f>
        <v>#DIV/0!</v>
      </c>
      <c r="P82" s="1568" t="e">
        <f>DO!R248</f>
        <v>#DIV/0!</v>
      </c>
      <c r="Q82" s="1568" t="e">
        <f>DO!S248</f>
        <v>#DIV/0!</v>
      </c>
      <c r="R82" s="1568">
        <f>DO!T248</f>
        <v>0</v>
      </c>
      <c r="S82" s="1568" t="e">
        <f>DO!U248</f>
        <v>#DIV/0!</v>
      </c>
      <c r="T82" s="1568" t="e">
        <f>DO!V248</f>
        <v>#DIV/0!</v>
      </c>
      <c r="U82" s="1568" t="e">
        <f>DO!W248</f>
        <v>#DIV/0!</v>
      </c>
      <c r="V82" s="1568">
        <f>DO!X248</f>
        <v>0</v>
      </c>
    </row>
    <row r="83" spans="1:22" s="79" customFormat="1">
      <c r="A83" s="3776" t="s">
        <v>203</v>
      </c>
      <c r="B83" s="3776"/>
      <c r="C83" s="1568">
        <f>BOD!D242</f>
        <v>1</v>
      </c>
      <c r="D83" s="1568">
        <f>BOD!E242</f>
        <v>1</v>
      </c>
      <c r="E83" s="1568">
        <f>BOD!F242</f>
        <v>1</v>
      </c>
      <c r="F83" s="1568">
        <f>BOD!G242</f>
        <v>1</v>
      </c>
      <c r="G83" s="1568">
        <f>BOD!H242</f>
        <v>1</v>
      </c>
      <c r="H83" s="1568">
        <f>BOD!I242</f>
        <v>1</v>
      </c>
      <c r="I83" s="1568">
        <f>BOD!J242</f>
        <v>1</v>
      </c>
      <c r="J83" s="1568">
        <f>BOD!K242</f>
        <v>1</v>
      </c>
      <c r="K83" s="1568">
        <f>BOD!L242</f>
        <v>1</v>
      </c>
      <c r="L83" s="1568">
        <f>BOD!M242</f>
        <v>0.8</v>
      </c>
      <c r="M83" s="1568">
        <f>BOD!N242</f>
        <v>0</v>
      </c>
      <c r="N83" s="1568">
        <f>BOD!O242</f>
        <v>0</v>
      </c>
      <c r="O83" s="1568">
        <f>BOD!P242</f>
        <v>0</v>
      </c>
      <c r="P83" s="1568">
        <f>BOD!Q242</f>
        <v>0</v>
      </c>
      <c r="Q83" s="1568">
        <f>BOD!R242</f>
        <v>0</v>
      </c>
      <c r="R83" s="1568">
        <f>BOD!S242</f>
        <v>1</v>
      </c>
      <c r="S83" s="1568">
        <f>BOD!T242</f>
        <v>0</v>
      </c>
      <c r="T83" s="1568">
        <f>BOD!U242</f>
        <v>0</v>
      </c>
      <c r="U83" s="1568">
        <f>BOD!V242</f>
        <v>0</v>
      </c>
      <c r="V83" s="1568">
        <f>BOD!W242</f>
        <v>1</v>
      </c>
    </row>
    <row r="84" spans="1:22" s="79" customFormat="1">
      <c r="A84" s="3776" t="s">
        <v>204</v>
      </c>
      <c r="B84" s="3776"/>
      <c r="C84" s="1568">
        <f>TSS!D182</f>
        <v>0.6</v>
      </c>
      <c r="D84" s="1568">
        <f>TSS!E182</f>
        <v>0.8</v>
      </c>
      <c r="E84" s="1568">
        <f>TSS!F182</f>
        <v>0</v>
      </c>
      <c r="F84" s="1568">
        <f>TSS!G182</f>
        <v>0</v>
      </c>
      <c r="G84" s="1568">
        <f>TSS!H182</f>
        <v>1</v>
      </c>
      <c r="H84" s="1568">
        <f>TSS!I182</f>
        <v>0.6</v>
      </c>
      <c r="I84" s="1568">
        <f>TSS!J182</f>
        <v>0</v>
      </c>
      <c r="J84" s="1568">
        <f>TSS!K182</f>
        <v>1</v>
      </c>
      <c r="K84" s="1568">
        <f>TSS!L182</f>
        <v>0</v>
      </c>
      <c r="L84" s="1568">
        <f>TSS!M182</f>
        <v>1</v>
      </c>
      <c r="M84" s="1568">
        <f>TSS!N182</f>
        <v>1</v>
      </c>
      <c r="N84" s="1568" t="e">
        <f>TSS!O182</f>
        <v>#DIV/0!</v>
      </c>
      <c r="O84" s="1568" t="e">
        <f>TSS!P182</f>
        <v>#DIV/0!</v>
      </c>
      <c r="P84" s="1568" t="e">
        <f>TSS!Q182</f>
        <v>#DIV/0!</v>
      </c>
      <c r="Q84" s="1568" t="e">
        <f>TSS!R182</f>
        <v>#DIV/0!</v>
      </c>
      <c r="R84" s="1568">
        <f>TSS!S182</f>
        <v>1</v>
      </c>
      <c r="S84" s="1568" t="e">
        <f>TSS!T182</f>
        <v>#DIV/0!</v>
      </c>
      <c r="T84" s="1568" t="e">
        <f>TSS!U182</f>
        <v>#DIV/0!</v>
      </c>
      <c r="U84" s="1568">
        <f>TSS!V182</f>
        <v>0</v>
      </c>
      <c r="V84" s="1568">
        <f>TSS!W182</f>
        <v>0</v>
      </c>
    </row>
    <row r="85" spans="1:22" s="79" customFormat="1">
      <c r="A85" s="3776" t="s">
        <v>199</v>
      </c>
      <c r="B85" s="3776"/>
      <c r="C85" s="1568">
        <f>pH!D242</f>
        <v>0</v>
      </c>
      <c r="D85" s="1568">
        <f>pH!E242</f>
        <v>1</v>
      </c>
      <c r="E85" s="1568">
        <f>pH!F242</f>
        <v>1</v>
      </c>
      <c r="F85" s="1568">
        <f>pH!G242</f>
        <v>1</v>
      </c>
      <c r="G85" s="1568">
        <f>pH!H242</f>
        <v>0.6</v>
      </c>
      <c r="H85" s="1568">
        <f>pH!I242</f>
        <v>1</v>
      </c>
      <c r="I85" s="1568">
        <f>pH!J242</f>
        <v>1</v>
      </c>
      <c r="J85" s="1568">
        <f>pH!K242</f>
        <v>0.8</v>
      </c>
      <c r="K85" s="1568">
        <f>pH!L242</f>
        <v>0.2</v>
      </c>
      <c r="L85" s="1568">
        <f>pH!M242</f>
        <v>0.6</v>
      </c>
      <c r="M85" s="1568">
        <f>pH!N242</f>
        <v>0.6</v>
      </c>
      <c r="N85" s="1568" t="e">
        <f>pH!O242</f>
        <v>#DIV/0!</v>
      </c>
      <c r="O85" s="1568" t="e">
        <f>pH!P242</f>
        <v>#DIV/0!</v>
      </c>
      <c r="P85" s="1568" t="e">
        <f>pH!Q242</f>
        <v>#DIV/0!</v>
      </c>
      <c r="Q85" s="1568" t="e">
        <f>pH!R242</f>
        <v>#DIV/0!</v>
      </c>
      <c r="R85" s="1568">
        <f>pH!S242</f>
        <v>0.8</v>
      </c>
      <c r="S85" s="1568" t="e">
        <f>pH!T242</f>
        <v>#DIV/0!</v>
      </c>
      <c r="T85" s="1568" t="e">
        <f>pH!U242</f>
        <v>#DIV/0!</v>
      </c>
      <c r="U85" s="1568" t="e">
        <f>pH!V242</f>
        <v>#DIV/0!</v>
      </c>
      <c r="V85" s="1568">
        <f>pH!W242</f>
        <v>1</v>
      </c>
    </row>
    <row r="86" spans="1:22" s="79" customFormat="1">
      <c r="A86" s="3776" t="s">
        <v>170</v>
      </c>
      <c r="B86" s="3776"/>
      <c r="C86" s="1568" t="e">
        <f>Nitrate!D239</f>
        <v>#DIV/0!</v>
      </c>
      <c r="D86" s="1568" t="e">
        <f>Nitrate!E239</f>
        <v>#DIV/0!</v>
      </c>
      <c r="E86" s="1568" t="e">
        <f>Nitrate!F239</f>
        <v>#DIV/0!</v>
      </c>
      <c r="F86" s="1568" t="e">
        <f>Nitrate!G239</f>
        <v>#DIV/0!</v>
      </c>
      <c r="G86" s="1568" t="e">
        <f>Nitrate!H239</f>
        <v>#DIV/0!</v>
      </c>
      <c r="H86" s="1568">
        <f>Nitrate!I239</f>
        <v>1</v>
      </c>
      <c r="I86" s="1568">
        <f>Nitrate!J239</f>
        <v>1</v>
      </c>
      <c r="J86" s="1568">
        <f>Nitrate!K239</f>
        <v>1</v>
      </c>
      <c r="K86" s="1568">
        <f>Nitrate!L239</f>
        <v>1</v>
      </c>
      <c r="L86" s="1568" t="e">
        <f>Nitrate!M239</f>
        <v>#DIV/0!</v>
      </c>
      <c r="M86" s="1568">
        <f>Nitrate!N239</f>
        <v>1</v>
      </c>
      <c r="N86" s="1568" t="e">
        <f>Nitrate!O239</f>
        <v>#DIV/0!</v>
      </c>
      <c r="O86" s="1568" t="e">
        <f>Nitrate!P239</f>
        <v>#DIV/0!</v>
      </c>
      <c r="P86" s="1568" t="e">
        <f>Nitrate!Q239</f>
        <v>#DIV/0!</v>
      </c>
      <c r="Q86" s="1568" t="e">
        <f>Nitrate!R239</f>
        <v>#DIV/0!</v>
      </c>
      <c r="R86" s="1568">
        <f>Nitrate!S239</f>
        <v>1</v>
      </c>
      <c r="S86" s="1568" t="e">
        <f>Nitrate!T239</f>
        <v>#DIV/0!</v>
      </c>
      <c r="T86" s="1568" t="e">
        <f>Nitrate!U239</f>
        <v>#DIV/0!</v>
      </c>
      <c r="U86" s="1568" t="e">
        <f>Nitrate!V239</f>
        <v>#DIV/0!</v>
      </c>
      <c r="V86" s="1568">
        <f>Nitrate!W239</f>
        <v>1</v>
      </c>
    </row>
    <row r="87" spans="1:22" s="79" customFormat="1">
      <c r="A87" s="3777" t="s">
        <v>169</v>
      </c>
      <c r="B87" s="3777"/>
      <c r="C87" s="1569" t="e">
        <f>Phosphate!D243</f>
        <v>#DIV/0!</v>
      </c>
      <c r="D87" s="1569" t="e">
        <f>Phosphate!E243</f>
        <v>#DIV/0!</v>
      </c>
      <c r="E87" s="1569" t="e">
        <f>Phosphate!F243</f>
        <v>#DIV/0!</v>
      </c>
      <c r="F87" s="1569" t="e">
        <f>Phosphate!G243</f>
        <v>#DIV/0!</v>
      </c>
      <c r="G87" s="1569" t="e">
        <f>Phosphate!H243</f>
        <v>#DIV/0!</v>
      </c>
      <c r="H87" s="1569">
        <f>Phosphate!I243</f>
        <v>1</v>
      </c>
      <c r="I87" s="1569">
        <f>Phosphate!J243</f>
        <v>1</v>
      </c>
      <c r="J87" s="1569">
        <f>Phosphate!K243</f>
        <v>1</v>
      </c>
      <c r="K87" s="1569">
        <f>Phosphate!L243</f>
        <v>1</v>
      </c>
      <c r="L87" s="1569" t="e">
        <f>Phosphate!M243</f>
        <v>#DIV/0!</v>
      </c>
      <c r="M87" s="1569">
        <f>Phosphate!N243</f>
        <v>0.8</v>
      </c>
      <c r="N87" s="1569" t="e">
        <f>Phosphate!O243</f>
        <v>#DIV/0!</v>
      </c>
      <c r="O87" s="1569" t="e">
        <f>Phosphate!P243</f>
        <v>#DIV/0!</v>
      </c>
      <c r="P87" s="1569" t="e">
        <f>Phosphate!Q243</f>
        <v>#DIV/0!</v>
      </c>
      <c r="Q87" s="1569" t="e">
        <f>Phosphate!R243</f>
        <v>#DIV/0!</v>
      </c>
      <c r="R87" s="1569">
        <f>Phosphate!S243</f>
        <v>1</v>
      </c>
      <c r="S87" s="1569" t="e">
        <f>Phosphate!T243</f>
        <v>#DIV/0!</v>
      </c>
      <c r="T87" s="1569" t="e">
        <f>Phosphate!U243</f>
        <v>#DIV/0!</v>
      </c>
      <c r="U87" s="1569" t="e">
        <f>Phosphate!V243</f>
        <v>#DIV/0!</v>
      </c>
      <c r="V87" s="1569">
        <f>Phosphate!W243</f>
        <v>1</v>
      </c>
    </row>
    <row r="88" spans="1:22" s="79" customFormat="1" ht="15.75" thickBot="1">
      <c r="A88" s="3776" t="s">
        <v>198</v>
      </c>
      <c r="B88" s="3776"/>
      <c r="C88" s="1568"/>
      <c r="D88" s="1568"/>
      <c r="E88" s="1568"/>
      <c r="F88" s="1570"/>
      <c r="G88" s="1571"/>
      <c r="H88" s="1572"/>
      <c r="I88" s="1572"/>
      <c r="J88" s="1573"/>
      <c r="K88" s="1571"/>
      <c r="L88" s="1572"/>
      <c r="M88" s="1572"/>
      <c r="N88" s="1574"/>
      <c r="O88" s="371"/>
      <c r="P88" s="321"/>
      <c r="Q88" s="321"/>
      <c r="R88" s="322"/>
      <c r="S88" s="371"/>
      <c r="T88" s="321"/>
      <c r="U88" s="321"/>
      <c r="V88" s="322"/>
    </row>
    <row r="89" spans="1:22" s="79" customFormat="1"/>
    <row r="90" spans="1:22" s="79" customFormat="1"/>
    <row r="91" spans="1:22" s="79" customFormat="1">
      <c r="A91" s="3780" t="s">
        <v>28</v>
      </c>
      <c r="B91" s="3781"/>
    </row>
    <row r="92" spans="1:22" s="79" customFormat="1">
      <c r="A92" s="3782"/>
      <c r="B92" s="3783"/>
    </row>
    <row r="93" spans="1:22" s="79" customFormat="1">
      <c r="A93" s="3776" t="s">
        <v>201</v>
      </c>
      <c r="B93" s="3776"/>
      <c r="C93" s="1568">
        <f>DO!E251</f>
        <v>0.33333333333333331</v>
      </c>
      <c r="D93" s="1568">
        <f>DO!F251</f>
        <v>0</v>
      </c>
      <c r="E93" s="1568">
        <f>DO!G251</f>
        <v>0</v>
      </c>
      <c r="F93" s="1568">
        <f>DO!H251</f>
        <v>0.33333333333333331</v>
      </c>
      <c r="G93" s="1568">
        <f>DO!I251</f>
        <v>0</v>
      </c>
      <c r="H93" s="1568">
        <f>DO!J251</f>
        <v>0</v>
      </c>
      <c r="I93" s="1568">
        <f>DO!K251</f>
        <v>0</v>
      </c>
      <c r="J93" s="1568">
        <f>DO!L251</f>
        <v>0</v>
      </c>
      <c r="K93" s="1568">
        <f>DO!M251</f>
        <v>0</v>
      </c>
      <c r="L93" s="1568">
        <f>DO!N251</f>
        <v>0</v>
      </c>
      <c r="M93" s="1568">
        <f>DO!O251</f>
        <v>0</v>
      </c>
      <c r="N93" s="1568" t="e">
        <f>DO!P251</f>
        <v>#REF!</v>
      </c>
      <c r="O93" s="1568">
        <f>DO!Q251</f>
        <v>0</v>
      </c>
      <c r="P93" s="1568">
        <f>DO!R251</f>
        <v>0</v>
      </c>
      <c r="Q93" s="1568">
        <f>DO!S251</f>
        <v>0</v>
      </c>
      <c r="R93" s="1568">
        <f>DO!T251</f>
        <v>0</v>
      </c>
      <c r="S93" s="1568" t="e">
        <f>DO!U251</f>
        <v>#DIV/0!</v>
      </c>
      <c r="T93" s="1568" t="e">
        <f>DO!V251</f>
        <v>#DIV/0!</v>
      </c>
      <c r="U93" s="1568" t="e">
        <f>DO!W251</f>
        <v>#DIV/0!</v>
      </c>
      <c r="V93" s="1568">
        <f>DO!X251</f>
        <v>0</v>
      </c>
    </row>
    <row r="94" spans="1:22" s="79" customFormat="1">
      <c r="A94" s="3776" t="s">
        <v>203</v>
      </c>
      <c r="B94" s="3776"/>
      <c r="C94" s="1568">
        <f>BOD!D245</f>
        <v>0.33333333333333331</v>
      </c>
      <c r="D94" s="1568">
        <f>BOD!E245</f>
        <v>0.66666666666666663</v>
      </c>
      <c r="E94" s="1568">
        <f>BOD!F245</f>
        <v>1</v>
      </c>
      <c r="F94" s="1568">
        <f>BOD!G245</f>
        <v>1</v>
      </c>
      <c r="G94" s="1568">
        <f>BOD!H245</f>
        <v>0.66666666666666663</v>
      </c>
      <c r="H94" s="1568">
        <f>BOD!I245</f>
        <v>0.33333333333333331</v>
      </c>
      <c r="I94" s="1568">
        <f>BOD!J245</f>
        <v>1</v>
      </c>
      <c r="J94" s="1568">
        <f>BOD!K245</f>
        <v>0.33333333333333331</v>
      </c>
      <c r="K94" s="1568">
        <f>BOD!L245</f>
        <v>0</v>
      </c>
      <c r="L94" s="1568">
        <f>BOD!M245</f>
        <v>0.66666666666666663</v>
      </c>
      <c r="M94" s="1568">
        <f>BOD!N245</f>
        <v>1</v>
      </c>
      <c r="N94" s="1568">
        <f>BOD!O245</f>
        <v>0.33333333333333331</v>
      </c>
      <c r="O94" s="1568">
        <f>BOD!P245</f>
        <v>0</v>
      </c>
      <c r="P94" s="1568">
        <f>BOD!Q245</f>
        <v>0.33333333333333331</v>
      </c>
      <c r="Q94" s="1568">
        <f>BOD!R245</f>
        <v>0.33333333333333331</v>
      </c>
      <c r="R94" s="1568">
        <f>BOD!S245</f>
        <v>1</v>
      </c>
      <c r="S94" s="1568">
        <f>BOD!T245</f>
        <v>0</v>
      </c>
      <c r="T94" s="1568">
        <f>BOD!U245</f>
        <v>0</v>
      </c>
      <c r="U94" s="1568">
        <f>BOD!V245</f>
        <v>0</v>
      </c>
      <c r="V94" s="1568">
        <f>BOD!W245</f>
        <v>0.66666666666666663</v>
      </c>
    </row>
    <row r="95" spans="1:22" s="79" customFormat="1">
      <c r="A95" s="3776" t="s">
        <v>204</v>
      </c>
      <c r="B95" s="3776"/>
      <c r="C95" s="1568">
        <f>TSS!D185</f>
        <v>1</v>
      </c>
      <c r="D95" s="1568">
        <f>TSS!E185</f>
        <v>1</v>
      </c>
      <c r="E95" s="1568">
        <f>TSS!F185</f>
        <v>1</v>
      </c>
      <c r="F95" s="1568">
        <f>TSS!G185</f>
        <v>1</v>
      </c>
      <c r="G95" s="1568">
        <f>TSS!H185</f>
        <v>1</v>
      </c>
      <c r="H95" s="1568">
        <f>TSS!I185</f>
        <v>1</v>
      </c>
      <c r="I95" s="1568">
        <f>TSS!J185</f>
        <v>0.33333333333333331</v>
      </c>
      <c r="J95" s="1568">
        <f>TSS!K185</f>
        <v>1</v>
      </c>
      <c r="K95" s="1568">
        <f>TSS!L185</f>
        <v>0</v>
      </c>
      <c r="L95" s="1568">
        <f>TSS!M185</f>
        <v>1</v>
      </c>
      <c r="M95" s="1568">
        <f>TSS!N185</f>
        <v>0.33333333333333331</v>
      </c>
      <c r="N95" s="1568">
        <f>TSS!O185</f>
        <v>0.33333333333333331</v>
      </c>
      <c r="O95" s="1568">
        <f>TSS!P185</f>
        <v>1</v>
      </c>
      <c r="P95" s="1568">
        <f>TSS!Q185</f>
        <v>1</v>
      </c>
      <c r="Q95" s="1568">
        <f>TSS!R185</f>
        <v>1</v>
      </c>
      <c r="R95" s="1568">
        <f>TSS!S185</f>
        <v>1</v>
      </c>
      <c r="S95" s="1568" t="e">
        <f>TSS!T185</f>
        <v>#DIV/0!</v>
      </c>
      <c r="T95" s="1568" t="e">
        <f>TSS!U185</f>
        <v>#DIV/0!</v>
      </c>
      <c r="U95" s="1568">
        <f>TSS!V185</f>
        <v>0</v>
      </c>
      <c r="V95" s="1568">
        <f>TSS!W185</f>
        <v>0</v>
      </c>
    </row>
    <row r="96" spans="1:22" s="79" customFormat="1">
      <c r="A96" s="3776" t="s">
        <v>199</v>
      </c>
      <c r="B96" s="3776"/>
      <c r="C96" s="1568">
        <f>pH!D245</f>
        <v>0</v>
      </c>
      <c r="D96" s="1568">
        <f>pH!E245</f>
        <v>1</v>
      </c>
      <c r="E96" s="1568">
        <f>pH!F245</f>
        <v>1</v>
      </c>
      <c r="F96" s="1568">
        <f>pH!G245</f>
        <v>1</v>
      </c>
      <c r="G96" s="1568">
        <f>pH!H245</f>
        <v>1</v>
      </c>
      <c r="H96" s="1568">
        <f>pH!I245</f>
        <v>1</v>
      </c>
      <c r="I96" s="1568">
        <f>pH!J245</f>
        <v>1</v>
      </c>
      <c r="J96" s="1568">
        <f>pH!K245</f>
        <v>1</v>
      </c>
      <c r="K96" s="1568">
        <f>pH!L245</f>
        <v>0.66666666666666663</v>
      </c>
      <c r="L96" s="1568">
        <f>pH!M245</f>
        <v>1</v>
      </c>
      <c r="M96" s="1568">
        <f>pH!N245</f>
        <v>1</v>
      </c>
      <c r="N96" s="1568">
        <f>pH!O245</f>
        <v>1</v>
      </c>
      <c r="O96" s="1568">
        <f>pH!P245</f>
        <v>1</v>
      </c>
      <c r="P96" s="1568">
        <f>pH!Q245</f>
        <v>1</v>
      </c>
      <c r="Q96" s="1568">
        <f>pH!R245</f>
        <v>1</v>
      </c>
      <c r="R96" s="1568">
        <f>pH!S245</f>
        <v>1</v>
      </c>
      <c r="S96" s="1568" t="e">
        <f>pH!T245</f>
        <v>#DIV/0!</v>
      </c>
      <c r="T96" s="1568" t="e">
        <f>pH!U245</f>
        <v>#DIV/0!</v>
      </c>
      <c r="U96" s="1568" t="e">
        <f>pH!V245</f>
        <v>#DIV/0!</v>
      </c>
      <c r="V96" s="1568">
        <f>pH!W245</f>
        <v>1</v>
      </c>
    </row>
    <row r="97" spans="1:22" s="79" customFormat="1">
      <c r="A97" s="3776" t="s">
        <v>170</v>
      </c>
      <c r="B97" s="3776"/>
      <c r="C97" s="1568" t="e">
        <f>Nitrate!D242</f>
        <v>#DIV/0!</v>
      </c>
      <c r="D97" s="1568" t="e">
        <f>Nitrate!E242</f>
        <v>#DIV/0!</v>
      </c>
      <c r="E97" s="1568" t="e">
        <f>Nitrate!F242</f>
        <v>#DIV/0!</v>
      </c>
      <c r="F97" s="1568" t="e">
        <f>Nitrate!G242</f>
        <v>#DIV/0!</v>
      </c>
      <c r="G97" s="1568" t="e">
        <f>Nitrate!H242</f>
        <v>#DIV/0!</v>
      </c>
      <c r="H97" s="1568">
        <f>Nitrate!I242</f>
        <v>1</v>
      </c>
      <c r="I97" s="1568">
        <f>Nitrate!J242</f>
        <v>1</v>
      </c>
      <c r="J97" s="1568">
        <f>Nitrate!K242</f>
        <v>0.66666666666666663</v>
      </c>
      <c r="K97" s="1568">
        <f>Nitrate!L242</f>
        <v>1</v>
      </c>
      <c r="L97" s="1568" t="e">
        <f>Nitrate!M242</f>
        <v>#DIV/0!</v>
      </c>
      <c r="M97" s="1568">
        <f>Nitrate!N242</f>
        <v>1</v>
      </c>
      <c r="N97" s="1568" t="e">
        <f>Nitrate!O242</f>
        <v>#DIV/0!</v>
      </c>
      <c r="O97" s="1568">
        <f>Nitrate!P242</f>
        <v>1</v>
      </c>
      <c r="P97" s="1568">
        <f>Nitrate!Q242</f>
        <v>1</v>
      </c>
      <c r="Q97" s="1568">
        <f>Nitrate!R242</f>
        <v>1</v>
      </c>
      <c r="R97" s="1568">
        <f>Nitrate!S242</f>
        <v>1</v>
      </c>
      <c r="S97" s="1568" t="e">
        <f>Nitrate!T242</f>
        <v>#DIV/0!</v>
      </c>
      <c r="T97" s="1568" t="e">
        <f>Nitrate!U242</f>
        <v>#DIV/0!</v>
      </c>
      <c r="U97" s="1568" t="e">
        <f>Nitrate!V242</f>
        <v>#DIV/0!</v>
      </c>
      <c r="V97" s="1568">
        <f>Nitrate!W242</f>
        <v>1</v>
      </c>
    </row>
    <row r="98" spans="1:22" s="79" customFormat="1">
      <c r="A98" s="3777" t="s">
        <v>169</v>
      </c>
      <c r="B98" s="3777"/>
      <c r="C98" s="1569" t="e">
        <f>Phosphate!D246</f>
        <v>#DIV/0!</v>
      </c>
      <c r="D98" s="1569" t="e">
        <f>Phosphate!E246</f>
        <v>#DIV/0!</v>
      </c>
      <c r="E98" s="1569" t="e">
        <f>Phosphate!F246</f>
        <v>#DIV/0!</v>
      </c>
      <c r="F98" s="1569" t="e">
        <f>Phosphate!G246</f>
        <v>#DIV/0!</v>
      </c>
      <c r="G98" s="1569" t="e">
        <f>Phosphate!H246</f>
        <v>#DIV/0!</v>
      </c>
      <c r="H98" s="1569">
        <f>Phosphate!I246</f>
        <v>0</v>
      </c>
      <c r="I98" s="1569">
        <f>Phosphate!J246</f>
        <v>0</v>
      </c>
      <c r="J98" s="1569">
        <f>Phosphate!K246</f>
        <v>0</v>
      </c>
      <c r="K98" s="1569">
        <f>Phosphate!L246</f>
        <v>0</v>
      </c>
      <c r="L98" s="1569" t="e">
        <f>Phosphate!M246</f>
        <v>#DIV/0!</v>
      </c>
      <c r="M98" s="1569">
        <f>Phosphate!N246</f>
        <v>0</v>
      </c>
      <c r="N98" s="1569" t="e">
        <f>Phosphate!O246</f>
        <v>#DIV/0!</v>
      </c>
      <c r="O98" s="1569">
        <f>Phosphate!P246</f>
        <v>0</v>
      </c>
      <c r="P98" s="1569">
        <f>Phosphate!Q246</f>
        <v>0</v>
      </c>
      <c r="Q98" s="1569">
        <f>Phosphate!R246</f>
        <v>0</v>
      </c>
      <c r="R98" s="1569">
        <f>Phosphate!S246</f>
        <v>0</v>
      </c>
      <c r="S98" s="1569" t="e">
        <f>Phosphate!T246</f>
        <v>#DIV/0!</v>
      </c>
      <c r="T98" s="1569" t="e">
        <f>Phosphate!U246</f>
        <v>#DIV/0!</v>
      </c>
      <c r="U98" s="1569" t="e">
        <f>Phosphate!V246</f>
        <v>#DIV/0!</v>
      </c>
      <c r="V98" s="1569">
        <f>Phosphate!W246</f>
        <v>0</v>
      </c>
    </row>
    <row r="99" spans="1:22" s="79" customFormat="1" ht="15.75" thickBot="1">
      <c r="A99" s="3776" t="s">
        <v>198</v>
      </c>
      <c r="B99" s="3776"/>
      <c r="C99" s="1568"/>
      <c r="D99" s="1568"/>
      <c r="E99" s="1568"/>
      <c r="F99" s="1570"/>
      <c r="G99" s="1571"/>
      <c r="H99" s="1572"/>
      <c r="I99" s="1572"/>
      <c r="J99" s="1573"/>
      <c r="K99" s="1571"/>
      <c r="L99" s="1572"/>
      <c r="M99" s="1572"/>
      <c r="N99" s="1574"/>
      <c r="O99" s="371"/>
      <c r="P99" s="321"/>
      <c r="Q99" s="321"/>
      <c r="R99" s="322"/>
      <c r="S99" s="371"/>
      <c r="T99" s="321"/>
      <c r="U99" s="321"/>
      <c r="V99" s="322"/>
    </row>
    <row r="100" spans="1:22" s="79" customFormat="1"/>
    <row r="101" spans="1:22" s="79" customFormat="1"/>
    <row r="102" spans="1:22" s="79" customFormat="1">
      <c r="A102" s="3780" t="s">
        <v>8</v>
      </c>
      <c r="B102" s="3781"/>
    </row>
    <row r="103" spans="1:22" s="79" customFormat="1">
      <c r="A103" s="3782"/>
      <c r="B103" s="3783"/>
    </row>
    <row r="104" spans="1:22" s="79" customFormat="1">
      <c r="A104" s="3776" t="s">
        <v>201</v>
      </c>
      <c r="B104" s="3776"/>
      <c r="C104" s="1568">
        <f>DO!E254</f>
        <v>1</v>
      </c>
      <c r="D104" s="1568">
        <f>DO!F254</f>
        <v>0.33333333333333331</v>
      </c>
      <c r="E104" s="1568">
        <f>DO!G254</f>
        <v>1</v>
      </c>
      <c r="F104" s="1568">
        <f>DO!H254</f>
        <v>1</v>
      </c>
      <c r="G104" s="1568">
        <f>DO!I254</f>
        <v>1</v>
      </c>
      <c r="H104" s="1568">
        <f>DO!J254</f>
        <v>0.66666666666666663</v>
      </c>
      <c r="I104" s="1568">
        <f>DO!K254</f>
        <v>0.33333333333333331</v>
      </c>
      <c r="J104" s="1568">
        <f>DO!L254</f>
        <v>1</v>
      </c>
      <c r="K104" s="1568">
        <f>DO!M254</f>
        <v>1</v>
      </c>
      <c r="L104" s="1568">
        <f>DO!N254</f>
        <v>1</v>
      </c>
      <c r="M104" s="1568">
        <f>DO!O254</f>
        <v>1</v>
      </c>
      <c r="N104" s="1568" t="e">
        <f>DO!P254</f>
        <v>#REF!</v>
      </c>
      <c r="O104" s="1568">
        <f>DO!Q254</f>
        <v>0</v>
      </c>
      <c r="P104" s="1568">
        <f>DO!R254</f>
        <v>0.33333333333333331</v>
      </c>
      <c r="Q104" s="1568">
        <f>DO!S254</f>
        <v>0.66666666666666663</v>
      </c>
      <c r="R104" s="1568">
        <f>DO!T254</f>
        <v>0</v>
      </c>
      <c r="S104" s="1568" t="e">
        <f>DO!U254</f>
        <v>#DIV/0!</v>
      </c>
      <c r="T104" s="1568" t="e">
        <f>DO!V254</f>
        <v>#DIV/0!</v>
      </c>
      <c r="U104" s="1568" t="e">
        <f>DO!W254</f>
        <v>#DIV/0!</v>
      </c>
      <c r="V104" s="1568">
        <f>DO!X254</f>
        <v>0.33333333333333331</v>
      </c>
    </row>
    <row r="105" spans="1:22" s="79" customFormat="1">
      <c r="A105" s="3776" t="s">
        <v>203</v>
      </c>
      <c r="B105" s="3776"/>
      <c r="C105" s="1568">
        <f>DO!E254</f>
        <v>1</v>
      </c>
      <c r="D105" s="1568">
        <f>DO!F254</f>
        <v>0.33333333333333331</v>
      </c>
      <c r="E105" s="1568">
        <f>DO!G254</f>
        <v>1</v>
      </c>
      <c r="F105" s="1568">
        <f>DO!H254</f>
        <v>1</v>
      </c>
      <c r="G105" s="1568">
        <f>DO!I254</f>
        <v>1</v>
      </c>
      <c r="H105" s="1568">
        <f>DO!J254</f>
        <v>0.66666666666666663</v>
      </c>
      <c r="I105" s="1568">
        <f>DO!K254</f>
        <v>0.33333333333333331</v>
      </c>
      <c r="J105" s="1568">
        <f>DO!L254</f>
        <v>1</v>
      </c>
      <c r="K105" s="1568">
        <f>DO!M254</f>
        <v>1</v>
      </c>
      <c r="L105" s="1568">
        <f>DO!N254</f>
        <v>1</v>
      </c>
      <c r="M105" s="1568">
        <f>DO!O254</f>
        <v>1</v>
      </c>
      <c r="N105" s="1568" t="e">
        <f>DO!P254</f>
        <v>#REF!</v>
      </c>
      <c r="O105" s="1568">
        <f>DO!Q254</f>
        <v>0</v>
      </c>
      <c r="P105" s="1568">
        <f>DO!R254</f>
        <v>0.33333333333333331</v>
      </c>
      <c r="Q105" s="1568">
        <f>DO!S254</f>
        <v>0.66666666666666663</v>
      </c>
      <c r="R105" s="1568">
        <f>DO!T254</f>
        <v>0</v>
      </c>
      <c r="S105" s="1568" t="e">
        <f>DO!U254</f>
        <v>#DIV/0!</v>
      </c>
      <c r="T105" s="1568" t="e">
        <f>DO!V254</f>
        <v>#DIV/0!</v>
      </c>
      <c r="U105" s="1568" t="e">
        <f>DO!W254</f>
        <v>#DIV/0!</v>
      </c>
      <c r="V105" s="1568">
        <f>DO!X254</f>
        <v>0.33333333333333331</v>
      </c>
    </row>
    <row r="106" spans="1:22" s="79" customFormat="1">
      <c r="A106" s="3776" t="s">
        <v>204</v>
      </c>
      <c r="B106" s="3776"/>
      <c r="C106" s="1568" t="e">
        <f>TSS!D188</f>
        <v>#DIV/0!</v>
      </c>
      <c r="D106" s="1568" t="e">
        <f>TSS!E188</f>
        <v>#DIV/0!</v>
      </c>
      <c r="E106" s="1568">
        <f>TSS!F188</f>
        <v>0.66666666666666663</v>
      </c>
      <c r="F106" s="1568">
        <f>TSS!G188</f>
        <v>1</v>
      </c>
      <c r="G106" s="1568">
        <f>TSS!H188</f>
        <v>1</v>
      </c>
      <c r="H106" s="1568">
        <f>TSS!I188</f>
        <v>1</v>
      </c>
      <c r="I106" s="1568">
        <f>TSS!J188</f>
        <v>1</v>
      </c>
      <c r="J106" s="1568">
        <f>TSS!K188</f>
        <v>1</v>
      </c>
      <c r="K106" s="1568">
        <f>TSS!L188</f>
        <v>0.66666666666666663</v>
      </c>
      <c r="L106" s="1568">
        <f>TSS!M188</f>
        <v>1</v>
      </c>
      <c r="M106" s="1568">
        <f>TSS!N188</f>
        <v>0.66666666666666663</v>
      </c>
      <c r="N106" s="1568">
        <f>TSS!O188</f>
        <v>1</v>
      </c>
      <c r="O106" s="1568">
        <f>TSS!P188</f>
        <v>1</v>
      </c>
      <c r="P106" s="1568">
        <f>TSS!Q188</f>
        <v>1</v>
      </c>
      <c r="Q106" s="1568">
        <f>TSS!R188</f>
        <v>1</v>
      </c>
      <c r="R106" s="1568">
        <f>TSS!S188</f>
        <v>1</v>
      </c>
      <c r="S106" s="1568" t="e">
        <f>TSS!T188</f>
        <v>#DIV/0!</v>
      </c>
      <c r="T106" s="1568" t="e">
        <f>TSS!U188</f>
        <v>#DIV/0!</v>
      </c>
      <c r="U106" s="1568">
        <f>TSS!V188</f>
        <v>0</v>
      </c>
      <c r="V106" s="1568">
        <f>TSS!W188</f>
        <v>0</v>
      </c>
    </row>
    <row r="107" spans="1:22" s="79" customFormat="1">
      <c r="A107" s="3776" t="s">
        <v>199</v>
      </c>
      <c r="B107" s="3776"/>
      <c r="C107" s="1568" t="e">
        <f>pH!D248</f>
        <v>#DIV/0!</v>
      </c>
      <c r="D107" s="1568" t="e">
        <f>pH!E248</f>
        <v>#DIV/0!</v>
      </c>
      <c r="E107" s="1568">
        <f>pH!F248</f>
        <v>1</v>
      </c>
      <c r="F107" s="1568">
        <f>pH!G248</f>
        <v>1</v>
      </c>
      <c r="G107" s="1568">
        <f>pH!H248</f>
        <v>1</v>
      </c>
      <c r="H107" s="1568">
        <f>pH!I248</f>
        <v>1</v>
      </c>
      <c r="I107" s="1568">
        <f>pH!J248</f>
        <v>1</v>
      </c>
      <c r="J107" s="1568">
        <f>pH!K248</f>
        <v>0.66666666666666663</v>
      </c>
      <c r="K107" s="1568">
        <f>pH!L248</f>
        <v>0.66666666666666663</v>
      </c>
      <c r="L107" s="1568">
        <f>pH!M248</f>
        <v>1</v>
      </c>
      <c r="M107" s="1568">
        <f>pH!N248</f>
        <v>1</v>
      </c>
      <c r="N107" s="1568">
        <f>pH!O248</f>
        <v>0</v>
      </c>
      <c r="O107" s="1568">
        <f>pH!P248</f>
        <v>1</v>
      </c>
      <c r="P107" s="1568">
        <f>pH!Q248</f>
        <v>0.66666666666666663</v>
      </c>
      <c r="Q107" s="1568">
        <f>pH!R248</f>
        <v>1</v>
      </c>
      <c r="R107" s="1568">
        <f>pH!S248</f>
        <v>1</v>
      </c>
      <c r="S107" s="1568" t="e">
        <f>pH!T248</f>
        <v>#DIV/0!</v>
      </c>
      <c r="T107" s="1568" t="e">
        <f>pH!U248</f>
        <v>#DIV/0!</v>
      </c>
      <c r="U107" s="1568" t="e">
        <f>pH!V248</f>
        <v>#DIV/0!</v>
      </c>
      <c r="V107" s="1568">
        <f>pH!W248</f>
        <v>1</v>
      </c>
    </row>
    <row r="108" spans="1:22" s="79" customFormat="1">
      <c r="A108" s="3776" t="s">
        <v>170</v>
      </c>
      <c r="B108" s="3776"/>
      <c r="C108" s="1568" t="e">
        <f>Nitrate!D245</f>
        <v>#DIV/0!</v>
      </c>
      <c r="D108" s="1568" t="e">
        <f>Nitrate!E245</f>
        <v>#DIV/0!</v>
      </c>
      <c r="E108" s="1568" t="e">
        <f>Nitrate!F245</f>
        <v>#DIV/0!</v>
      </c>
      <c r="F108" s="1568" t="e">
        <f>Nitrate!G245</f>
        <v>#DIV/0!</v>
      </c>
      <c r="G108" s="1568" t="e">
        <f>Nitrate!H245</f>
        <v>#DIV/0!</v>
      </c>
      <c r="H108" s="1568">
        <f>Nitrate!I245</f>
        <v>1</v>
      </c>
      <c r="I108" s="1568">
        <f>Nitrate!J245</f>
        <v>1</v>
      </c>
      <c r="J108" s="1568">
        <f>Nitrate!K245</f>
        <v>1</v>
      </c>
      <c r="K108" s="1568">
        <f>Nitrate!L245</f>
        <v>1</v>
      </c>
      <c r="L108" s="1568" t="e">
        <f>Nitrate!M245</f>
        <v>#DIV/0!</v>
      </c>
      <c r="M108" s="1568">
        <f>Nitrate!N245</f>
        <v>1</v>
      </c>
      <c r="N108" s="1568" t="e">
        <f>Nitrate!O245</f>
        <v>#DIV/0!</v>
      </c>
      <c r="O108" s="1568">
        <f>Nitrate!P245</f>
        <v>1</v>
      </c>
      <c r="P108" s="1568">
        <f>Nitrate!Q245</f>
        <v>1</v>
      </c>
      <c r="Q108" s="1568">
        <f>Nitrate!R245</f>
        <v>1</v>
      </c>
      <c r="R108" s="1568">
        <f>Nitrate!S245</f>
        <v>1</v>
      </c>
      <c r="S108" s="1568" t="e">
        <f>Nitrate!T245</f>
        <v>#DIV/0!</v>
      </c>
      <c r="T108" s="1568" t="e">
        <f>Nitrate!U245</f>
        <v>#DIV/0!</v>
      </c>
      <c r="U108" s="1568" t="e">
        <f>Nitrate!V245</f>
        <v>#DIV/0!</v>
      </c>
      <c r="V108" s="1568">
        <f>Nitrate!W245</f>
        <v>1</v>
      </c>
    </row>
    <row r="109" spans="1:22" s="79" customFormat="1">
      <c r="A109" s="3777" t="s">
        <v>169</v>
      </c>
      <c r="B109" s="3777"/>
      <c r="C109" s="1569" t="e">
        <f>Phosphate!D249</f>
        <v>#DIV/0!</v>
      </c>
      <c r="D109" s="1569" t="e">
        <f>Phosphate!E249</f>
        <v>#DIV/0!</v>
      </c>
      <c r="E109" s="1569" t="e">
        <f>Phosphate!F249</f>
        <v>#DIV/0!</v>
      </c>
      <c r="F109" s="1569" t="e">
        <f>Phosphate!G249</f>
        <v>#DIV/0!</v>
      </c>
      <c r="G109" s="1569" t="e">
        <f>Phosphate!H249</f>
        <v>#DIV/0!</v>
      </c>
      <c r="H109" s="1569">
        <f>Phosphate!I249</f>
        <v>1</v>
      </c>
      <c r="I109" s="1569">
        <f>Phosphate!J249</f>
        <v>1</v>
      </c>
      <c r="J109" s="1569">
        <f>Phosphate!K249</f>
        <v>1</v>
      </c>
      <c r="K109" s="1569">
        <f>Phosphate!L249</f>
        <v>1</v>
      </c>
      <c r="L109" s="1569" t="e">
        <f>Phosphate!M249</f>
        <v>#DIV/0!</v>
      </c>
      <c r="M109" s="1569">
        <f>Phosphate!N249</f>
        <v>1</v>
      </c>
      <c r="N109" s="1569" t="e">
        <f>Phosphate!O249</f>
        <v>#DIV/0!</v>
      </c>
      <c r="O109" s="1569">
        <f>Phosphate!P249</f>
        <v>1</v>
      </c>
      <c r="P109" s="1569">
        <f>Phosphate!Q249</f>
        <v>1</v>
      </c>
      <c r="Q109" s="1569">
        <f>Phosphate!R249</f>
        <v>1</v>
      </c>
      <c r="R109" s="1569">
        <f>Phosphate!S249</f>
        <v>1</v>
      </c>
      <c r="S109" s="1569" t="e">
        <f>Phosphate!T249</f>
        <v>#DIV/0!</v>
      </c>
      <c r="T109" s="1569" t="e">
        <f>Phosphate!U249</f>
        <v>#DIV/0!</v>
      </c>
      <c r="U109" s="1569" t="e">
        <f>Phosphate!V249</f>
        <v>#DIV/0!</v>
      </c>
      <c r="V109" s="1569">
        <f>Phosphate!W249</f>
        <v>1</v>
      </c>
    </row>
    <row r="110" spans="1:22" s="79" customFormat="1" ht="15.75" thickBot="1">
      <c r="A110" s="3776" t="s">
        <v>198</v>
      </c>
      <c r="B110" s="3776"/>
      <c r="C110" s="1568"/>
      <c r="D110" s="1568"/>
      <c r="E110" s="1568"/>
      <c r="F110" s="1570"/>
      <c r="G110" s="1571"/>
      <c r="H110" s="1572"/>
      <c r="I110" s="1572"/>
      <c r="J110" s="1573"/>
      <c r="K110" s="1571"/>
      <c r="L110" s="1572"/>
      <c r="M110" s="1572"/>
      <c r="N110" s="1574"/>
      <c r="O110" s="371"/>
      <c r="P110" s="321"/>
      <c r="Q110" s="321"/>
      <c r="R110" s="322"/>
      <c r="S110" s="371"/>
      <c r="T110" s="321"/>
      <c r="U110" s="321"/>
      <c r="V110" s="322"/>
    </row>
    <row r="111" spans="1:22" s="79" customFormat="1"/>
    <row r="112" spans="1:22" s="79" customFormat="1" ht="15.75" thickBot="1">
      <c r="A112" s="1575"/>
      <c r="B112" s="1575"/>
      <c r="C112" s="1575"/>
      <c r="D112" s="1575"/>
      <c r="E112" s="1575"/>
      <c r="F112" s="1575"/>
      <c r="G112" s="1575"/>
      <c r="H112" s="1575"/>
      <c r="I112" s="1575"/>
      <c r="J112" s="1575"/>
      <c r="K112" s="1575"/>
      <c r="L112" s="1575"/>
      <c r="M112" s="1575"/>
      <c r="N112" s="1575"/>
      <c r="O112" s="1575"/>
      <c r="P112" s="1575"/>
      <c r="Q112" s="1575"/>
      <c r="R112" s="1575"/>
    </row>
    <row r="113" spans="1:22" s="79" customFormat="1" ht="15.75" thickTop="1">
      <c r="A113" s="3784" t="s">
        <v>126</v>
      </c>
      <c r="B113" s="3784"/>
    </row>
    <row r="114" spans="1:22" s="79" customFormat="1">
      <c r="A114" s="3775"/>
      <c r="B114" s="3775"/>
    </row>
    <row r="115" spans="1:22" s="79" customFormat="1">
      <c r="A115" s="3780" t="s">
        <v>42</v>
      </c>
      <c r="B115" s="3781"/>
    </row>
    <row r="116" spans="1:22" s="79" customFormat="1">
      <c r="A116" s="3782"/>
      <c r="B116" s="3783"/>
    </row>
    <row r="117" spans="1:22" s="79" customFormat="1">
      <c r="A117" s="3776" t="s">
        <v>201</v>
      </c>
      <c r="B117" s="3776"/>
      <c r="C117" s="1568">
        <f>DO!E257</f>
        <v>0.16666666666666666</v>
      </c>
      <c r="D117" s="1568">
        <f>DO!F257</f>
        <v>0.14285714285714285</v>
      </c>
      <c r="E117" s="1568">
        <f>DO!G257</f>
        <v>0.42857142857142855</v>
      </c>
      <c r="F117" s="1568">
        <f>DO!H257</f>
        <v>0.5714285714285714</v>
      </c>
      <c r="G117" s="1568">
        <f>DO!I257</f>
        <v>0.5714285714285714</v>
      </c>
      <c r="H117" s="1568">
        <f>DO!J257</f>
        <v>0.14285714285714285</v>
      </c>
      <c r="I117" s="1568">
        <f>DO!K257</f>
        <v>0</v>
      </c>
      <c r="J117" s="1568">
        <f>DO!L257</f>
        <v>0</v>
      </c>
      <c r="K117" s="1568">
        <f>DO!M257</f>
        <v>0</v>
      </c>
      <c r="L117" s="1568">
        <f>DO!N257</f>
        <v>0</v>
      </c>
      <c r="M117" s="1568">
        <f>DO!O257</f>
        <v>0</v>
      </c>
      <c r="N117" s="1568" t="e">
        <f>DO!P257</f>
        <v>#REF!</v>
      </c>
      <c r="O117" s="1568">
        <f>DO!Q257</f>
        <v>0</v>
      </c>
      <c r="P117" s="1568">
        <f>DO!R257</f>
        <v>0</v>
      </c>
      <c r="Q117" s="1568">
        <f>DO!S257</f>
        <v>0</v>
      </c>
      <c r="R117" s="1568">
        <f>DO!T257</f>
        <v>0</v>
      </c>
      <c r="S117" s="1568">
        <f>DO!U257</f>
        <v>0</v>
      </c>
      <c r="T117" s="1568">
        <f>DO!V257</f>
        <v>0</v>
      </c>
      <c r="U117" s="1568">
        <f>DO!W257</f>
        <v>0</v>
      </c>
      <c r="V117" s="1568">
        <f>DO!X257</f>
        <v>0</v>
      </c>
    </row>
    <row r="118" spans="1:22" s="79" customFormat="1">
      <c r="A118" s="3776" t="s">
        <v>203</v>
      </c>
      <c r="B118" s="3776"/>
      <c r="C118" s="1568">
        <f>BOD!D251</f>
        <v>0</v>
      </c>
      <c r="D118" s="1568">
        <f>BOD!E251</f>
        <v>0.14285714285714285</v>
      </c>
      <c r="E118" s="1568">
        <f>BOD!F251</f>
        <v>0</v>
      </c>
      <c r="F118" s="1568">
        <f>BOD!G251</f>
        <v>0.2857142857142857</v>
      </c>
      <c r="G118" s="1568">
        <f>BOD!H251</f>
        <v>0</v>
      </c>
      <c r="H118" s="1568">
        <f>BOD!I251</f>
        <v>0</v>
      </c>
      <c r="I118" s="1568">
        <f>BOD!J251</f>
        <v>0</v>
      </c>
      <c r="J118" s="1568">
        <f>BOD!K251</f>
        <v>0</v>
      </c>
      <c r="K118" s="1568">
        <f>BOD!L251</f>
        <v>0</v>
      </c>
      <c r="L118" s="1568">
        <f>BOD!M251</f>
        <v>0</v>
      </c>
      <c r="M118" s="1568">
        <f>BOD!N251</f>
        <v>0</v>
      </c>
      <c r="N118" s="1568">
        <f>BOD!O251</f>
        <v>0</v>
      </c>
      <c r="O118" s="1568">
        <f>BOD!P251</f>
        <v>0</v>
      </c>
      <c r="P118" s="1568">
        <f>BOD!Q251</f>
        <v>0</v>
      </c>
      <c r="Q118" s="1568">
        <f>BOD!R251</f>
        <v>0</v>
      </c>
      <c r="R118" s="1568">
        <f>BOD!S251</f>
        <v>0</v>
      </c>
      <c r="S118" s="1568">
        <f>BOD!T251</f>
        <v>0</v>
      </c>
      <c r="T118" s="1568">
        <f>BOD!U251</f>
        <v>0</v>
      </c>
      <c r="U118" s="1568">
        <f>BOD!V251</f>
        <v>0</v>
      </c>
      <c r="V118" s="1568">
        <f>BOD!W251</f>
        <v>0</v>
      </c>
    </row>
    <row r="119" spans="1:22" s="79" customFormat="1">
      <c r="A119" s="3776" t="s">
        <v>204</v>
      </c>
      <c r="B119" s="3776"/>
      <c r="C119" s="1568">
        <f>TSS!D191</f>
        <v>1</v>
      </c>
      <c r="D119" s="1568">
        <f>TSS!E191</f>
        <v>1</v>
      </c>
      <c r="E119" s="1568">
        <f>TSS!F191</f>
        <v>1</v>
      </c>
      <c r="F119" s="1568">
        <f>TSS!G191</f>
        <v>1</v>
      </c>
      <c r="G119" s="1568">
        <f>TSS!H191</f>
        <v>1</v>
      </c>
      <c r="H119" s="1568">
        <f>TSS!I191</f>
        <v>0.8571428571428571</v>
      </c>
      <c r="I119" s="1568">
        <f>TSS!J191</f>
        <v>1</v>
      </c>
      <c r="J119" s="1568">
        <f>TSS!K191</f>
        <v>1</v>
      </c>
      <c r="K119" s="1568">
        <f>TSS!L191</f>
        <v>0.83333333333333337</v>
      </c>
      <c r="L119" s="1568">
        <f>TSS!M191</f>
        <v>0.8571428571428571</v>
      </c>
      <c r="M119" s="1568">
        <f>TSS!N191</f>
        <v>1</v>
      </c>
      <c r="N119" s="1568" t="e">
        <f>TSS!O191</f>
        <v>#DIV/0!</v>
      </c>
      <c r="O119" s="1568">
        <f>TSS!P191</f>
        <v>0.5714285714285714</v>
      </c>
      <c r="P119" s="1568">
        <f>TSS!Q191</f>
        <v>0.83333333333333337</v>
      </c>
      <c r="Q119" s="1568">
        <f>TSS!R191</f>
        <v>0.8571428571428571</v>
      </c>
      <c r="R119" s="1568">
        <f>TSS!S191</f>
        <v>0.42857142857142855</v>
      </c>
      <c r="S119" s="1568">
        <f>TSS!T191</f>
        <v>0.5714285714285714</v>
      </c>
      <c r="T119" s="1568">
        <f>TSS!U191</f>
        <v>0.66666666666666663</v>
      </c>
      <c r="U119" s="1568">
        <f>TSS!V191</f>
        <v>0</v>
      </c>
      <c r="V119" s="1568">
        <f>TSS!W191</f>
        <v>0</v>
      </c>
    </row>
    <row r="120" spans="1:22" s="79" customFormat="1">
      <c r="A120" s="3776" t="s">
        <v>199</v>
      </c>
      <c r="B120" s="3776"/>
      <c r="C120" s="1568">
        <f>pH!D251</f>
        <v>1</v>
      </c>
      <c r="D120" s="1568">
        <f>pH!E251</f>
        <v>1</v>
      </c>
      <c r="E120" s="1568">
        <f>pH!F251</f>
        <v>1</v>
      </c>
      <c r="F120" s="1568">
        <f>pH!G251</f>
        <v>1</v>
      </c>
      <c r="G120" s="1568">
        <f>pH!H251</f>
        <v>1</v>
      </c>
      <c r="H120" s="1568">
        <f>pH!I251</f>
        <v>0.7142857142857143</v>
      </c>
      <c r="I120" s="1568">
        <f>pH!J251</f>
        <v>1</v>
      </c>
      <c r="J120" s="1568">
        <f>pH!K251</f>
        <v>0.5714285714285714</v>
      </c>
      <c r="K120" s="1568">
        <f>pH!L251</f>
        <v>0</v>
      </c>
      <c r="L120" s="1568">
        <f>pH!M251</f>
        <v>0.8571428571428571</v>
      </c>
      <c r="M120" s="1568">
        <f>pH!N251</f>
        <v>1</v>
      </c>
      <c r="N120" s="1568" t="e">
        <f>pH!O251</f>
        <v>#DIV/0!</v>
      </c>
      <c r="O120" s="1568">
        <f>pH!P251</f>
        <v>1</v>
      </c>
      <c r="P120" s="1568">
        <f>pH!Q251</f>
        <v>1</v>
      </c>
      <c r="Q120" s="1568">
        <f>pH!R251</f>
        <v>1</v>
      </c>
      <c r="R120" s="1568">
        <f>pH!S251</f>
        <v>0.7142857142857143</v>
      </c>
      <c r="S120" s="1568">
        <f>pH!T251</f>
        <v>1</v>
      </c>
      <c r="T120" s="1568">
        <f>pH!U251</f>
        <v>1</v>
      </c>
      <c r="U120" s="1568">
        <f>pH!V251</f>
        <v>0</v>
      </c>
      <c r="V120" s="1568">
        <f>pH!W251</f>
        <v>1</v>
      </c>
    </row>
    <row r="121" spans="1:22" s="79" customFormat="1">
      <c r="A121" s="3776" t="s">
        <v>170</v>
      </c>
      <c r="B121" s="3776"/>
      <c r="C121" s="1568">
        <f>Nitrate!D251</f>
        <v>0.8571428571428571</v>
      </c>
      <c r="D121" s="1568">
        <f>Nitrate!E251</f>
        <v>0.8571428571428571</v>
      </c>
      <c r="E121" s="1568">
        <f>Nitrate!F251</f>
        <v>0.8571428571428571</v>
      </c>
      <c r="F121" s="1568">
        <f>Nitrate!G251</f>
        <v>0.7142857142857143</v>
      </c>
      <c r="G121" s="1568">
        <f>Nitrate!H251</f>
        <v>1</v>
      </c>
      <c r="H121" s="1568">
        <f>Nitrate!I251</f>
        <v>1</v>
      </c>
      <c r="I121" s="1568">
        <f>Nitrate!J251</f>
        <v>0.8571428571428571</v>
      </c>
      <c r="J121" s="1568">
        <f>Nitrate!K251</f>
        <v>0.8571428571428571</v>
      </c>
      <c r="K121" s="1568">
        <f>Nitrate!L251</f>
        <v>0.83333333333333337</v>
      </c>
      <c r="L121" s="1568">
        <f>Nitrate!M251</f>
        <v>0.7142857142857143</v>
      </c>
      <c r="M121" s="1568">
        <f>Nitrate!N251</f>
        <v>0.7142857142857143</v>
      </c>
      <c r="N121" s="1568" t="e">
        <f>Nitrate!O251</f>
        <v>#DIV/0!</v>
      </c>
      <c r="O121" s="1568">
        <f>Nitrate!P251</f>
        <v>0.5714285714285714</v>
      </c>
      <c r="P121" s="1568">
        <f>Nitrate!Q251</f>
        <v>0.83333333333333337</v>
      </c>
      <c r="Q121" s="1568">
        <f>Nitrate!R251</f>
        <v>0.7142857142857143</v>
      </c>
      <c r="R121" s="1568">
        <f>Nitrate!S251</f>
        <v>0.5714285714285714</v>
      </c>
      <c r="S121" s="1568">
        <f>Nitrate!T251</f>
        <v>0.5714285714285714</v>
      </c>
      <c r="T121" s="1568">
        <f>Nitrate!U251</f>
        <v>0.66666666666666663</v>
      </c>
      <c r="U121" s="1568">
        <f>Nitrate!V251</f>
        <v>0.5714285714285714</v>
      </c>
      <c r="V121" s="1568">
        <f>Nitrate!W251</f>
        <v>0.5714285714285714</v>
      </c>
    </row>
    <row r="122" spans="1:22" s="79" customFormat="1">
      <c r="A122" s="3777" t="s">
        <v>169</v>
      </c>
      <c r="B122" s="3777"/>
      <c r="C122" s="1569">
        <f>Phosphate!D252</f>
        <v>0</v>
      </c>
      <c r="D122" s="1569">
        <f>Phosphate!E252</f>
        <v>0</v>
      </c>
      <c r="E122" s="1569">
        <f>Phosphate!F252</f>
        <v>0</v>
      </c>
      <c r="F122" s="1569">
        <f>Phosphate!G252</f>
        <v>0</v>
      </c>
      <c r="G122" s="1569">
        <f>Phosphate!H252</f>
        <v>0</v>
      </c>
      <c r="H122" s="1569">
        <f>Phosphate!I252</f>
        <v>0</v>
      </c>
      <c r="I122" s="1569">
        <f>Phosphate!J252</f>
        <v>0</v>
      </c>
      <c r="J122" s="1569">
        <f>Phosphate!K252</f>
        <v>0</v>
      </c>
      <c r="K122" s="1569">
        <f>Phosphate!L252</f>
        <v>0</v>
      </c>
      <c r="L122" s="1569">
        <f>Phosphate!M252</f>
        <v>0</v>
      </c>
      <c r="M122" s="1569">
        <f>Phosphate!N252</f>
        <v>0</v>
      </c>
      <c r="N122" s="1569" t="e">
        <f>Phosphate!O252</f>
        <v>#DIV/0!</v>
      </c>
      <c r="O122" s="1569">
        <f>Phosphate!P252</f>
        <v>0</v>
      </c>
      <c r="P122" s="1569">
        <f>Phosphate!Q252</f>
        <v>0</v>
      </c>
      <c r="Q122" s="1569">
        <f>Phosphate!R252</f>
        <v>0</v>
      </c>
      <c r="R122" s="1569">
        <f>Phosphate!S252</f>
        <v>0</v>
      </c>
      <c r="S122" s="1569">
        <f>Phosphate!T252</f>
        <v>0</v>
      </c>
      <c r="T122" s="1569">
        <f>Phosphate!U252</f>
        <v>0</v>
      </c>
      <c r="U122" s="1569">
        <f>Phosphate!V252</f>
        <v>0</v>
      </c>
      <c r="V122" s="1569">
        <f>Phosphate!W252</f>
        <v>0</v>
      </c>
    </row>
    <row r="123" spans="1:22" s="79" customFormat="1">
      <c r="A123" s="3776" t="s">
        <v>198</v>
      </c>
      <c r="B123" s="3776"/>
      <c r="C123" s="1568">
        <f>'Oil &amp; Grease'!D72</f>
        <v>0</v>
      </c>
      <c r="D123" s="1568">
        <f>'Oil &amp; Grease'!E72</f>
        <v>0.14285714285714285</v>
      </c>
      <c r="E123" s="1568">
        <f>'Oil &amp; Grease'!F72</f>
        <v>0.42857142857142855</v>
      </c>
      <c r="F123" s="1568">
        <f>'Oil &amp; Grease'!G72</f>
        <v>0.14285714285714285</v>
      </c>
      <c r="G123" s="1568">
        <f>'Oil &amp; Grease'!H72</f>
        <v>0</v>
      </c>
      <c r="H123" s="1568">
        <f>'Oil &amp; Grease'!I72</f>
        <v>0</v>
      </c>
      <c r="I123" s="1568">
        <f>'Oil &amp; Grease'!J72</f>
        <v>0</v>
      </c>
      <c r="J123" s="1568" t="e">
        <f>'Oil &amp; Grease'!K72</f>
        <v>#DIV/0!</v>
      </c>
      <c r="K123" s="1568">
        <f>'Oil &amp; Grease'!L72</f>
        <v>0</v>
      </c>
      <c r="L123" s="1568">
        <f>'Oil &amp; Grease'!M72</f>
        <v>0</v>
      </c>
      <c r="M123" s="1568">
        <f>'Oil &amp; Grease'!N72</f>
        <v>0.14285714285714285</v>
      </c>
      <c r="N123" s="1568" t="e">
        <f>'Oil &amp; Grease'!O72</f>
        <v>#DIV/0!</v>
      </c>
      <c r="O123" s="1568" t="e">
        <f>'Oil &amp; Grease'!P72</f>
        <v>#DIV/0!</v>
      </c>
      <c r="P123" s="1568" t="e">
        <f>'Oil &amp; Grease'!Q72</f>
        <v>#DIV/0!</v>
      </c>
      <c r="Q123" s="1568" t="e">
        <f>'Oil &amp; Grease'!R72</f>
        <v>#DIV/0!</v>
      </c>
      <c r="R123" s="1568">
        <f>'Oil &amp; Grease'!S72</f>
        <v>0</v>
      </c>
      <c r="S123" s="1568">
        <f>'Oil &amp; Grease'!T72</f>
        <v>0</v>
      </c>
      <c r="T123" s="1568">
        <f>'Oil &amp; Grease'!U72</f>
        <v>0</v>
      </c>
      <c r="U123" s="1568">
        <f>'Oil &amp; Grease'!V72</f>
        <v>0</v>
      </c>
      <c r="V123" s="1568">
        <f>'Oil &amp; Grease'!W72</f>
        <v>0</v>
      </c>
    </row>
    <row r="124" spans="1:22" s="79" customFormat="1"/>
    <row r="125" spans="1:22" s="79" customFormat="1"/>
    <row r="126" spans="1:22" s="79" customFormat="1">
      <c r="A126" s="3780" t="s">
        <v>49</v>
      </c>
      <c r="B126" s="3781"/>
    </row>
    <row r="127" spans="1:22" s="79" customFormat="1">
      <c r="A127" s="3782"/>
      <c r="B127" s="3783"/>
    </row>
    <row r="128" spans="1:22" s="79" customFormat="1">
      <c r="A128" s="3776" t="s">
        <v>201</v>
      </c>
      <c r="B128" s="3776"/>
      <c r="C128" s="1568">
        <f>DO!E260</f>
        <v>0</v>
      </c>
      <c r="D128" s="1568">
        <f>DO!F260</f>
        <v>0</v>
      </c>
      <c r="E128" s="1568">
        <f>DO!G260</f>
        <v>0.22222222222222221</v>
      </c>
      <c r="F128" s="1568">
        <f>DO!H260</f>
        <v>0.55555555555555558</v>
      </c>
      <c r="G128" s="1568">
        <f>DO!I260</f>
        <v>0.55555555555555558</v>
      </c>
      <c r="H128" s="1568">
        <f>DO!J260</f>
        <v>0</v>
      </c>
      <c r="I128" s="1568">
        <f>DO!K260</f>
        <v>0</v>
      </c>
      <c r="J128" s="1568">
        <f>DO!L260</f>
        <v>0</v>
      </c>
      <c r="K128" s="1568">
        <f>DO!M260</f>
        <v>0</v>
      </c>
      <c r="L128" s="1568">
        <f>DO!N260</f>
        <v>0</v>
      </c>
      <c r="M128" s="1568">
        <f>DO!O260</f>
        <v>0</v>
      </c>
      <c r="N128" s="1568" t="e">
        <f>DO!P260</f>
        <v>#REF!</v>
      </c>
      <c r="O128" s="1568">
        <f>DO!Q260</f>
        <v>0</v>
      </c>
      <c r="P128" s="1568">
        <f>DO!R260</f>
        <v>0</v>
      </c>
      <c r="Q128" s="1568">
        <f>DO!S260</f>
        <v>0</v>
      </c>
      <c r="R128" s="1568">
        <f>DO!T260</f>
        <v>0</v>
      </c>
      <c r="S128" s="1568">
        <f>DO!U260</f>
        <v>0</v>
      </c>
      <c r="T128" s="1568">
        <f>DO!V260</f>
        <v>0</v>
      </c>
      <c r="U128" s="1568">
        <f>DO!W260</f>
        <v>0</v>
      </c>
      <c r="V128" s="1568">
        <f>DO!X260</f>
        <v>0</v>
      </c>
    </row>
    <row r="129" spans="1:22" s="79" customFormat="1">
      <c r="A129" s="3776" t="s">
        <v>203</v>
      </c>
      <c r="B129" s="3776"/>
      <c r="C129" s="1568">
        <f>BOD!D254</f>
        <v>0</v>
      </c>
      <c r="D129" s="1568">
        <f>BOD!E254</f>
        <v>0.22222222222222221</v>
      </c>
      <c r="E129" s="1568">
        <f>BOD!F254</f>
        <v>0</v>
      </c>
      <c r="F129" s="1568">
        <f>BOD!G254</f>
        <v>0.33333333333333331</v>
      </c>
      <c r="G129" s="1568">
        <f>BOD!H254</f>
        <v>0</v>
      </c>
      <c r="H129" s="1568">
        <f>BOD!I254</f>
        <v>0</v>
      </c>
      <c r="I129" s="1568">
        <f>BOD!J254</f>
        <v>0</v>
      </c>
      <c r="J129" s="1568">
        <f>BOD!K254</f>
        <v>0</v>
      </c>
      <c r="K129" s="1568">
        <f>BOD!L254</f>
        <v>0</v>
      </c>
      <c r="L129" s="1568">
        <f>BOD!M254</f>
        <v>0</v>
      </c>
      <c r="M129" s="1568">
        <f>BOD!N254</f>
        <v>0</v>
      </c>
      <c r="N129" s="1568">
        <f>BOD!O254</f>
        <v>0</v>
      </c>
      <c r="O129" s="1568">
        <f>BOD!P254</f>
        <v>0</v>
      </c>
      <c r="P129" s="1568">
        <f>BOD!Q254</f>
        <v>0</v>
      </c>
      <c r="Q129" s="1568">
        <f>BOD!R254</f>
        <v>0</v>
      </c>
      <c r="R129" s="1568">
        <f>BOD!S254</f>
        <v>0</v>
      </c>
      <c r="S129" s="1568">
        <f>BOD!T254</f>
        <v>0</v>
      </c>
      <c r="T129" s="1568">
        <f>BOD!U254</f>
        <v>0</v>
      </c>
      <c r="U129" s="1568">
        <f>BOD!V254</f>
        <v>0</v>
      </c>
      <c r="V129" s="1568">
        <f>BOD!W254</f>
        <v>0</v>
      </c>
    </row>
    <row r="130" spans="1:22" s="79" customFormat="1">
      <c r="A130" s="3776" t="s">
        <v>204</v>
      </c>
      <c r="B130" s="3776"/>
      <c r="C130" s="1568">
        <f>TSS!D194</f>
        <v>1</v>
      </c>
      <c r="D130" s="1568">
        <f>TSS!E194</f>
        <v>1</v>
      </c>
      <c r="E130" s="1568">
        <f>TSS!F194</f>
        <v>1</v>
      </c>
      <c r="F130" s="1568">
        <f>TSS!G194</f>
        <v>1</v>
      </c>
      <c r="G130" s="1568">
        <f>TSS!H194</f>
        <v>1</v>
      </c>
      <c r="H130" s="1568">
        <f>TSS!I194</f>
        <v>1</v>
      </c>
      <c r="I130" s="1568">
        <f>TSS!J194</f>
        <v>1</v>
      </c>
      <c r="J130" s="1568">
        <f>TSS!K194</f>
        <v>1</v>
      </c>
      <c r="K130" s="1568">
        <f>TSS!L194</f>
        <v>1</v>
      </c>
      <c r="L130" s="1568">
        <f>TSS!M194</f>
        <v>0.88888888888888884</v>
      </c>
      <c r="M130" s="1568">
        <f>TSS!N194</f>
        <v>1</v>
      </c>
      <c r="N130" s="1568" t="e">
        <f>TSS!O194</f>
        <v>#DIV/0!</v>
      </c>
      <c r="O130" s="1568">
        <f>TSS!P194</f>
        <v>0.88888888888888884</v>
      </c>
      <c r="P130" s="1568">
        <f>TSS!Q194</f>
        <v>1</v>
      </c>
      <c r="Q130" s="1568">
        <f>TSS!R194</f>
        <v>1</v>
      </c>
      <c r="R130" s="1568">
        <f>TSS!S194</f>
        <v>1</v>
      </c>
      <c r="S130" s="1568">
        <f>TSS!T194</f>
        <v>0.88888888888888884</v>
      </c>
      <c r="T130" s="1568">
        <f>TSS!U194</f>
        <v>1</v>
      </c>
      <c r="U130" s="1568">
        <f>TSS!V194</f>
        <v>0</v>
      </c>
      <c r="V130" s="1568">
        <f>TSS!W194</f>
        <v>0</v>
      </c>
    </row>
    <row r="131" spans="1:22" s="79" customFormat="1">
      <c r="A131" s="3776" t="s">
        <v>199</v>
      </c>
      <c r="B131" s="3776"/>
      <c r="C131" s="1568">
        <f>pH!D254</f>
        <v>0.55555555555555558</v>
      </c>
      <c r="D131" s="1568">
        <f>pH!E254</f>
        <v>1</v>
      </c>
      <c r="E131" s="1568">
        <f>pH!F254</f>
        <v>1</v>
      </c>
      <c r="F131" s="1568">
        <f>pH!G254</f>
        <v>1</v>
      </c>
      <c r="G131" s="1568">
        <f>pH!H254</f>
        <v>0.66666666666666663</v>
      </c>
      <c r="H131" s="1568">
        <f>pH!I254</f>
        <v>1</v>
      </c>
      <c r="I131" s="1568">
        <f>pH!J254</f>
        <v>0.66666666666666663</v>
      </c>
      <c r="J131" s="1568">
        <f>pH!K254</f>
        <v>0.77777777777777779</v>
      </c>
      <c r="K131" s="1568" t="e">
        <f>pH!L254</f>
        <v>#DIV/0!</v>
      </c>
      <c r="L131" s="1568" t="e">
        <f>pH!M254</f>
        <v>#DIV/0!</v>
      </c>
      <c r="M131" s="1568">
        <f>pH!N254</f>
        <v>0</v>
      </c>
      <c r="N131" s="1568" t="e">
        <f>pH!O254</f>
        <v>#DIV/0!</v>
      </c>
      <c r="O131" s="1568">
        <f>pH!P254</f>
        <v>1</v>
      </c>
      <c r="P131" s="1568">
        <f>pH!Q254</f>
        <v>1</v>
      </c>
      <c r="Q131" s="1568">
        <f>pH!R254</f>
        <v>1</v>
      </c>
      <c r="R131" s="1568">
        <f>pH!S254</f>
        <v>1</v>
      </c>
      <c r="S131" s="1568">
        <f>pH!T254</f>
        <v>1</v>
      </c>
      <c r="T131" s="1568">
        <f>pH!U254</f>
        <v>1</v>
      </c>
      <c r="U131" s="1568">
        <f>pH!V254</f>
        <v>1</v>
      </c>
      <c r="V131" s="1568">
        <f>pH!W254</f>
        <v>1</v>
      </c>
    </row>
    <row r="132" spans="1:22" s="79" customFormat="1">
      <c r="A132" s="3776" t="s">
        <v>170</v>
      </c>
      <c r="B132" s="3776"/>
      <c r="C132" s="1568">
        <f>Nitrate!D254</f>
        <v>1</v>
      </c>
      <c r="D132" s="1568">
        <f>Nitrate!E254</f>
        <v>1</v>
      </c>
      <c r="E132" s="1568">
        <f>Nitrate!F254</f>
        <v>1</v>
      </c>
      <c r="F132" s="1568">
        <f>Nitrate!G254</f>
        <v>1</v>
      </c>
      <c r="G132" s="1568">
        <f>Nitrate!H254</f>
        <v>1</v>
      </c>
      <c r="H132" s="1568">
        <f>Nitrate!I254</f>
        <v>1</v>
      </c>
      <c r="I132" s="1568">
        <f>Nitrate!J254</f>
        <v>1</v>
      </c>
      <c r="J132" s="1568">
        <f>Nitrate!K254</f>
        <v>1</v>
      </c>
      <c r="K132" s="1568">
        <f>Nitrate!L254</f>
        <v>0.66666666666666663</v>
      </c>
      <c r="L132" s="1568">
        <f>Nitrate!M254</f>
        <v>0.44444444444444442</v>
      </c>
      <c r="M132" s="1568">
        <f>Nitrate!N254</f>
        <v>0.66666666666666663</v>
      </c>
      <c r="N132" s="1568" t="e">
        <f>Nitrate!O254</f>
        <v>#DIV/0!</v>
      </c>
      <c r="O132" s="1568">
        <f>Nitrate!P254</f>
        <v>0.77777777777777779</v>
      </c>
      <c r="P132" s="1568">
        <f>Nitrate!Q254</f>
        <v>1</v>
      </c>
      <c r="Q132" s="1568">
        <f>Nitrate!R254</f>
        <v>1</v>
      </c>
      <c r="R132" s="1568">
        <f>Nitrate!S254</f>
        <v>1</v>
      </c>
      <c r="S132" s="1568">
        <f>Nitrate!T254</f>
        <v>0.77777777777777779</v>
      </c>
      <c r="T132" s="1568">
        <f>Nitrate!U254</f>
        <v>0.88888888888888884</v>
      </c>
      <c r="U132" s="1568">
        <f>Nitrate!V254</f>
        <v>1</v>
      </c>
      <c r="V132" s="1568">
        <f>Nitrate!W254</f>
        <v>0.77777777777777779</v>
      </c>
    </row>
    <row r="133" spans="1:22" s="79" customFormat="1">
      <c r="A133" s="3777" t="s">
        <v>169</v>
      </c>
      <c r="B133" s="3777"/>
      <c r="C133" s="1569">
        <f>Phosphate!D255</f>
        <v>0</v>
      </c>
      <c r="D133" s="1569">
        <f>Phosphate!E255</f>
        <v>0</v>
      </c>
      <c r="E133" s="1569">
        <f>Phosphate!F255</f>
        <v>0</v>
      </c>
      <c r="F133" s="1569">
        <f>Phosphate!G255</f>
        <v>0</v>
      </c>
      <c r="G133" s="1569">
        <f>Phosphate!H255</f>
        <v>0</v>
      </c>
      <c r="H133" s="1569">
        <f>Phosphate!I255</f>
        <v>0</v>
      </c>
      <c r="I133" s="1569">
        <f>Phosphate!J255</f>
        <v>0</v>
      </c>
      <c r="J133" s="1569">
        <f>Phosphate!K255</f>
        <v>0</v>
      </c>
      <c r="K133" s="1569">
        <f>Phosphate!L255</f>
        <v>0</v>
      </c>
      <c r="L133" s="1569">
        <f>Phosphate!M255</f>
        <v>0</v>
      </c>
      <c r="M133" s="1569">
        <f>Phosphate!N255</f>
        <v>0</v>
      </c>
      <c r="N133" s="1569" t="e">
        <f>Phosphate!O255</f>
        <v>#DIV/0!</v>
      </c>
      <c r="O133" s="1569">
        <f>Phosphate!P255</f>
        <v>0</v>
      </c>
      <c r="P133" s="1569">
        <f>Phosphate!Q255</f>
        <v>0</v>
      </c>
      <c r="Q133" s="1569">
        <f>Phosphate!R255</f>
        <v>0</v>
      </c>
      <c r="R133" s="1569">
        <f>Phosphate!S255</f>
        <v>0</v>
      </c>
      <c r="S133" s="1569">
        <f>Phosphate!T255</f>
        <v>0</v>
      </c>
      <c r="T133" s="1569">
        <f>Phosphate!U255</f>
        <v>0</v>
      </c>
      <c r="U133" s="1569">
        <f>Phosphate!V255</f>
        <v>0</v>
      </c>
      <c r="V133" s="1569">
        <f>Phosphate!W255</f>
        <v>0</v>
      </c>
    </row>
    <row r="134" spans="1:22" s="79" customFormat="1">
      <c r="A134" s="3776" t="s">
        <v>198</v>
      </c>
      <c r="B134" s="3776"/>
      <c r="C134" s="1568">
        <f>'Oil &amp; Grease'!D75</f>
        <v>0</v>
      </c>
      <c r="D134" s="1568">
        <f>'Oil &amp; Grease'!E75</f>
        <v>0.22222222222222221</v>
      </c>
      <c r="E134" s="1568">
        <f>'Oil &amp; Grease'!F75</f>
        <v>0.33333333333333331</v>
      </c>
      <c r="F134" s="1568">
        <f>'Oil &amp; Grease'!G75</f>
        <v>0.1111111111111111</v>
      </c>
      <c r="G134" s="1568">
        <f>'Oil &amp; Grease'!H75</f>
        <v>0</v>
      </c>
      <c r="H134" s="1568" t="e">
        <f>'Oil &amp; Grease'!I75</f>
        <v>#DIV/0!</v>
      </c>
      <c r="I134" s="1568">
        <f>'Oil &amp; Grease'!J75</f>
        <v>0</v>
      </c>
      <c r="J134" s="1568">
        <f>'Oil &amp; Grease'!K75</f>
        <v>0</v>
      </c>
      <c r="K134" s="1568">
        <f>'Oil &amp; Grease'!L75</f>
        <v>0</v>
      </c>
      <c r="L134" s="1568">
        <f>'Oil &amp; Grease'!M75</f>
        <v>0</v>
      </c>
      <c r="M134" s="1568">
        <f>'Oil &amp; Grease'!N75</f>
        <v>0</v>
      </c>
      <c r="N134" s="1568" t="e">
        <f>'Oil &amp; Grease'!O75</f>
        <v>#DIV/0!</v>
      </c>
      <c r="O134" s="1568">
        <f>'Oil &amp; Grease'!P75</f>
        <v>0</v>
      </c>
      <c r="P134" s="1568">
        <f>'Oil &amp; Grease'!Q75</f>
        <v>0</v>
      </c>
      <c r="Q134" s="1568" t="e">
        <f>'Oil &amp; Grease'!R75</f>
        <v>#DIV/0!</v>
      </c>
      <c r="R134" s="1568">
        <f>'Oil &amp; Grease'!S75</f>
        <v>0</v>
      </c>
      <c r="S134" s="1568">
        <f>'Oil &amp; Grease'!T75</f>
        <v>0</v>
      </c>
      <c r="T134" s="1568">
        <f>'Oil &amp; Grease'!U75</f>
        <v>0</v>
      </c>
      <c r="U134" s="1568">
        <f>'Oil &amp; Grease'!V75</f>
        <v>0</v>
      </c>
      <c r="V134" s="1568">
        <f>'Oil &amp; Grease'!W75</f>
        <v>0</v>
      </c>
    </row>
    <row r="135" spans="1:22" s="79" customFormat="1"/>
    <row r="136" spans="1:22" s="79" customFormat="1"/>
    <row r="137" spans="1:22" s="79" customFormat="1">
      <c r="A137" s="3780" t="s">
        <v>40</v>
      </c>
      <c r="B137" s="3781"/>
    </row>
    <row r="138" spans="1:22" s="79" customFormat="1">
      <c r="A138" s="3782"/>
      <c r="B138" s="3783"/>
    </row>
    <row r="139" spans="1:22" s="79" customFormat="1">
      <c r="A139" s="3776" t="s">
        <v>201</v>
      </c>
      <c r="B139" s="3776"/>
      <c r="C139" s="1568">
        <f>DO!E263</f>
        <v>0</v>
      </c>
      <c r="D139" s="1568">
        <f>DO!F263</f>
        <v>0</v>
      </c>
      <c r="E139" s="1568">
        <f>DO!G263</f>
        <v>0</v>
      </c>
      <c r="F139" s="1568">
        <f>DO!H263</f>
        <v>0.1</v>
      </c>
      <c r="G139" s="1568">
        <f>DO!I263</f>
        <v>0.3</v>
      </c>
      <c r="H139" s="1568">
        <f>DO!J263</f>
        <v>0.1</v>
      </c>
      <c r="I139" s="1568">
        <f>DO!K263</f>
        <v>0</v>
      </c>
      <c r="J139" s="1568">
        <f>DO!L263</f>
        <v>0</v>
      </c>
      <c r="K139" s="1568">
        <f>DO!M263</f>
        <v>0</v>
      </c>
      <c r="L139" s="1568">
        <f>DO!N263</f>
        <v>0</v>
      </c>
      <c r="M139" s="1568">
        <f>DO!O263</f>
        <v>0</v>
      </c>
      <c r="N139" s="1568" t="e">
        <f>DO!P263</f>
        <v>#REF!</v>
      </c>
      <c r="O139" s="1568">
        <f>DO!Q263</f>
        <v>0</v>
      </c>
      <c r="P139" s="1568">
        <f>DO!R263</f>
        <v>0</v>
      </c>
      <c r="Q139" s="1568">
        <f>DO!S263</f>
        <v>0</v>
      </c>
      <c r="R139" s="1568">
        <f>DO!T263</f>
        <v>0</v>
      </c>
      <c r="S139" s="1568">
        <f>DO!U263</f>
        <v>0</v>
      </c>
      <c r="T139" s="1568">
        <f>DO!V263</f>
        <v>0</v>
      </c>
      <c r="U139" s="1568">
        <f>DO!W263</f>
        <v>0</v>
      </c>
      <c r="V139" s="1568">
        <f>DO!X263</f>
        <v>0</v>
      </c>
    </row>
    <row r="140" spans="1:22" s="79" customFormat="1">
      <c r="A140" s="3776" t="s">
        <v>203</v>
      </c>
      <c r="B140" s="3776"/>
      <c r="C140" s="1568">
        <f>BOD!D257</f>
        <v>0</v>
      </c>
      <c r="D140" s="1568">
        <f>BOD!E257</f>
        <v>0</v>
      </c>
      <c r="E140" s="1568">
        <f>BOD!F257</f>
        <v>0</v>
      </c>
      <c r="F140" s="1568">
        <f>BOD!G257</f>
        <v>0</v>
      </c>
      <c r="G140" s="1568">
        <f>BOD!H257</f>
        <v>0</v>
      </c>
      <c r="H140" s="1568">
        <f>BOD!I257</f>
        <v>0</v>
      </c>
      <c r="I140" s="1568">
        <f>BOD!J257</f>
        <v>0</v>
      </c>
      <c r="J140" s="1568">
        <f>BOD!K257</f>
        <v>0</v>
      </c>
      <c r="K140" s="1568">
        <f>BOD!L257</f>
        <v>0</v>
      </c>
      <c r="L140" s="1568">
        <f>BOD!M257</f>
        <v>0</v>
      </c>
      <c r="M140" s="1568">
        <f>BOD!N257</f>
        <v>0</v>
      </c>
      <c r="N140" s="1568">
        <f>BOD!O257</f>
        <v>0</v>
      </c>
      <c r="O140" s="1568">
        <f>BOD!P257</f>
        <v>0</v>
      </c>
      <c r="P140" s="1568">
        <f>BOD!Q257</f>
        <v>0</v>
      </c>
      <c r="Q140" s="1568">
        <f>BOD!R257</f>
        <v>0</v>
      </c>
      <c r="R140" s="1568">
        <f>BOD!S257</f>
        <v>0</v>
      </c>
      <c r="S140" s="1568" t="e">
        <f>BOD!T257</f>
        <v>#DIV/0!</v>
      </c>
      <c r="T140" s="1568" t="e">
        <f>BOD!U257</f>
        <v>#DIV/0!</v>
      </c>
      <c r="U140" s="1568" t="e">
        <f>BOD!V257</f>
        <v>#DIV/0!</v>
      </c>
      <c r="V140" s="1568" t="e">
        <f>BOD!W257</f>
        <v>#DIV/0!</v>
      </c>
    </row>
    <row r="141" spans="1:22" s="79" customFormat="1">
      <c r="A141" s="3776" t="s">
        <v>204</v>
      </c>
      <c r="B141" s="3776"/>
      <c r="C141" s="1568">
        <f>TSS!D197</f>
        <v>1</v>
      </c>
      <c r="D141" s="1568">
        <f>TSS!E197</f>
        <v>1</v>
      </c>
      <c r="E141" s="1568">
        <f>TSS!F197</f>
        <v>1</v>
      </c>
      <c r="F141" s="1568">
        <f>TSS!G197</f>
        <v>1</v>
      </c>
      <c r="G141" s="1568">
        <f>TSS!H197</f>
        <v>1</v>
      </c>
      <c r="H141" s="1568">
        <f>TSS!I197</f>
        <v>0.7</v>
      </c>
      <c r="I141" s="1568">
        <f>TSS!J197</f>
        <v>1</v>
      </c>
      <c r="J141" s="1568">
        <f>TSS!K197</f>
        <v>1</v>
      </c>
      <c r="K141" s="1568">
        <f>TSS!L197</f>
        <v>0.9</v>
      </c>
      <c r="L141" s="1568">
        <f>TSS!M197</f>
        <v>0.9</v>
      </c>
      <c r="M141" s="1568">
        <f>TSS!N197</f>
        <v>0.7</v>
      </c>
      <c r="N141" s="1568" t="e">
        <f>TSS!O197</f>
        <v>#DIV/0!</v>
      </c>
      <c r="O141" s="1568">
        <f>TSS!P197</f>
        <v>0.2</v>
      </c>
      <c r="P141" s="1568">
        <f>TSS!Q197</f>
        <v>0.5</v>
      </c>
      <c r="Q141" s="1568">
        <f>TSS!R197</f>
        <v>0.8</v>
      </c>
      <c r="R141" s="1568">
        <f>TSS!S197</f>
        <v>0.5</v>
      </c>
      <c r="S141" s="1568">
        <f>TSS!T197</f>
        <v>0.6</v>
      </c>
      <c r="T141" s="1568">
        <f>TSS!U197</f>
        <v>0.5</v>
      </c>
      <c r="U141" s="1568">
        <f>TSS!V197</f>
        <v>0</v>
      </c>
      <c r="V141" s="1568">
        <f>TSS!W197</f>
        <v>0</v>
      </c>
    </row>
    <row r="142" spans="1:22" s="79" customFormat="1">
      <c r="A142" s="3776" t="s">
        <v>199</v>
      </c>
      <c r="B142" s="3776"/>
      <c r="C142" s="1568">
        <f>pH!D257</f>
        <v>1</v>
      </c>
      <c r="D142" s="1568">
        <f>pH!E257</f>
        <v>1</v>
      </c>
      <c r="E142" s="1568">
        <f>pH!F257</f>
        <v>1</v>
      </c>
      <c r="F142" s="1568">
        <f>pH!G257</f>
        <v>1</v>
      </c>
      <c r="G142" s="1568">
        <f>pH!H257</f>
        <v>0.5</v>
      </c>
      <c r="H142" s="1568">
        <f>pH!I257</f>
        <v>1</v>
      </c>
      <c r="I142" s="1568">
        <f>pH!J257</f>
        <v>0.9</v>
      </c>
      <c r="J142" s="1568">
        <f>pH!K257</f>
        <v>0.5</v>
      </c>
      <c r="K142" s="1568" t="e">
        <f>pH!L257</f>
        <v>#DIV/0!</v>
      </c>
      <c r="L142" s="1568" t="e">
        <f>pH!M257</f>
        <v>#DIV/0!</v>
      </c>
      <c r="M142" s="1568">
        <f>pH!N257</f>
        <v>0.9</v>
      </c>
      <c r="N142" s="1568" t="e">
        <f>pH!O257</f>
        <v>#DIV/0!</v>
      </c>
      <c r="O142" s="1568">
        <f>pH!P257</f>
        <v>1</v>
      </c>
      <c r="P142" s="1568">
        <f>pH!Q257</f>
        <v>1</v>
      </c>
      <c r="Q142" s="1568">
        <f>pH!R257</f>
        <v>0.4</v>
      </c>
      <c r="R142" s="1568">
        <f>pH!S257</f>
        <v>1</v>
      </c>
      <c r="S142" s="1568">
        <f>pH!T257</f>
        <v>1</v>
      </c>
      <c r="T142" s="1568">
        <f>pH!U257</f>
        <v>1</v>
      </c>
      <c r="U142" s="1568">
        <f>pH!V257</f>
        <v>1</v>
      </c>
      <c r="V142" s="1568">
        <f>pH!W257</f>
        <v>1</v>
      </c>
    </row>
    <row r="143" spans="1:22" s="79" customFormat="1">
      <c r="A143" s="3776" t="s">
        <v>170</v>
      </c>
      <c r="B143" s="3776"/>
      <c r="C143" s="1568">
        <f>Nitrate!D257</f>
        <v>0.7</v>
      </c>
      <c r="D143" s="1568">
        <f>Nitrate!E257</f>
        <v>0.8</v>
      </c>
      <c r="E143" s="1568">
        <f>Nitrate!F257</f>
        <v>0.9</v>
      </c>
      <c r="F143" s="1568">
        <f>Nitrate!G257</f>
        <v>1</v>
      </c>
      <c r="G143" s="1568">
        <f>Nitrate!H257</f>
        <v>1</v>
      </c>
      <c r="H143" s="1568">
        <f>Nitrate!I257</f>
        <v>0.9</v>
      </c>
      <c r="I143" s="1568">
        <f>Nitrate!J257</f>
        <v>0.7</v>
      </c>
      <c r="J143" s="1568">
        <f>Nitrate!K257</f>
        <v>0.4</v>
      </c>
      <c r="K143" s="1568">
        <f>Nitrate!L257</f>
        <v>0.3</v>
      </c>
      <c r="L143" s="1568">
        <f>Nitrate!M257</f>
        <v>0.5</v>
      </c>
      <c r="M143" s="1568">
        <f>Nitrate!N257</f>
        <v>0.3</v>
      </c>
      <c r="N143" s="1568" t="e">
        <f>Nitrate!O257</f>
        <v>#DIV/0!</v>
      </c>
      <c r="O143" s="1568">
        <f>Nitrate!P257</f>
        <v>0.4</v>
      </c>
      <c r="P143" s="1568">
        <f>Nitrate!Q257</f>
        <v>1</v>
      </c>
      <c r="Q143" s="1568">
        <f>Nitrate!R257</f>
        <v>1</v>
      </c>
      <c r="R143" s="1568">
        <f>Nitrate!S257</f>
        <v>0.6</v>
      </c>
      <c r="S143" s="1568">
        <f>Nitrate!T257</f>
        <v>0.7</v>
      </c>
      <c r="T143" s="1568">
        <f>Nitrate!U257</f>
        <v>0.6</v>
      </c>
      <c r="U143" s="1568">
        <f>Nitrate!V257</f>
        <v>0.6</v>
      </c>
      <c r="V143" s="1568">
        <f>Nitrate!W257</f>
        <v>0.1</v>
      </c>
    </row>
    <row r="144" spans="1:22" s="79" customFormat="1">
      <c r="A144" s="3777" t="s">
        <v>169</v>
      </c>
      <c r="B144" s="3777"/>
      <c r="C144" s="1569">
        <f>Phosphate!D258</f>
        <v>0</v>
      </c>
      <c r="D144" s="1569">
        <f>Phosphate!E258</f>
        <v>0</v>
      </c>
      <c r="E144" s="1569">
        <f>Phosphate!F258</f>
        <v>0</v>
      </c>
      <c r="F144" s="1569">
        <f>Phosphate!G258</f>
        <v>0</v>
      </c>
      <c r="G144" s="1569">
        <f>Phosphate!H258</f>
        <v>0</v>
      </c>
      <c r="H144" s="1569">
        <f>Phosphate!I258</f>
        <v>0</v>
      </c>
      <c r="I144" s="1569">
        <f>Phosphate!J258</f>
        <v>0</v>
      </c>
      <c r="J144" s="1569">
        <f>Phosphate!K258</f>
        <v>0</v>
      </c>
      <c r="K144" s="1569">
        <f>Phosphate!L258</f>
        <v>0</v>
      </c>
      <c r="L144" s="1569">
        <f>Phosphate!M258</f>
        <v>0</v>
      </c>
      <c r="M144" s="1569">
        <f>Phosphate!N258</f>
        <v>0</v>
      </c>
      <c r="N144" s="1569" t="e">
        <f>Phosphate!O258</f>
        <v>#DIV/0!</v>
      </c>
      <c r="O144" s="1569">
        <f>Phosphate!P258</f>
        <v>0</v>
      </c>
      <c r="P144" s="1569">
        <f>Phosphate!Q258</f>
        <v>0</v>
      </c>
      <c r="Q144" s="1569">
        <f>Phosphate!R258</f>
        <v>0</v>
      </c>
      <c r="R144" s="1569">
        <f>Phosphate!S258</f>
        <v>0</v>
      </c>
      <c r="S144" s="1569">
        <f>Phosphate!T258</f>
        <v>0</v>
      </c>
      <c r="T144" s="1569">
        <f>Phosphate!U258</f>
        <v>0</v>
      </c>
      <c r="U144" s="1569">
        <f>Phosphate!V258</f>
        <v>0</v>
      </c>
      <c r="V144" s="1569">
        <f>Phosphate!W258</f>
        <v>0</v>
      </c>
    </row>
    <row r="145" spans="1:22" s="79" customFormat="1">
      <c r="A145" s="3776" t="s">
        <v>198</v>
      </c>
      <c r="B145" s="3776"/>
      <c r="C145" s="1568">
        <f>'Oil &amp; Grease'!D78</f>
        <v>0</v>
      </c>
      <c r="D145" s="1568">
        <f>'Oil &amp; Grease'!E78</f>
        <v>0</v>
      </c>
      <c r="E145" s="1568">
        <f>'Oil &amp; Grease'!F78</f>
        <v>0</v>
      </c>
      <c r="F145" s="1568">
        <f>'Oil &amp; Grease'!G78</f>
        <v>0</v>
      </c>
      <c r="G145" s="1568">
        <f>'Oil &amp; Grease'!H78</f>
        <v>0</v>
      </c>
      <c r="H145" s="1568" t="e">
        <f>'Oil &amp; Grease'!I78</f>
        <v>#DIV/0!</v>
      </c>
      <c r="I145" s="1568">
        <f>'Oil &amp; Grease'!J78</f>
        <v>0</v>
      </c>
      <c r="J145" s="1568">
        <f>'Oil &amp; Grease'!K78</f>
        <v>0</v>
      </c>
      <c r="K145" s="1568">
        <f>'Oil &amp; Grease'!L78</f>
        <v>0</v>
      </c>
      <c r="L145" s="1568">
        <f>'Oil &amp; Grease'!M78</f>
        <v>0</v>
      </c>
      <c r="M145" s="1568">
        <f>'Oil &amp; Grease'!N78</f>
        <v>0</v>
      </c>
      <c r="N145" s="1568" t="e">
        <f>'Oil &amp; Grease'!O78</f>
        <v>#DIV/0!</v>
      </c>
      <c r="O145" s="1568">
        <f>'Oil &amp; Grease'!P78</f>
        <v>0</v>
      </c>
      <c r="P145" s="1568">
        <f>'Oil &amp; Grease'!Q78</f>
        <v>0</v>
      </c>
      <c r="Q145" s="1568" t="e">
        <f>'Oil &amp; Grease'!R78</f>
        <v>#DIV/0!</v>
      </c>
      <c r="R145" s="1568">
        <f>'Oil &amp; Grease'!S78</f>
        <v>0</v>
      </c>
      <c r="S145" s="1568">
        <f>'Oil &amp; Grease'!T78</f>
        <v>0</v>
      </c>
      <c r="T145" s="1568">
        <f>'Oil &amp; Grease'!U78</f>
        <v>0</v>
      </c>
      <c r="U145" s="1568">
        <f>'Oil &amp; Grease'!V78</f>
        <v>0</v>
      </c>
      <c r="V145" s="1568">
        <f>'Oil &amp; Grease'!W78</f>
        <v>0</v>
      </c>
    </row>
    <row r="146" spans="1:22" s="79" customFormat="1"/>
    <row r="147" spans="1:22" s="79" customFormat="1" ht="15.75" thickBot="1">
      <c r="A147" s="1575"/>
      <c r="B147" s="1575"/>
      <c r="C147" s="1575"/>
      <c r="D147" s="1575"/>
      <c r="E147" s="1575"/>
      <c r="F147" s="1575"/>
      <c r="G147" s="1575"/>
      <c r="H147" s="1575"/>
      <c r="I147" s="1575"/>
      <c r="J147" s="1575"/>
      <c r="K147" s="1575"/>
      <c r="L147" s="1575"/>
      <c r="M147" s="1575"/>
      <c r="N147" s="1575"/>
      <c r="O147" s="1575"/>
      <c r="P147" s="1575"/>
      <c r="Q147" s="1575"/>
      <c r="R147" s="1575"/>
    </row>
    <row r="148" spans="1:22" s="79" customFormat="1" ht="15.75" thickTop="1">
      <c r="A148" s="3784" t="s">
        <v>254</v>
      </c>
      <c r="B148" s="3784"/>
    </row>
    <row r="149" spans="1:22" s="79" customFormat="1">
      <c r="A149" s="3775"/>
      <c r="B149" s="3775"/>
    </row>
    <row r="150" spans="1:22" s="79" customFormat="1">
      <c r="A150" s="3780" t="s">
        <v>67</v>
      </c>
      <c r="B150" s="3781"/>
    </row>
    <row r="151" spans="1:22" s="79" customFormat="1">
      <c r="A151" s="3782"/>
      <c r="B151" s="3783"/>
    </row>
    <row r="152" spans="1:22" s="79" customFormat="1">
      <c r="A152" s="3776" t="s">
        <v>201</v>
      </c>
      <c r="B152" s="3776"/>
      <c r="C152" s="1568">
        <f>DO!E266</f>
        <v>1</v>
      </c>
      <c r="D152" s="1568">
        <f>DO!F266</f>
        <v>0.33333333333333331</v>
      </c>
      <c r="E152" s="1568">
        <f>DO!G266</f>
        <v>1</v>
      </c>
      <c r="F152" s="1568">
        <f>DO!H266</f>
        <v>1</v>
      </c>
      <c r="G152" s="1568">
        <f>DO!I266</f>
        <v>1</v>
      </c>
      <c r="H152" s="1568">
        <f>DO!J266</f>
        <v>0.66666666666666663</v>
      </c>
      <c r="I152" s="1568">
        <f>DO!K266</f>
        <v>1</v>
      </c>
      <c r="J152" s="1568">
        <f>DO!L266</f>
        <v>1</v>
      </c>
      <c r="K152" s="1568">
        <f>DO!M266</f>
        <v>0.83333333333333337</v>
      </c>
      <c r="L152" s="1568">
        <f>DO!N266</f>
        <v>1</v>
      </c>
      <c r="M152" s="1568">
        <f>DO!O266</f>
        <v>1</v>
      </c>
      <c r="N152" s="1568">
        <f>DO!P266</f>
        <v>0.83333333333333337</v>
      </c>
      <c r="O152" s="1568">
        <f>DO!Q266</f>
        <v>0.83333333333333337</v>
      </c>
      <c r="P152" s="1568">
        <f>DO!R266</f>
        <v>0.83333333333333337</v>
      </c>
      <c r="Q152" s="1568">
        <f>DO!S266</f>
        <v>1</v>
      </c>
      <c r="R152" s="1568">
        <f>DO!T266</f>
        <v>0.83333333333333337</v>
      </c>
      <c r="S152" s="1568">
        <f>DO!U266</f>
        <v>0.83333333333333337</v>
      </c>
      <c r="T152" s="1568">
        <f>DO!V266</f>
        <v>0.66666666666666663</v>
      </c>
      <c r="U152" s="1568">
        <f>DO!W266</f>
        <v>1</v>
      </c>
      <c r="V152" s="1568" t="e">
        <f>DO!X266</f>
        <v>#DIV/0!</v>
      </c>
    </row>
    <row r="153" spans="1:22" s="79" customFormat="1">
      <c r="A153" s="3776" t="s">
        <v>203</v>
      </c>
      <c r="B153" s="3776"/>
      <c r="C153" s="1568">
        <f>BOD!D260</f>
        <v>1</v>
      </c>
      <c r="D153" s="1568">
        <f>BOD!E260</f>
        <v>0.5</v>
      </c>
      <c r="E153" s="1568">
        <f>BOD!F260</f>
        <v>0.5</v>
      </c>
      <c r="F153" s="1568">
        <f>BOD!G260</f>
        <v>0.5</v>
      </c>
      <c r="G153" s="1568">
        <f>BOD!H260</f>
        <v>0.5</v>
      </c>
      <c r="H153" s="1568">
        <f>BOD!I260</f>
        <v>0.5</v>
      </c>
      <c r="I153" s="1568">
        <f>BOD!J260</f>
        <v>0.5</v>
      </c>
      <c r="J153" s="1568">
        <f>BOD!K260</f>
        <v>0.5</v>
      </c>
      <c r="K153" s="1568">
        <f>BOD!L260</f>
        <v>1</v>
      </c>
      <c r="L153" s="1568">
        <f>BOD!M260</f>
        <v>1</v>
      </c>
      <c r="M153" s="1568">
        <f>BOD!N260</f>
        <v>1</v>
      </c>
      <c r="N153" s="1568">
        <f>BOD!O260</f>
        <v>1</v>
      </c>
      <c r="O153" s="1568">
        <f>BOD!P260</f>
        <v>1</v>
      </c>
      <c r="P153" s="1568">
        <f>BOD!Q260</f>
        <v>1</v>
      </c>
      <c r="Q153" s="1568">
        <f>BOD!R260</f>
        <v>0.66666666666666663</v>
      </c>
      <c r="R153" s="1568">
        <f>BOD!S260</f>
        <v>1</v>
      </c>
      <c r="S153" s="1568">
        <f>BOD!T260</f>
        <v>2</v>
      </c>
      <c r="T153" s="1568">
        <f>BOD!U260</f>
        <v>1.3333333333333333</v>
      </c>
      <c r="U153" s="1568">
        <f>BOD!V260</f>
        <v>2</v>
      </c>
      <c r="V153" s="1568">
        <f>BOD!W260</f>
        <v>0</v>
      </c>
    </row>
    <row r="154" spans="1:22" s="79" customFormat="1">
      <c r="A154" s="3776" t="s">
        <v>204</v>
      </c>
      <c r="B154" s="3776"/>
      <c r="C154" s="1568">
        <f>TSS!D200</f>
        <v>1</v>
      </c>
      <c r="D154" s="1568">
        <f>TSS!E200</f>
        <v>1</v>
      </c>
      <c r="E154" s="1568">
        <f>TSS!F200</f>
        <v>1</v>
      </c>
      <c r="F154" s="1568">
        <f>TSS!G200</f>
        <v>1</v>
      </c>
      <c r="G154" s="1568">
        <f>TSS!H200</f>
        <v>1</v>
      </c>
      <c r="H154" s="1568">
        <f>TSS!I200</f>
        <v>1</v>
      </c>
      <c r="I154" s="1568">
        <f>TSS!J200</f>
        <v>1</v>
      </c>
      <c r="J154" s="1568">
        <f>TSS!K200</f>
        <v>1</v>
      </c>
      <c r="K154" s="1568">
        <f>TSS!L200</f>
        <v>1</v>
      </c>
      <c r="L154" s="1568">
        <f>TSS!M200</f>
        <v>1</v>
      </c>
      <c r="M154" s="1568">
        <f>TSS!N200</f>
        <v>0.66666666666666663</v>
      </c>
      <c r="N154" s="1568">
        <f>TSS!O200</f>
        <v>1</v>
      </c>
      <c r="O154" s="1568">
        <f>TSS!P200</f>
        <v>1</v>
      </c>
      <c r="P154" s="1568">
        <f>TSS!Q200</f>
        <v>1</v>
      </c>
      <c r="Q154" s="1568">
        <f>TSS!R200</f>
        <v>0</v>
      </c>
      <c r="R154" s="1568">
        <f>TSS!S200</f>
        <v>1</v>
      </c>
      <c r="S154" s="1568">
        <f>TSS!T200</f>
        <v>1</v>
      </c>
      <c r="T154" s="1568" t="e">
        <f>TSS!U200</f>
        <v>#DIV/0!</v>
      </c>
      <c r="U154" s="1568">
        <f>TSS!V200</f>
        <v>0</v>
      </c>
      <c r="V154" s="1568">
        <f>TSS!W200</f>
        <v>0</v>
      </c>
    </row>
    <row r="155" spans="1:22" s="79" customFormat="1">
      <c r="A155" s="3776" t="s">
        <v>199</v>
      </c>
      <c r="B155" s="3776"/>
      <c r="C155" s="1568">
        <f>pH!D260</f>
        <v>1</v>
      </c>
      <c r="D155" s="1568">
        <f>pH!E260</f>
        <v>1</v>
      </c>
      <c r="E155" s="1568">
        <f>pH!F260</f>
        <v>1</v>
      </c>
      <c r="F155" s="1568">
        <f>pH!G260</f>
        <v>1</v>
      </c>
      <c r="G155" s="1568">
        <f>pH!H260</f>
        <v>1</v>
      </c>
      <c r="H155" s="1568">
        <f>pH!I260</f>
        <v>1</v>
      </c>
      <c r="I155" s="1568">
        <f>pH!J260</f>
        <v>1</v>
      </c>
      <c r="J155" s="1568">
        <f>pH!K260</f>
        <v>1</v>
      </c>
      <c r="K155" s="1568">
        <f>pH!L260</f>
        <v>0.66666666666666663</v>
      </c>
      <c r="L155" s="1568">
        <f>pH!M260</f>
        <v>1</v>
      </c>
      <c r="M155" s="1568">
        <f>pH!N260</f>
        <v>1</v>
      </c>
      <c r="N155" s="1568">
        <f>pH!O260</f>
        <v>1</v>
      </c>
      <c r="O155" s="1568">
        <f>pH!P260</f>
        <v>1</v>
      </c>
      <c r="P155" s="1568">
        <f>pH!Q260</f>
        <v>1</v>
      </c>
      <c r="Q155" s="1568">
        <f>pH!R260</f>
        <v>1</v>
      </c>
      <c r="R155" s="1568">
        <f>pH!S260</f>
        <v>1</v>
      </c>
      <c r="S155" s="1568">
        <f>pH!T260</f>
        <v>1</v>
      </c>
      <c r="T155" s="1568">
        <f>pH!U260</f>
        <v>1</v>
      </c>
      <c r="U155" s="1568">
        <f>pH!V260</f>
        <v>1</v>
      </c>
      <c r="V155" s="1568" t="e">
        <f>pH!W260</f>
        <v>#DIV/0!</v>
      </c>
    </row>
    <row r="156" spans="1:22" s="79" customFormat="1">
      <c r="A156" s="3776" t="s">
        <v>170</v>
      </c>
      <c r="B156" s="3776"/>
      <c r="C156" s="1568">
        <f>Nitrate!D260</f>
        <v>1</v>
      </c>
      <c r="D156" s="1568">
        <f>Nitrate!E260</f>
        <v>1</v>
      </c>
      <c r="E156" s="1568">
        <f>Nitrate!F260</f>
        <v>1</v>
      </c>
      <c r="F156" s="1568" t="e">
        <f>Nitrate!G260</f>
        <v>#DIV/0!</v>
      </c>
      <c r="G156" s="1568">
        <f>Nitrate!H260</f>
        <v>1</v>
      </c>
      <c r="H156" s="1568">
        <f>Nitrate!I260</f>
        <v>1</v>
      </c>
      <c r="I156" s="1568">
        <f>Nitrate!J260</f>
        <v>1</v>
      </c>
      <c r="J156" s="1568">
        <f>Nitrate!K260</f>
        <v>1</v>
      </c>
      <c r="K156" s="1568">
        <f>Nitrate!L260</f>
        <v>1</v>
      </c>
      <c r="L156" s="1568" t="e">
        <f>Nitrate!M260</f>
        <v>#DIV/0!</v>
      </c>
      <c r="M156" s="1568" t="e">
        <f>Nitrate!N260</f>
        <v>#DIV/0!</v>
      </c>
      <c r="N156" s="1568" t="e">
        <f>Nitrate!O260</f>
        <v>#DIV/0!</v>
      </c>
      <c r="O156" s="1568">
        <f>Nitrate!P260</f>
        <v>1</v>
      </c>
      <c r="P156" s="1568">
        <f>Nitrate!Q260</f>
        <v>1</v>
      </c>
      <c r="Q156" s="1568" t="e">
        <f>Nitrate!R260</f>
        <v>#DIV/0!</v>
      </c>
      <c r="R156" s="1568" t="e">
        <f>Nitrate!S260</f>
        <v>#DIV/0!</v>
      </c>
      <c r="S156" s="1568" t="e">
        <f>Nitrate!T260</f>
        <v>#DIV/0!</v>
      </c>
      <c r="T156" s="1568" t="e">
        <f>Nitrate!U260</f>
        <v>#DIV/0!</v>
      </c>
      <c r="U156" s="1568">
        <f>Nitrate!V260</f>
        <v>1</v>
      </c>
      <c r="V156" s="1568" t="e">
        <f>Nitrate!W260</f>
        <v>#DIV/0!</v>
      </c>
    </row>
    <row r="157" spans="1:22" s="79" customFormat="1">
      <c r="A157" s="3777" t="s">
        <v>169</v>
      </c>
      <c r="B157" s="3777"/>
      <c r="C157" s="1569">
        <f>Phosphate!D261</f>
        <v>0</v>
      </c>
      <c r="D157" s="1569">
        <f>Phosphate!E261</f>
        <v>0.33333333333333331</v>
      </c>
      <c r="E157" s="1569">
        <f>Phosphate!F261</f>
        <v>0.33333333333333331</v>
      </c>
      <c r="F157" s="1569">
        <f>Phosphate!G261</f>
        <v>0</v>
      </c>
      <c r="G157" s="1569">
        <f>Phosphate!H261</f>
        <v>0.33333333333333331</v>
      </c>
      <c r="H157" s="1569">
        <f>Phosphate!I261</f>
        <v>0.66666666666666663</v>
      </c>
      <c r="I157" s="1569">
        <f>Phosphate!J261</f>
        <v>0.66666666666666663</v>
      </c>
      <c r="J157" s="1569">
        <f>Phosphate!K261</f>
        <v>0</v>
      </c>
      <c r="K157" s="1569">
        <f>Phosphate!L261</f>
        <v>0</v>
      </c>
      <c r="L157" s="1569">
        <f>Phosphate!M261</f>
        <v>0.33333333333333331</v>
      </c>
      <c r="M157" s="1569">
        <f>Phosphate!N261</f>
        <v>0.16666666666666666</v>
      </c>
      <c r="N157" s="1569" t="e">
        <f>Phosphate!O261</f>
        <v>#DIV/0!</v>
      </c>
      <c r="O157" s="1569">
        <f>Phosphate!P261</f>
        <v>0.16666666666666666</v>
      </c>
      <c r="P157" s="1569">
        <f>Phosphate!Q261</f>
        <v>0.33333333333333331</v>
      </c>
      <c r="Q157" s="1569">
        <f>Phosphate!R261</f>
        <v>0.33333333333333331</v>
      </c>
      <c r="R157" s="1569">
        <f>Phosphate!S261</f>
        <v>0</v>
      </c>
      <c r="S157" s="1569" t="e">
        <f>Phosphate!T261</f>
        <v>#DIV/0!</v>
      </c>
      <c r="T157" s="1569">
        <f>Phosphate!U261</f>
        <v>0.33333333333333331</v>
      </c>
      <c r="U157" s="1569" t="e">
        <f>Phosphate!V261</f>
        <v>#DIV/0!</v>
      </c>
      <c r="V157" s="1569">
        <f>Phosphate!W261</f>
        <v>0</v>
      </c>
    </row>
    <row r="158" spans="1:22" s="79" customFormat="1">
      <c r="A158" s="3776" t="s">
        <v>198</v>
      </c>
      <c r="B158" s="3776"/>
      <c r="C158" s="1568"/>
      <c r="D158" s="1568"/>
      <c r="E158" s="1568"/>
      <c r="F158" s="1568"/>
      <c r="G158" s="1568"/>
      <c r="H158" s="1568"/>
      <c r="I158" s="1568"/>
      <c r="J158" s="1568"/>
      <c r="K158" s="1568"/>
      <c r="L158" s="1568"/>
      <c r="M158" s="1568"/>
      <c r="N158" s="1568"/>
      <c r="O158" s="1568"/>
      <c r="P158" s="1568"/>
      <c r="Q158" s="1568"/>
      <c r="R158" s="1568"/>
      <c r="S158" s="1568"/>
      <c r="T158" s="1568"/>
      <c r="U158" s="1568"/>
      <c r="V158" s="1568"/>
    </row>
    <row r="159" spans="1:22" s="79" customFormat="1"/>
    <row r="160" spans="1:22" s="79" customFormat="1"/>
    <row r="161" spans="1:22" s="79" customFormat="1">
      <c r="A161" s="3780" t="s">
        <v>186</v>
      </c>
      <c r="B161" s="3781"/>
    </row>
    <row r="162" spans="1:22" s="79" customFormat="1">
      <c r="A162" s="3782"/>
      <c r="B162" s="3783"/>
    </row>
    <row r="163" spans="1:22" s="79" customFormat="1">
      <c r="A163" s="3776" t="s">
        <v>201</v>
      </c>
      <c r="B163" s="3776"/>
      <c r="C163" s="1568">
        <f>DO!E266</f>
        <v>1</v>
      </c>
      <c r="D163" s="1568">
        <f>DO!F266</f>
        <v>0.33333333333333331</v>
      </c>
      <c r="E163" s="1568">
        <f>DO!G266</f>
        <v>1</v>
      </c>
      <c r="F163" s="1568">
        <f>DO!H266</f>
        <v>1</v>
      </c>
      <c r="G163" s="1568">
        <f>DO!I266</f>
        <v>1</v>
      </c>
      <c r="H163" s="1568">
        <f>DO!J266</f>
        <v>0.66666666666666663</v>
      </c>
      <c r="I163" s="1568">
        <f>DO!K266</f>
        <v>1</v>
      </c>
      <c r="J163" s="1568">
        <f>DO!L266</f>
        <v>1</v>
      </c>
      <c r="K163" s="1568">
        <f>DO!M266</f>
        <v>0.83333333333333337</v>
      </c>
      <c r="L163" s="1568">
        <f>DO!N266</f>
        <v>1</v>
      </c>
      <c r="M163" s="1568">
        <f>DO!O266</f>
        <v>1</v>
      </c>
      <c r="N163" s="1568">
        <f>DO!P266</f>
        <v>0.83333333333333337</v>
      </c>
      <c r="O163" s="1568">
        <f>DO!Q266</f>
        <v>0.83333333333333337</v>
      </c>
      <c r="P163" s="1568">
        <f>DO!R266</f>
        <v>0.83333333333333337</v>
      </c>
      <c r="Q163" s="1568">
        <f>DO!S266</f>
        <v>1</v>
      </c>
      <c r="R163" s="1568">
        <f>DO!T266</f>
        <v>0.83333333333333337</v>
      </c>
      <c r="S163" s="1568">
        <f>DO!U266</f>
        <v>0.83333333333333337</v>
      </c>
      <c r="T163" s="1568">
        <f>DO!V266</f>
        <v>0.66666666666666663</v>
      </c>
      <c r="U163" s="1568">
        <f>DO!W266</f>
        <v>1</v>
      </c>
      <c r="V163" s="1568" t="e">
        <f>DO!X266</f>
        <v>#DIV/0!</v>
      </c>
    </row>
    <row r="164" spans="1:22" s="79" customFormat="1">
      <c r="A164" s="3776" t="s">
        <v>203</v>
      </c>
      <c r="B164" s="3776"/>
      <c r="C164" s="1568">
        <f>BOD!D263</f>
        <v>0.33333333333333331</v>
      </c>
      <c r="D164" s="1568">
        <f>BOD!E263</f>
        <v>0.25</v>
      </c>
      <c r="E164" s="1568">
        <f>BOD!F263</f>
        <v>0.625</v>
      </c>
      <c r="F164" s="1568">
        <f>BOD!G263</f>
        <v>0.375</v>
      </c>
      <c r="G164" s="1568">
        <f>BOD!H263</f>
        <v>0.375</v>
      </c>
      <c r="H164" s="1568">
        <f>BOD!I263</f>
        <v>0</v>
      </c>
      <c r="I164" s="1568">
        <f>BOD!J263</f>
        <v>0.625</v>
      </c>
      <c r="J164" s="1568">
        <f>BOD!K263</f>
        <v>0.375</v>
      </c>
      <c r="K164" s="1568">
        <f>BOD!L263</f>
        <v>0.375</v>
      </c>
      <c r="L164" s="1568">
        <f>BOD!M263</f>
        <v>0.625</v>
      </c>
      <c r="M164" s="1568">
        <f>BOD!N263</f>
        <v>1</v>
      </c>
      <c r="N164" s="1568">
        <f>BOD!O263</f>
        <v>0.875</v>
      </c>
      <c r="O164" s="1568">
        <f>BOD!P263</f>
        <v>0.5</v>
      </c>
      <c r="P164" s="1568">
        <f>BOD!Q263</f>
        <v>0.375</v>
      </c>
      <c r="Q164" s="1568">
        <f>BOD!R263</f>
        <v>0.625</v>
      </c>
      <c r="R164" s="1568">
        <f>BOD!S263</f>
        <v>0.625</v>
      </c>
      <c r="S164" s="1568">
        <f>BOD!T263</f>
        <v>1.5</v>
      </c>
      <c r="T164" s="1568">
        <f>BOD!U263</f>
        <v>1.5</v>
      </c>
      <c r="U164" s="1568">
        <f>BOD!V263</f>
        <v>2.3333333333333335</v>
      </c>
      <c r="V164" s="1568">
        <f>BOD!W263</f>
        <v>0</v>
      </c>
    </row>
    <row r="165" spans="1:22" s="79" customFormat="1">
      <c r="A165" s="3776" t="s">
        <v>204</v>
      </c>
      <c r="B165" s="3776"/>
      <c r="C165" s="1568">
        <f>TSS!D203</f>
        <v>1</v>
      </c>
      <c r="D165" s="1568">
        <f>TSS!E203</f>
        <v>1</v>
      </c>
      <c r="E165" s="1568">
        <f>TSS!F203</f>
        <v>1</v>
      </c>
      <c r="F165" s="1568">
        <f>TSS!G203</f>
        <v>0.16666666666666666</v>
      </c>
      <c r="G165" s="1568">
        <f>TSS!H203</f>
        <v>1</v>
      </c>
      <c r="H165" s="1568">
        <f>TSS!I203</f>
        <v>1</v>
      </c>
      <c r="I165" s="1568">
        <f>TSS!J203</f>
        <v>1</v>
      </c>
      <c r="J165" s="1568">
        <f>TSS!K203</f>
        <v>1</v>
      </c>
      <c r="K165" s="1568">
        <f>TSS!L203</f>
        <v>1</v>
      </c>
      <c r="L165" s="1568">
        <f>TSS!M203</f>
        <v>1</v>
      </c>
      <c r="M165" s="1568">
        <f>TSS!N203</f>
        <v>0.625</v>
      </c>
      <c r="N165" s="1568">
        <f>TSS!O203</f>
        <v>0.875</v>
      </c>
      <c r="O165" s="1568">
        <f>TSS!P203</f>
        <v>1</v>
      </c>
      <c r="P165" s="1568" t="e">
        <f>TSS!Q203</f>
        <v>#DIV/0!</v>
      </c>
      <c r="Q165" s="1568">
        <f>TSS!R203</f>
        <v>1</v>
      </c>
      <c r="R165" s="1568">
        <f>TSS!S203</f>
        <v>1</v>
      </c>
      <c r="S165" s="1568">
        <f>TSS!T203</f>
        <v>1</v>
      </c>
      <c r="T165" s="1568" t="e">
        <f>TSS!U203</f>
        <v>#DIV/0!</v>
      </c>
      <c r="U165" s="1568">
        <f>TSS!V203</f>
        <v>0</v>
      </c>
      <c r="V165" s="1568">
        <f>TSS!W203</f>
        <v>0</v>
      </c>
    </row>
    <row r="166" spans="1:22" s="79" customFormat="1">
      <c r="A166" s="3776" t="s">
        <v>199</v>
      </c>
      <c r="B166" s="3776"/>
      <c r="C166" s="1568">
        <f>pH!D263</f>
        <v>1</v>
      </c>
      <c r="D166" s="1568">
        <f>pH!E263</f>
        <v>1</v>
      </c>
      <c r="E166" s="1568">
        <f>pH!F263</f>
        <v>1</v>
      </c>
      <c r="F166" s="1568">
        <f>pH!G263</f>
        <v>1</v>
      </c>
      <c r="G166" s="1568">
        <f>pH!H263</f>
        <v>1</v>
      </c>
      <c r="H166" s="1568">
        <f>pH!I263</f>
        <v>1</v>
      </c>
      <c r="I166" s="1568">
        <f>pH!J263</f>
        <v>1</v>
      </c>
      <c r="J166" s="1568">
        <f>pH!K263</f>
        <v>1</v>
      </c>
      <c r="K166" s="1568">
        <f>pH!L263</f>
        <v>1</v>
      </c>
      <c r="L166" s="1568">
        <f>pH!M263</f>
        <v>1</v>
      </c>
      <c r="M166" s="1568">
        <f>pH!N263</f>
        <v>1</v>
      </c>
      <c r="N166" s="1568">
        <f>pH!O263</f>
        <v>1</v>
      </c>
      <c r="O166" s="1568">
        <f>pH!P263</f>
        <v>1</v>
      </c>
      <c r="P166" s="1568">
        <f>pH!Q263</f>
        <v>1</v>
      </c>
      <c r="Q166" s="1568">
        <f>pH!R263</f>
        <v>1</v>
      </c>
      <c r="R166" s="1568">
        <f>pH!S263</f>
        <v>1</v>
      </c>
      <c r="S166" s="1568">
        <f>pH!T263</f>
        <v>1</v>
      </c>
      <c r="T166" s="1568">
        <f>pH!U263</f>
        <v>1</v>
      </c>
      <c r="U166" s="1568">
        <f>pH!V263</f>
        <v>1</v>
      </c>
      <c r="V166" s="1568" t="e">
        <f>pH!W263</f>
        <v>#DIV/0!</v>
      </c>
    </row>
    <row r="167" spans="1:22" s="79" customFormat="1">
      <c r="A167" s="3776" t="s">
        <v>170</v>
      </c>
      <c r="B167" s="3776"/>
      <c r="C167" s="1568">
        <f>Nitrate!D263</f>
        <v>1</v>
      </c>
      <c r="D167" s="1568">
        <f>Nitrate!E263</f>
        <v>1</v>
      </c>
      <c r="E167" s="1568">
        <f>Nitrate!F263</f>
        <v>1</v>
      </c>
      <c r="F167" s="1568" t="e">
        <f>Nitrate!G263</f>
        <v>#DIV/0!</v>
      </c>
      <c r="G167" s="1568">
        <f>Nitrate!H263</f>
        <v>1</v>
      </c>
      <c r="H167" s="1568">
        <f>Nitrate!I263</f>
        <v>1</v>
      </c>
      <c r="I167" s="1568">
        <f>Nitrate!J263</f>
        <v>1</v>
      </c>
      <c r="J167" s="1568">
        <f>Nitrate!K263</f>
        <v>1</v>
      </c>
      <c r="K167" s="1568">
        <f>Nitrate!L263</f>
        <v>1</v>
      </c>
      <c r="L167" s="1568" t="e">
        <f>Nitrate!M263</f>
        <v>#DIV/0!</v>
      </c>
      <c r="M167" s="1568" t="e">
        <f>Nitrate!N263</f>
        <v>#DIV/0!</v>
      </c>
      <c r="N167" s="1568" t="e">
        <f>Nitrate!O263</f>
        <v>#DIV/0!</v>
      </c>
      <c r="O167" s="1568">
        <f>Nitrate!P263</f>
        <v>1</v>
      </c>
      <c r="P167" s="1568">
        <f>Nitrate!Q263</f>
        <v>1</v>
      </c>
      <c r="Q167" s="1568" t="e">
        <f>Nitrate!R263</f>
        <v>#DIV/0!</v>
      </c>
      <c r="R167" s="1568" t="e">
        <f>Nitrate!S263</f>
        <v>#DIV/0!</v>
      </c>
      <c r="S167" s="1568" t="e">
        <f>Nitrate!T263</f>
        <v>#DIV/0!</v>
      </c>
      <c r="T167" s="1568" t="e">
        <f>Nitrate!U263</f>
        <v>#DIV/0!</v>
      </c>
      <c r="U167" s="1568">
        <f>Nitrate!V263</f>
        <v>1</v>
      </c>
      <c r="V167" s="1568" t="e">
        <f>Nitrate!W263</f>
        <v>#DIV/0!</v>
      </c>
    </row>
    <row r="168" spans="1:22" s="79" customFormat="1">
      <c r="A168" s="3777" t="s">
        <v>169</v>
      </c>
      <c r="B168" s="3777"/>
      <c r="C168" s="1569">
        <f>Phosphate!D264</f>
        <v>0</v>
      </c>
      <c r="D168" s="1569">
        <f>Phosphate!E264</f>
        <v>0</v>
      </c>
      <c r="E168" s="1569">
        <f>Phosphate!F264</f>
        <v>0</v>
      </c>
      <c r="F168" s="1569">
        <f>Phosphate!G264</f>
        <v>0</v>
      </c>
      <c r="G168" s="1569">
        <f>Phosphate!H264</f>
        <v>0</v>
      </c>
      <c r="H168" s="1569">
        <f>Phosphate!I264</f>
        <v>0</v>
      </c>
      <c r="I168" s="1569">
        <f>Phosphate!J264</f>
        <v>0</v>
      </c>
      <c r="J168" s="1569">
        <f>Phosphate!K264</f>
        <v>0</v>
      </c>
      <c r="K168" s="1569">
        <f>Phosphate!L264</f>
        <v>0</v>
      </c>
      <c r="L168" s="1569">
        <f>Phosphate!M264</f>
        <v>0</v>
      </c>
      <c r="M168" s="1569">
        <f>Phosphate!N264</f>
        <v>0.25</v>
      </c>
      <c r="N168" s="1569" t="e">
        <f>Phosphate!O264</f>
        <v>#DIV/0!</v>
      </c>
      <c r="O168" s="1569">
        <f>Phosphate!P264</f>
        <v>0</v>
      </c>
      <c r="P168" s="1569">
        <f>Phosphate!Q264</f>
        <v>0</v>
      </c>
      <c r="Q168" s="1569">
        <f>Phosphate!R264</f>
        <v>0</v>
      </c>
      <c r="R168" s="1569">
        <f>Phosphate!S264</f>
        <v>0</v>
      </c>
      <c r="S168" s="1569" t="e">
        <f>Phosphate!T264</f>
        <v>#DIV/0!</v>
      </c>
      <c r="T168" s="1569">
        <f>Phosphate!U264</f>
        <v>0</v>
      </c>
      <c r="U168" s="1569">
        <f>Phosphate!V264</f>
        <v>0</v>
      </c>
      <c r="V168" s="1569" t="e">
        <f>Phosphate!W264</f>
        <v>#DIV/0!</v>
      </c>
    </row>
    <row r="169" spans="1:22" s="79" customFormat="1">
      <c r="A169" s="3776" t="s">
        <v>198</v>
      </c>
      <c r="B169" s="3776"/>
      <c r="C169" s="1568"/>
      <c r="D169" s="1568"/>
      <c r="E169" s="1568"/>
      <c r="F169" s="1568"/>
      <c r="G169" s="1568"/>
      <c r="H169" s="1568"/>
      <c r="I169" s="1568"/>
      <c r="J169" s="1568"/>
      <c r="K169" s="1568"/>
      <c r="L169" s="1568"/>
      <c r="M169" s="1568"/>
      <c r="N169" s="1568"/>
      <c r="O169" s="1568"/>
      <c r="P169" s="1568"/>
      <c r="Q169" s="1568"/>
      <c r="R169" s="1568"/>
      <c r="S169" s="1568"/>
      <c r="T169" s="1568"/>
      <c r="U169" s="1568"/>
      <c r="V169" s="1568"/>
    </row>
    <row r="170" spans="1:22" s="79" customFormat="1"/>
    <row r="171" spans="1:22" s="79" customFormat="1"/>
    <row r="172" spans="1:22" s="79" customFormat="1">
      <c r="A172" s="3780" t="s">
        <v>133</v>
      </c>
      <c r="B172" s="3781"/>
    </row>
    <row r="173" spans="1:22" s="79" customFormat="1">
      <c r="A173" s="3782"/>
      <c r="B173" s="3783"/>
    </row>
    <row r="174" spans="1:22" s="79" customFormat="1">
      <c r="A174" s="3776" t="s">
        <v>201</v>
      </c>
      <c r="B174" s="3776"/>
      <c r="C174" s="1576" t="s">
        <v>303</v>
      </c>
      <c r="D174" s="1576" t="s">
        <v>303</v>
      </c>
      <c r="E174" s="1576" t="s">
        <v>303</v>
      </c>
      <c r="F174" s="1576" t="s">
        <v>303</v>
      </c>
      <c r="G174" s="1576" t="s">
        <v>303</v>
      </c>
      <c r="H174" s="1568">
        <f>DO!J272</f>
        <v>0.8</v>
      </c>
      <c r="I174" s="1568">
        <f>DO!K272</f>
        <v>1</v>
      </c>
      <c r="J174" s="1568">
        <f>DO!L272</f>
        <v>1</v>
      </c>
      <c r="K174" s="1568">
        <f>DO!M272</f>
        <v>0.8</v>
      </c>
      <c r="L174" s="1568">
        <f>DO!N272</f>
        <v>0.8</v>
      </c>
      <c r="M174" s="1568">
        <f>DO!O272</f>
        <v>1</v>
      </c>
      <c r="N174" s="1568">
        <f>DO!P272</f>
        <v>1</v>
      </c>
      <c r="O174" s="1568">
        <f>DO!Q272</f>
        <v>0.4</v>
      </c>
      <c r="P174" s="1568">
        <f>DO!R272</f>
        <v>0.4</v>
      </c>
      <c r="Q174" s="1568">
        <f>DO!S272</f>
        <v>1</v>
      </c>
      <c r="R174" s="1568">
        <f>DO!T272</f>
        <v>0.8</v>
      </c>
      <c r="S174" s="1568">
        <f>DO!U272</f>
        <v>0.6</v>
      </c>
      <c r="T174" s="1568">
        <f>DO!V272</f>
        <v>0.5</v>
      </c>
      <c r="U174" s="1568">
        <f>DO!W272</f>
        <v>0.6</v>
      </c>
      <c r="V174" s="1568" t="e">
        <f>DO!X272</f>
        <v>#DIV/0!</v>
      </c>
    </row>
    <row r="175" spans="1:22" s="79" customFormat="1">
      <c r="A175" s="3776" t="s">
        <v>203</v>
      </c>
      <c r="B175" s="3776"/>
      <c r="C175" s="1576" t="s">
        <v>303</v>
      </c>
      <c r="D175" s="1576" t="s">
        <v>303</v>
      </c>
      <c r="E175" s="1576" t="s">
        <v>303</v>
      </c>
      <c r="F175" s="1576" t="s">
        <v>303</v>
      </c>
      <c r="G175" s="1576" t="s">
        <v>303</v>
      </c>
      <c r="H175" s="1568">
        <f>BOD!I266</f>
        <v>0.8</v>
      </c>
      <c r="I175" s="1568">
        <f>BOD!J266</f>
        <v>1</v>
      </c>
      <c r="J175" s="1568">
        <f>BOD!K266</f>
        <v>1</v>
      </c>
      <c r="K175" s="1568">
        <f>BOD!L266</f>
        <v>0.6</v>
      </c>
      <c r="L175" s="1568">
        <f>BOD!M266</f>
        <v>0.6</v>
      </c>
      <c r="M175" s="1568">
        <f>BOD!N266</f>
        <v>1</v>
      </c>
      <c r="N175" s="1568">
        <f>BOD!O266</f>
        <v>1</v>
      </c>
      <c r="O175" s="1568">
        <f>BOD!P266</f>
        <v>0.2</v>
      </c>
      <c r="P175" s="1568">
        <f>BOD!Q266</f>
        <v>0.6</v>
      </c>
      <c r="Q175" s="1568">
        <f>BOD!R266</f>
        <v>1</v>
      </c>
      <c r="R175" s="1568">
        <f>BOD!S266</f>
        <v>0.8</v>
      </c>
      <c r="S175" s="1568" t="e">
        <f>BOD!T266</f>
        <v>#DIV/0!</v>
      </c>
      <c r="T175" s="1568" t="e">
        <f>BOD!U266</f>
        <v>#DIV/0!</v>
      </c>
      <c r="U175" s="1568" t="e">
        <f>BOD!V266</f>
        <v>#DIV/0!</v>
      </c>
      <c r="V175" s="1568" t="e">
        <f>BOD!W266</f>
        <v>#DIV/0!</v>
      </c>
    </row>
    <row r="176" spans="1:22" s="79" customFormat="1">
      <c r="A176" s="3776" t="s">
        <v>204</v>
      </c>
      <c r="B176" s="3776"/>
      <c r="C176" s="1576" t="s">
        <v>303</v>
      </c>
      <c r="D176" s="1576" t="s">
        <v>303</v>
      </c>
      <c r="E176" s="1576" t="s">
        <v>303</v>
      </c>
      <c r="F176" s="1576" t="s">
        <v>303</v>
      </c>
      <c r="G176" s="1576" t="s">
        <v>303</v>
      </c>
      <c r="H176" s="1568">
        <f>TSS!I206</f>
        <v>0.8</v>
      </c>
      <c r="I176" s="1568">
        <f>TSS!J206</f>
        <v>0.8</v>
      </c>
      <c r="J176" s="1568">
        <f>TSS!K206</f>
        <v>1</v>
      </c>
      <c r="K176" s="1568">
        <f>TSS!L206</f>
        <v>1</v>
      </c>
      <c r="L176" s="1568">
        <f>TSS!M206</f>
        <v>1</v>
      </c>
      <c r="M176" s="1568">
        <f>TSS!N206</f>
        <v>1</v>
      </c>
      <c r="N176" s="1568">
        <f>TSS!O206</f>
        <v>0.8</v>
      </c>
      <c r="O176" s="1568">
        <f>TSS!P206</f>
        <v>1</v>
      </c>
      <c r="P176" s="1568">
        <f>TSS!Q206</f>
        <v>1</v>
      </c>
      <c r="Q176" s="1568">
        <f>TSS!R206</f>
        <v>0.6</v>
      </c>
      <c r="R176" s="1568">
        <f>TSS!S206</f>
        <v>1</v>
      </c>
      <c r="S176" s="1568">
        <f>TSS!T206</f>
        <v>0.4</v>
      </c>
      <c r="T176" s="1568" t="e">
        <f>TSS!U206</f>
        <v>#DIV/0!</v>
      </c>
      <c r="U176" s="1568">
        <f>TSS!V206</f>
        <v>0</v>
      </c>
      <c r="V176" s="1568">
        <f>TSS!W206</f>
        <v>0</v>
      </c>
    </row>
    <row r="177" spans="1:22" s="79" customFormat="1">
      <c r="A177" s="3776" t="s">
        <v>199</v>
      </c>
      <c r="B177" s="3776"/>
      <c r="C177" s="1576" t="s">
        <v>303</v>
      </c>
      <c r="D177" s="1576" t="s">
        <v>303</v>
      </c>
      <c r="E177" s="1576" t="s">
        <v>303</v>
      </c>
      <c r="F177" s="1576" t="s">
        <v>303</v>
      </c>
      <c r="G177" s="1576" t="s">
        <v>303</v>
      </c>
      <c r="H177" s="1576">
        <f>pH!I266</f>
        <v>1</v>
      </c>
      <c r="I177" s="1576">
        <f>pH!J266</f>
        <v>1</v>
      </c>
      <c r="J177" s="1576">
        <f>pH!K266</f>
        <v>1</v>
      </c>
      <c r="K177" s="1576">
        <f>pH!L266</f>
        <v>1</v>
      </c>
      <c r="L177" s="1576">
        <f>pH!M266</f>
        <v>1</v>
      </c>
      <c r="M177" s="1576">
        <f>pH!N266</f>
        <v>1</v>
      </c>
      <c r="N177" s="1576">
        <f>pH!O266</f>
        <v>1</v>
      </c>
      <c r="O177" s="1576">
        <f>pH!P266</f>
        <v>0.8</v>
      </c>
      <c r="P177" s="1576">
        <f>pH!Q266</f>
        <v>1</v>
      </c>
      <c r="Q177" s="1576">
        <f>pH!R266</f>
        <v>1</v>
      </c>
      <c r="R177" s="1576">
        <f>pH!S266</f>
        <v>1</v>
      </c>
      <c r="S177" s="1576">
        <f>pH!T266</f>
        <v>0.8</v>
      </c>
      <c r="T177" s="1576">
        <f>pH!U266</f>
        <v>1</v>
      </c>
      <c r="U177" s="1576">
        <f>pH!V266</f>
        <v>1</v>
      </c>
      <c r="V177" s="1576" t="e">
        <f>pH!W266</f>
        <v>#DIV/0!</v>
      </c>
    </row>
    <row r="178" spans="1:22" s="79" customFormat="1">
      <c r="A178" s="3776" t="s">
        <v>170</v>
      </c>
      <c r="B178" s="3776"/>
      <c r="C178" s="1576" t="s">
        <v>303</v>
      </c>
      <c r="D178" s="1576" t="s">
        <v>303</v>
      </c>
      <c r="E178" s="1576" t="s">
        <v>303</v>
      </c>
      <c r="F178" s="1576" t="s">
        <v>303</v>
      </c>
      <c r="G178" s="1576" t="s">
        <v>303</v>
      </c>
      <c r="H178" s="1576">
        <f>Nitrate!I266</f>
        <v>1</v>
      </c>
      <c r="I178" s="1576">
        <f>Nitrate!J266</f>
        <v>1</v>
      </c>
      <c r="J178" s="1576">
        <f>Nitrate!K266</f>
        <v>1</v>
      </c>
      <c r="K178" s="1576" t="e">
        <f>Nitrate!L266</f>
        <v>#DIV/0!</v>
      </c>
      <c r="L178" s="1576" t="e">
        <f>Nitrate!M266</f>
        <v>#DIV/0!</v>
      </c>
      <c r="M178" s="1576" t="e">
        <f>Nitrate!N266</f>
        <v>#DIV/0!</v>
      </c>
      <c r="N178" s="1576" t="e">
        <f>Nitrate!O266</f>
        <v>#DIV/0!</v>
      </c>
      <c r="O178" s="1576">
        <f>Nitrate!P266</f>
        <v>1</v>
      </c>
      <c r="P178" s="1576">
        <f>Nitrate!Q266</f>
        <v>1</v>
      </c>
      <c r="Q178" s="1576" t="e">
        <f>Nitrate!R266</f>
        <v>#DIV/0!</v>
      </c>
      <c r="R178" s="1576" t="e">
        <f>Nitrate!S266</f>
        <v>#DIV/0!</v>
      </c>
      <c r="S178" s="1576" t="e">
        <f>Nitrate!T266</f>
        <v>#DIV/0!</v>
      </c>
      <c r="T178" s="1576" t="e">
        <f>Nitrate!U266</f>
        <v>#DIV/0!</v>
      </c>
      <c r="U178" s="1576">
        <f>Nitrate!V266</f>
        <v>1</v>
      </c>
      <c r="V178" s="1576" t="e">
        <f>Nitrate!W266</f>
        <v>#DIV/0!</v>
      </c>
    </row>
    <row r="179" spans="1:22" s="79" customFormat="1">
      <c r="A179" s="3777" t="s">
        <v>169</v>
      </c>
      <c r="B179" s="3777"/>
      <c r="C179" s="1576" t="s">
        <v>303</v>
      </c>
      <c r="D179" s="1576" t="s">
        <v>303</v>
      </c>
      <c r="E179" s="1576" t="s">
        <v>303</v>
      </c>
      <c r="F179" s="1576" t="s">
        <v>303</v>
      </c>
      <c r="G179" s="1576" t="s">
        <v>303</v>
      </c>
      <c r="H179" s="1576">
        <f>Phosphate!I267</f>
        <v>0</v>
      </c>
      <c r="I179" s="1576">
        <f>Phosphate!J267</f>
        <v>0.2</v>
      </c>
      <c r="J179" s="1576">
        <f>Phosphate!K267</f>
        <v>0.6</v>
      </c>
      <c r="K179" s="1576">
        <f>Phosphate!L267</f>
        <v>0.2</v>
      </c>
      <c r="L179" s="1576">
        <f>Phosphate!M267</f>
        <v>0.2</v>
      </c>
      <c r="M179" s="1576">
        <f>Phosphate!N267</f>
        <v>0</v>
      </c>
      <c r="N179" s="1576" t="e">
        <f>Phosphate!O267</f>
        <v>#DIV/0!</v>
      </c>
      <c r="O179" s="1576">
        <f>Phosphate!P267</f>
        <v>0</v>
      </c>
      <c r="P179" s="1576">
        <f>Phosphate!Q267</f>
        <v>0</v>
      </c>
      <c r="Q179" s="1576">
        <f>Phosphate!R267</f>
        <v>0.4</v>
      </c>
      <c r="R179" s="1576">
        <f>Phosphate!S267</f>
        <v>0.2</v>
      </c>
      <c r="S179" s="1576" t="e">
        <f>Phosphate!T267</f>
        <v>#DIV/0!</v>
      </c>
      <c r="T179" s="1576">
        <f>Phosphate!U267</f>
        <v>0</v>
      </c>
      <c r="U179" s="1576">
        <f>Phosphate!V267</f>
        <v>0.2</v>
      </c>
      <c r="V179" s="1576" t="e">
        <f>Phosphate!W267</f>
        <v>#DIV/0!</v>
      </c>
    </row>
    <row r="180" spans="1:22" s="79" customFormat="1">
      <c r="A180" s="3776" t="s">
        <v>198</v>
      </c>
      <c r="B180" s="3776"/>
      <c r="C180" s="1576"/>
      <c r="D180" s="1576"/>
      <c r="E180" s="1576"/>
      <c r="F180" s="1576"/>
      <c r="G180" s="1576"/>
      <c r="H180" s="1576"/>
      <c r="I180" s="1576"/>
      <c r="J180" s="1576"/>
      <c r="K180" s="1576"/>
      <c r="L180" s="1576"/>
      <c r="M180" s="1576"/>
      <c r="N180" s="1576"/>
      <c r="O180" s="1576"/>
      <c r="P180" s="1576"/>
      <c r="Q180" s="1576"/>
      <c r="R180" s="1576"/>
      <c r="S180" s="1576"/>
      <c r="T180" s="1576"/>
      <c r="U180" s="1576"/>
      <c r="V180" s="1576"/>
    </row>
    <row r="181" spans="1:22" s="79" customFormat="1"/>
    <row r="182" spans="1:22" s="79" customFormat="1"/>
    <row r="183" spans="1:22" s="79" customFormat="1">
      <c r="A183" s="3780" t="s">
        <v>70</v>
      </c>
      <c r="B183" s="3781"/>
    </row>
    <row r="184" spans="1:22" s="79" customFormat="1">
      <c r="A184" s="3782"/>
      <c r="B184" s="3783"/>
    </row>
    <row r="185" spans="1:22" s="79" customFormat="1">
      <c r="A185" s="3776" t="s">
        <v>201</v>
      </c>
      <c r="B185" s="3776"/>
      <c r="C185" s="1568">
        <f>DO!E275</f>
        <v>0.6</v>
      </c>
      <c r="D185" s="1568">
        <f>DO!F275</f>
        <v>0.4</v>
      </c>
      <c r="E185" s="1568">
        <f>DO!G275</f>
        <v>1</v>
      </c>
      <c r="F185" s="1568">
        <f>DO!H275</f>
        <v>0.8</v>
      </c>
      <c r="G185" s="1568">
        <f>DO!I275</f>
        <v>0.6</v>
      </c>
      <c r="H185" s="1568">
        <f>DO!J275</f>
        <v>0.8</v>
      </c>
      <c r="I185" s="1568">
        <f>DO!K275</f>
        <v>0.8</v>
      </c>
      <c r="J185" s="1568">
        <f>DO!L275</f>
        <v>0.8</v>
      </c>
      <c r="K185" s="1568">
        <f>DO!M275</f>
        <v>0.8</v>
      </c>
      <c r="L185" s="1568">
        <f>DO!N275</f>
        <v>0.6</v>
      </c>
      <c r="M185" s="1568">
        <f>DO!O275</f>
        <v>1</v>
      </c>
      <c r="N185" s="1568">
        <f>DO!P275</f>
        <v>0.8</v>
      </c>
      <c r="O185" s="1568">
        <f>DO!Q275</f>
        <v>0.6</v>
      </c>
      <c r="P185" s="1568">
        <f>DO!R275</f>
        <v>0.6</v>
      </c>
      <c r="Q185" s="1568">
        <f>DO!S275</f>
        <v>1</v>
      </c>
      <c r="R185" s="1568">
        <f>DO!T275</f>
        <v>0.8</v>
      </c>
      <c r="S185" s="1568">
        <f>DO!U275</f>
        <v>0.6</v>
      </c>
      <c r="T185" s="1568">
        <f>DO!V275</f>
        <v>0.6</v>
      </c>
      <c r="U185" s="1568">
        <f>DO!W275</f>
        <v>0.6</v>
      </c>
      <c r="V185" s="1568" t="e">
        <f>DO!X275</f>
        <v>#DIV/0!</v>
      </c>
    </row>
    <row r="186" spans="1:22" s="79" customFormat="1">
      <c r="A186" s="3776" t="s">
        <v>203</v>
      </c>
      <c r="B186" s="3776"/>
      <c r="C186" s="1568">
        <f>BOD!D269</f>
        <v>0.8</v>
      </c>
      <c r="D186" s="1568">
        <f>BOD!E269</f>
        <v>0.8</v>
      </c>
      <c r="E186" s="1568">
        <f>BOD!F269</f>
        <v>1</v>
      </c>
      <c r="F186" s="1568">
        <f>BOD!G269</f>
        <v>0.8</v>
      </c>
      <c r="G186" s="1568">
        <f>BOD!H269</f>
        <v>1</v>
      </c>
      <c r="H186" s="1568">
        <f>BOD!I269</f>
        <v>0.8</v>
      </c>
      <c r="I186" s="1568">
        <f>BOD!J269</f>
        <v>0.8</v>
      </c>
      <c r="J186" s="1568">
        <f>BOD!K269</f>
        <v>0.8</v>
      </c>
      <c r="K186" s="1568">
        <f>BOD!L269</f>
        <v>1</v>
      </c>
      <c r="L186" s="1568">
        <f>BOD!M269</f>
        <v>0.8</v>
      </c>
      <c r="M186" s="1568">
        <f>BOD!N269</f>
        <v>0.8</v>
      </c>
      <c r="N186" s="1568">
        <f>BOD!O269</f>
        <v>0.8</v>
      </c>
      <c r="O186" s="1568">
        <f>BOD!P269</f>
        <v>0.6</v>
      </c>
      <c r="P186" s="1568">
        <f>BOD!Q269</f>
        <v>0.8</v>
      </c>
      <c r="Q186" s="1568">
        <f>BOD!R269</f>
        <v>0.6</v>
      </c>
      <c r="R186" s="1568">
        <f>BOD!S269</f>
        <v>0.8</v>
      </c>
      <c r="S186" s="1568">
        <f>BOD!T269</f>
        <v>1</v>
      </c>
      <c r="T186" s="1568">
        <f>BOD!U269</f>
        <v>1</v>
      </c>
      <c r="U186" s="1568">
        <f>BOD!V269</f>
        <v>1</v>
      </c>
      <c r="V186" s="1568">
        <f>BOD!W269</f>
        <v>0</v>
      </c>
    </row>
    <row r="187" spans="1:22" s="79" customFormat="1">
      <c r="A187" s="3776" t="s">
        <v>204</v>
      </c>
      <c r="B187" s="3776"/>
      <c r="C187" s="1568">
        <f>TSS!D209</f>
        <v>1</v>
      </c>
      <c r="D187" s="1568">
        <f>TSS!E209</f>
        <v>0.8</v>
      </c>
      <c r="E187" s="1568">
        <f>TSS!F209</f>
        <v>1</v>
      </c>
      <c r="F187" s="1568">
        <f>TSS!G209</f>
        <v>0.4</v>
      </c>
      <c r="G187" s="1568">
        <f>TSS!H209</f>
        <v>1</v>
      </c>
      <c r="H187" s="1568">
        <f>TSS!I209</f>
        <v>0.8</v>
      </c>
      <c r="I187" s="1568">
        <f>TSS!J209</f>
        <v>1</v>
      </c>
      <c r="J187" s="1568">
        <f>TSS!K209</f>
        <v>1</v>
      </c>
      <c r="K187" s="1568">
        <f>TSS!L209</f>
        <v>1</v>
      </c>
      <c r="L187" s="1568">
        <f>TSS!M209</f>
        <v>1</v>
      </c>
      <c r="M187" s="1568">
        <f>TSS!N209</f>
        <v>0.4</v>
      </c>
      <c r="N187" s="1568">
        <f>TSS!O209</f>
        <v>0.4</v>
      </c>
      <c r="O187" s="1568">
        <f>TSS!P209</f>
        <v>0.8</v>
      </c>
      <c r="P187" s="1568">
        <f>TSS!Q209</f>
        <v>0.6</v>
      </c>
      <c r="Q187" s="1568">
        <f>TSS!R209</f>
        <v>0.4</v>
      </c>
      <c r="R187" s="1568">
        <f>TSS!S209</f>
        <v>0.8</v>
      </c>
      <c r="S187" s="1568">
        <f>TSS!T209</f>
        <v>0.6</v>
      </c>
      <c r="T187" s="1568" t="e">
        <f>TSS!U209</f>
        <v>#DIV/0!</v>
      </c>
      <c r="U187" s="1568">
        <f>TSS!V209</f>
        <v>0</v>
      </c>
      <c r="V187" s="1568">
        <f>TSS!W209</f>
        <v>0</v>
      </c>
    </row>
    <row r="188" spans="1:22" s="79" customFormat="1">
      <c r="A188" s="3776" t="s">
        <v>199</v>
      </c>
      <c r="B188" s="3776"/>
      <c r="C188" s="1568">
        <f>pH!D269</f>
        <v>1</v>
      </c>
      <c r="D188" s="1568">
        <f>pH!E269</f>
        <v>0.8</v>
      </c>
      <c r="E188" s="1568">
        <f>pH!F269</f>
        <v>1</v>
      </c>
      <c r="F188" s="1568">
        <f>pH!G269</f>
        <v>1</v>
      </c>
      <c r="G188" s="1568">
        <f>pH!H269</f>
        <v>1</v>
      </c>
      <c r="H188" s="1568">
        <f>pH!I269</f>
        <v>1</v>
      </c>
      <c r="I188" s="1568">
        <f>pH!J269</f>
        <v>1</v>
      </c>
      <c r="J188" s="1568">
        <f>pH!K269</f>
        <v>1</v>
      </c>
      <c r="K188" s="1568">
        <f>pH!L269</f>
        <v>1</v>
      </c>
      <c r="L188" s="1568">
        <f>pH!M269</f>
        <v>1</v>
      </c>
      <c r="M188" s="1568">
        <f>pH!N269</f>
        <v>1</v>
      </c>
      <c r="N188" s="1568">
        <f>pH!O269</f>
        <v>1</v>
      </c>
      <c r="O188" s="1568">
        <f>pH!P269</f>
        <v>1</v>
      </c>
      <c r="P188" s="1568">
        <f>pH!Q269</f>
        <v>1</v>
      </c>
      <c r="Q188" s="1568">
        <f>pH!R269</f>
        <v>1</v>
      </c>
      <c r="R188" s="1568">
        <f>pH!S269</f>
        <v>1</v>
      </c>
      <c r="S188" s="1568">
        <f>pH!T269</f>
        <v>1</v>
      </c>
      <c r="T188" s="1568">
        <f>pH!U269</f>
        <v>1</v>
      </c>
      <c r="U188" s="1568">
        <f>pH!V269</f>
        <v>1</v>
      </c>
      <c r="V188" s="1568" t="e">
        <f>pH!W269</f>
        <v>#DIV/0!</v>
      </c>
    </row>
    <row r="189" spans="1:22" s="79" customFormat="1">
      <c r="A189" s="3776" t="s">
        <v>170</v>
      </c>
      <c r="B189" s="3776"/>
      <c r="C189" s="1568">
        <f>Nitrate!D269</f>
        <v>1</v>
      </c>
      <c r="D189" s="1568">
        <f>Nitrate!E269</f>
        <v>1</v>
      </c>
      <c r="E189" s="1568">
        <f>Nitrate!F269</f>
        <v>1</v>
      </c>
      <c r="F189" s="1568" t="e">
        <f>Nitrate!G269</f>
        <v>#DIV/0!</v>
      </c>
      <c r="G189" s="1568">
        <f>Nitrate!H269</f>
        <v>1</v>
      </c>
      <c r="H189" s="1568">
        <f>Nitrate!I269</f>
        <v>1</v>
      </c>
      <c r="I189" s="1568">
        <f>Nitrate!J269</f>
        <v>1</v>
      </c>
      <c r="J189" s="1568">
        <f>Nitrate!K269</f>
        <v>1</v>
      </c>
      <c r="K189" s="1568">
        <f>Nitrate!L269</f>
        <v>1</v>
      </c>
      <c r="L189" s="1568" t="e">
        <f>Nitrate!M269</f>
        <v>#DIV/0!</v>
      </c>
      <c r="M189" s="1568" t="e">
        <f>Nitrate!N269</f>
        <v>#DIV/0!</v>
      </c>
      <c r="N189" s="1568" t="e">
        <f>Nitrate!O269</f>
        <v>#DIV/0!</v>
      </c>
      <c r="O189" s="1568">
        <f>Nitrate!P269</f>
        <v>1</v>
      </c>
      <c r="P189" s="1568">
        <f>Nitrate!Q269</f>
        <v>1</v>
      </c>
      <c r="Q189" s="1568" t="e">
        <f>Nitrate!R269</f>
        <v>#DIV/0!</v>
      </c>
      <c r="R189" s="1568" t="e">
        <f>Nitrate!S269</f>
        <v>#DIV/0!</v>
      </c>
      <c r="S189" s="1568" t="e">
        <f>Nitrate!T269</f>
        <v>#DIV/0!</v>
      </c>
      <c r="T189" s="1568" t="e">
        <f>Nitrate!U269</f>
        <v>#DIV/0!</v>
      </c>
      <c r="U189" s="1568">
        <f>Nitrate!V269</f>
        <v>1</v>
      </c>
      <c r="V189" s="1568" t="e">
        <f>Nitrate!W269</f>
        <v>#DIV/0!</v>
      </c>
    </row>
    <row r="190" spans="1:22" s="79" customFormat="1">
      <c r="A190" s="3777" t="s">
        <v>169</v>
      </c>
      <c r="B190" s="3777"/>
      <c r="C190" s="1569">
        <f>Phosphate!D270</f>
        <v>0</v>
      </c>
      <c r="D190" s="1569">
        <f>Phosphate!E270</f>
        <v>0</v>
      </c>
      <c r="E190" s="1569">
        <f>Phosphate!F270</f>
        <v>0.4</v>
      </c>
      <c r="F190" s="1569">
        <f>Phosphate!G270</f>
        <v>0.2</v>
      </c>
      <c r="G190" s="1569">
        <f>Phosphate!H270</f>
        <v>0.2</v>
      </c>
      <c r="H190" s="1569">
        <f>Phosphate!I270</f>
        <v>0</v>
      </c>
      <c r="I190" s="1569">
        <f>Phosphate!J270</f>
        <v>0</v>
      </c>
      <c r="J190" s="1569">
        <f>Phosphate!K270</f>
        <v>0</v>
      </c>
      <c r="K190" s="1569">
        <f>Phosphate!L270</f>
        <v>0.2</v>
      </c>
      <c r="L190" s="1569">
        <f>Phosphate!M270</f>
        <v>0.4</v>
      </c>
      <c r="M190" s="1569">
        <f>Phosphate!N270</f>
        <v>0.2</v>
      </c>
      <c r="N190" s="1569" t="e">
        <f>Phosphate!O270</f>
        <v>#DIV/0!</v>
      </c>
      <c r="O190" s="1569">
        <f>Phosphate!P270</f>
        <v>0.2</v>
      </c>
      <c r="P190" s="1569">
        <f>Phosphate!Q270</f>
        <v>0</v>
      </c>
      <c r="Q190" s="1569">
        <f>Phosphate!R270</f>
        <v>0.2</v>
      </c>
      <c r="R190" s="1569">
        <f>Phosphate!S270</f>
        <v>0.2</v>
      </c>
      <c r="S190" s="1569" t="e">
        <f>Phosphate!T270</f>
        <v>#DIV/0!</v>
      </c>
      <c r="T190" s="1569">
        <f>Phosphate!U270</f>
        <v>0</v>
      </c>
      <c r="U190" s="1569">
        <f>Phosphate!V270</f>
        <v>0</v>
      </c>
      <c r="V190" s="1569">
        <f>Phosphate!W270</f>
        <v>0.2</v>
      </c>
    </row>
    <row r="191" spans="1:22" s="79" customFormat="1">
      <c r="A191" s="3776" t="s">
        <v>198</v>
      </c>
      <c r="B191" s="3776"/>
      <c r="C191" s="1568"/>
      <c r="D191" s="1568"/>
      <c r="E191" s="1568"/>
      <c r="F191" s="1568"/>
      <c r="G191" s="1568"/>
      <c r="H191" s="1568"/>
      <c r="I191" s="1568"/>
      <c r="J191" s="1568"/>
      <c r="K191" s="1568"/>
      <c r="L191" s="1568"/>
      <c r="M191" s="1568"/>
      <c r="N191" s="1568"/>
      <c r="O191" s="1568"/>
      <c r="P191" s="1568"/>
      <c r="Q191" s="1568"/>
      <c r="R191" s="1568"/>
      <c r="S191" s="1568"/>
      <c r="T191" s="1568"/>
      <c r="U191" s="1568"/>
      <c r="V191" s="1568"/>
    </row>
    <row r="192" spans="1:22" s="79" customFormat="1"/>
    <row r="193" spans="1:22" s="79" customFormat="1" ht="15.75" thickBot="1">
      <c r="A193" s="1575"/>
      <c r="B193" s="1575"/>
      <c r="C193" s="1575"/>
      <c r="D193" s="1575"/>
      <c r="E193" s="1575"/>
      <c r="F193" s="1575"/>
      <c r="G193" s="1575"/>
      <c r="H193" s="1575"/>
      <c r="I193" s="1575"/>
      <c r="J193" s="1575"/>
      <c r="K193" s="1575"/>
      <c r="L193" s="1575"/>
      <c r="M193" s="1575"/>
      <c r="N193" s="1575"/>
      <c r="O193" s="1575"/>
      <c r="P193" s="1575"/>
      <c r="Q193" s="1575"/>
      <c r="R193" s="1575"/>
    </row>
    <row r="194" spans="1:22" s="79" customFormat="1" ht="15.75" thickTop="1">
      <c r="A194" s="3775" t="s">
        <v>111</v>
      </c>
      <c r="B194" s="3775"/>
    </row>
    <row r="195" spans="1:22" s="79" customFormat="1">
      <c r="A195" s="3775"/>
      <c r="B195" s="3775"/>
    </row>
    <row r="196" spans="1:22" s="79" customFormat="1">
      <c r="A196" s="3776" t="s">
        <v>201</v>
      </c>
      <c r="B196" s="3776"/>
      <c r="C196" s="1568">
        <f>DO!E161</f>
        <v>0.21428571428571427</v>
      </c>
      <c r="D196" s="1568">
        <f>DO!F161</f>
        <v>7.1428571428571425E-2</v>
      </c>
      <c r="E196" s="1568">
        <f>DO!G161</f>
        <v>0</v>
      </c>
      <c r="F196" s="1568">
        <f>DO!H161</f>
        <v>7.1428571428571425E-2</v>
      </c>
      <c r="G196" s="1568">
        <f>DO!I161</f>
        <v>7.1428571428571425E-2</v>
      </c>
      <c r="H196" s="1568">
        <f>DO!J161</f>
        <v>0</v>
      </c>
      <c r="I196" s="1568">
        <f>DO!K161</f>
        <v>0.21428571428571427</v>
      </c>
      <c r="J196" s="1568">
        <f>DO!L161</f>
        <v>0.21428571428571427</v>
      </c>
      <c r="K196" s="1568">
        <f>DO!M161</f>
        <v>7.1428571428571425E-2</v>
      </c>
      <c r="L196" s="1568">
        <f>DO!N161</f>
        <v>7.1428571428571425E-2</v>
      </c>
      <c r="M196" s="1568">
        <f>DO!O161</f>
        <v>7.1428571428571425E-2</v>
      </c>
      <c r="N196" s="1568" t="e">
        <f>DO!P161</f>
        <v>#DIV/0!</v>
      </c>
      <c r="O196" s="1568">
        <f>DO!Q161</f>
        <v>7.1428571428571425E-2</v>
      </c>
      <c r="P196" s="1568">
        <f>DO!R161</f>
        <v>0</v>
      </c>
      <c r="Q196" s="1568">
        <f>DO!S161</f>
        <v>0.35714285714285715</v>
      </c>
      <c r="R196" s="1568">
        <f>DO!T161</f>
        <v>0.2857142857142857</v>
      </c>
      <c r="S196" s="1568">
        <f>DO!U161</f>
        <v>0.21428571428571427</v>
      </c>
      <c r="T196" s="1568">
        <f>DO!V161</f>
        <v>7.1428571428571425E-2</v>
      </c>
      <c r="U196" s="1568">
        <f>DO!W161</f>
        <v>0.14285714285714285</v>
      </c>
      <c r="V196" s="1568">
        <f>DO!X161</f>
        <v>7.1428571428571425E-2</v>
      </c>
    </row>
    <row r="197" spans="1:22" s="79" customFormat="1">
      <c r="A197" s="3776" t="s">
        <v>203</v>
      </c>
      <c r="B197" s="3776"/>
      <c r="C197" s="1568">
        <f>BOD!D155</f>
        <v>0.21428571428571427</v>
      </c>
      <c r="D197" s="1568">
        <f>BOD!E155</f>
        <v>0.14285714285714285</v>
      </c>
      <c r="E197" s="1568">
        <f>BOD!F155</f>
        <v>0.42857142857142855</v>
      </c>
      <c r="F197" s="1568">
        <f>BOD!G155</f>
        <v>0.21428571428571427</v>
      </c>
      <c r="G197" s="1568">
        <f>BOD!H155</f>
        <v>0.5</v>
      </c>
      <c r="H197" s="1568">
        <f>BOD!I155</f>
        <v>0.2857142857142857</v>
      </c>
      <c r="I197" s="1568">
        <f>BOD!J155</f>
        <v>0.2857142857142857</v>
      </c>
      <c r="J197" s="1568">
        <f>BOD!K155</f>
        <v>0.5714285714285714</v>
      </c>
      <c r="K197" s="1568">
        <f>BOD!L155</f>
        <v>0.35714285714285715</v>
      </c>
      <c r="L197" s="1568">
        <f>BOD!M155</f>
        <v>7.1428571428571425E-2</v>
      </c>
      <c r="M197" s="1568">
        <f>BOD!N155</f>
        <v>0.21428571428571427</v>
      </c>
      <c r="N197" s="1568" t="e">
        <f>BOD!O155</f>
        <v>#DIV/0!</v>
      </c>
      <c r="O197" s="1568">
        <f>BOD!P155</f>
        <v>7.1428571428571425E-2</v>
      </c>
      <c r="P197" s="1568" t="e">
        <f>BOD!Q155</f>
        <v>#DIV/0!</v>
      </c>
      <c r="Q197" s="1568">
        <f>BOD!R155</f>
        <v>0.35714285714285715</v>
      </c>
      <c r="R197" s="1568">
        <f>BOD!S155</f>
        <v>0.5</v>
      </c>
      <c r="S197" s="1568">
        <f>BOD!T155</f>
        <v>0.14285714285714285</v>
      </c>
      <c r="T197" s="1568">
        <f>BOD!U155</f>
        <v>0</v>
      </c>
      <c r="U197" s="1568">
        <f>BOD!V155</f>
        <v>0.14285714285714285</v>
      </c>
      <c r="V197" s="1568">
        <f>BOD!W155</f>
        <v>0.14285714285714285</v>
      </c>
    </row>
    <row r="198" spans="1:22" s="79" customFormat="1">
      <c r="A198" s="3776" t="s">
        <v>204</v>
      </c>
      <c r="B198" s="3776"/>
      <c r="C198" s="1568">
        <f>TSS!D155</f>
        <v>0.7857142857142857</v>
      </c>
      <c r="D198" s="1568">
        <f>TSS!E155</f>
        <v>0.9285714285714286</v>
      </c>
      <c r="E198" s="1568">
        <f>TSS!F155</f>
        <v>1</v>
      </c>
      <c r="F198" s="1568">
        <f>TSS!G155</f>
        <v>1</v>
      </c>
      <c r="G198" s="1568">
        <f>TSS!H155</f>
        <v>0.9285714285714286</v>
      </c>
      <c r="H198" s="1568">
        <f>TSS!I155</f>
        <v>1</v>
      </c>
      <c r="I198" s="1568">
        <f>TSS!J155</f>
        <v>1</v>
      </c>
      <c r="J198" s="1568">
        <f>TSS!K155</f>
        <v>1</v>
      </c>
      <c r="K198" s="1568">
        <f>TSS!L155</f>
        <v>0.8571428571428571</v>
      </c>
      <c r="L198" s="1568">
        <f>TSS!M155</f>
        <v>0.9285714285714286</v>
      </c>
      <c r="M198" s="1568">
        <f>TSS!N155</f>
        <v>1</v>
      </c>
      <c r="N198" s="1568" t="e">
        <f>TSS!O155</f>
        <v>#DIV/0!</v>
      </c>
      <c r="O198" s="1568" t="e">
        <f>TSS!P155</f>
        <v>#DIV/0!</v>
      </c>
      <c r="P198" s="1568" t="e">
        <f>TSS!Q155</f>
        <v>#DIV/0!</v>
      </c>
      <c r="Q198" s="1568">
        <f>TSS!R155</f>
        <v>0.6428571428571429</v>
      </c>
      <c r="R198" s="1568">
        <f>TSS!S155</f>
        <v>0.7857142857142857</v>
      </c>
      <c r="S198" s="1568">
        <f>TSS!T155</f>
        <v>0.8571428571428571</v>
      </c>
      <c r="T198" s="1568">
        <f>TSS!U155</f>
        <v>0.7857142857142857</v>
      </c>
      <c r="U198" s="1568">
        <f>TSS!V155</f>
        <v>0</v>
      </c>
      <c r="V198" s="1568">
        <f>TSS!W155</f>
        <v>0</v>
      </c>
    </row>
    <row r="199" spans="1:22" s="79" customFormat="1">
      <c r="A199" s="3776" t="s">
        <v>199</v>
      </c>
      <c r="B199" s="3776"/>
      <c r="C199" s="1568">
        <f>pH!D216</f>
        <v>1</v>
      </c>
      <c r="D199" s="1568">
        <f>pH!E216</f>
        <v>1</v>
      </c>
      <c r="E199" s="1568">
        <f>pH!F216</f>
        <v>1</v>
      </c>
      <c r="F199" s="1568">
        <f>pH!G216</f>
        <v>1</v>
      </c>
      <c r="G199" s="1568">
        <f>pH!H216</f>
        <v>0.2857142857142857</v>
      </c>
      <c r="H199" s="1568">
        <f>pH!I216</f>
        <v>1</v>
      </c>
      <c r="I199" s="1568">
        <f>pH!J216</f>
        <v>1</v>
      </c>
      <c r="J199" s="1568">
        <f>pH!K216</f>
        <v>1</v>
      </c>
      <c r="K199" s="1568">
        <f>pH!L216</f>
        <v>1</v>
      </c>
      <c r="L199" s="1568">
        <f>pH!M216</f>
        <v>1</v>
      </c>
      <c r="M199" s="1568">
        <f>pH!N216</f>
        <v>1</v>
      </c>
      <c r="N199" s="1568" t="e">
        <f>pH!O216</f>
        <v>#DIV/0!</v>
      </c>
      <c r="O199" s="1568" t="e">
        <f>pH!P216</f>
        <v>#DIV/0!</v>
      </c>
      <c r="P199" s="1568">
        <f>pH!Q216</f>
        <v>1</v>
      </c>
      <c r="Q199" s="1568">
        <f>pH!R216</f>
        <v>1</v>
      </c>
      <c r="R199" s="1568" t="e">
        <f>pH!S216</f>
        <v>#DIV/0!</v>
      </c>
      <c r="S199" s="1568">
        <f>pH!T216</f>
        <v>1</v>
      </c>
      <c r="T199" s="1568">
        <f>pH!U216</f>
        <v>1</v>
      </c>
      <c r="U199" s="1568" t="e">
        <f>pH!V216</f>
        <v>#DIV/0!</v>
      </c>
      <c r="V199" s="1568">
        <f>pH!W216</f>
        <v>1</v>
      </c>
    </row>
    <row r="200" spans="1:22" s="79" customFormat="1">
      <c r="A200" s="3776" t="s">
        <v>170</v>
      </c>
      <c r="B200" s="3776"/>
      <c r="C200" s="1568">
        <f>Nitrate!D213</f>
        <v>0.8571428571428571</v>
      </c>
      <c r="D200" s="1568">
        <f>Nitrate!E213</f>
        <v>0.8571428571428571</v>
      </c>
      <c r="E200" s="1568">
        <f>Nitrate!F213</f>
        <v>0.9285714285714286</v>
      </c>
      <c r="F200" s="1568">
        <f>Nitrate!G213</f>
        <v>0.9285714285714286</v>
      </c>
      <c r="G200" s="1568">
        <f>Nitrate!H213</f>
        <v>0.9285714285714286</v>
      </c>
      <c r="H200" s="1568">
        <f>Nitrate!I213</f>
        <v>0.9285714285714286</v>
      </c>
      <c r="I200" s="1568">
        <f>Nitrate!J213</f>
        <v>1</v>
      </c>
      <c r="J200" s="1568">
        <f>Nitrate!K213</f>
        <v>1</v>
      </c>
      <c r="K200" s="1568">
        <f>Nitrate!L213</f>
        <v>0.8571428571428571</v>
      </c>
      <c r="L200" s="1568">
        <f>Nitrate!M213</f>
        <v>0.7857142857142857</v>
      </c>
      <c r="M200" s="1568" t="e">
        <f>Nitrate!N213</f>
        <v>#DIV/0!</v>
      </c>
      <c r="N200" s="1568" t="e">
        <f>Nitrate!O213</f>
        <v>#DIV/0!</v>
      </c>
      <c r="O200" s="1568">
        <f>Nitrate!P213</f>
        <v>0.7142857142857143</v>
      </c>
      <c r="P200" s="1568" t="e">
        <f>Nitrate!Q213</f>
        <v>#DIV/0!</v>
      </c>
      <c r="Q200" s="1568">
        <f>Nitrate!R213</f>
        <v>1</v>
      </c>
      <c r="R200" s="1568">
        <f>Nitrate!S213</f>
        <v>1</v>
      </c>
      <c r="S200" s="1568">
        <f>Nitrate!T213</f>
        <v>1</v>
      </c>
      <c r="T200" s="1568">
        <f>Nitrate!U213</f>
        <v>0.9285714285714286</v>
      </c>
      <c r="U200" s="1568">
        <f>Nitrate!V213</f>
        <v>0.7857142857142857</v>
      </c>
      <c r="V200" s="1568">
        <f>Nitrate!W213</f>
        <v>0.6428571428571429</v>
      </c>
    </row>
    <row r="201" spans="1:22" s="79" customFormat="1">
      <c r="A201" s="3777" t="s">
        <v>169</v>
      </c>
      <c r="B201" s="3777"/>
      <c r="C201" s="1569">
        <f>Phosphate!D217</f>
        <v>0</v>
      </c>
      <c r="D201" s="1569">
        <f>Phosphate!E217</f>
        <v>0</v>
      </c>
      <c r="E201" s="1569">
        <f>Phosphate!F217</f>
        <v>0</v>
      </c>
      <c r="F201" s="1569">
        <f>Phosphate!G217</f>
        <v>0</v>
      </c>
      <c r="G201" s="1569">
        <f>Phosphate!H217</f>
        <v>0</v>
      </c>
      <c r="H201" s="1569">
        <f>Phosphate!I217</f>
        <v>0</v>
      </c>
      <c r="I201" s="1569">
        <f>Phosphate!J217</f>
        <v>0</v>
      </c>
      <c r="J201" s="1569">
        <f>Phosphate!K217</f>
        <v>0</v>
      </c>
      <c r="K201" s="1569">
        <f>Phosphate!L217</f>
        <v>0</v>
      </c>
      <c r="L201" s="1569">
        <f>Phosphate!M217</f>
        <v>0</v>
      </c>
      <c r="M201" s="1569">
        <f>Phosphate!N217</f>
        <v>0</v>
      </c>
      <c r="N201" s="1569" t="e">
        <f>Phosphate!O217</f>
        <v>#DIV/0!</v>
      </c>
      <c r="O201" s="1569" t="e">
        <f>Phosphate!P217</f>
        <v>#DIV/0!</v>
      </c>
      <c r="P201" s="1569" t="e">
        <f>Phosphate!Q217</f>
        <v>#DIV/0!</v>
      </c>
      <c r="Q201" s="1569">
        <f>Phosphate!R217</f>
        <v>0.35714285714285715</v>
      </c>
      <c r="R201" s="1569">
        <f>Phosphate!S217</f>
        <v>1</v>
      </c>
      <c r="S201" s="1569">
        <f>Phosphate!T217</f>
        <v>0</v>
      </c>
      <c r="T201" s="1569">
        <f>Phosphate!U217</f>
        <v>0</v>
      </c>
      <c r="U201" s="1569">
        <f>Phosphate!V217</f>
        <v>0</v>
      </c>
      <c r="V201" s="1569">
        <f>Phosphate!W217</f>
        <v>0</v>
      </c>
    </row>
    <row r="202" spans="1:22" s="79" customFormat="1">
      <c r="A202" s="3776" t="s">
        <v>198</v>
      </c>
      <c r="B202" s="3776"/>
      <c r="C202" s="1568">
        <f>'Oil &amp; Grease'!D64</f>
        <v>0.2857142857142857</v>
      </c>
      <c r="D202" s="1568">
        <f>'Oil &amp; Grease'!E64</f>
        <v>0.5</v>
      </c>
      <c r="E202" s="1568">
        <f>'Oil &amp; Grease'!F64</f>
        <v>0.35714285714285715</v>
      </c>
      <c r="F202" s="1568">
        <f>'Oil &amp; Grease'!G64</f>
        <v>0.5</v>
      </c>
      <c r="G202" s="1568">
        <f>'Oil &amp; Grease'!H64</f>
        <v>0.2857142857142857</v>
      </c>
      <c r="H202" s="1568">
        <f>'Oil &amp; Grease'!I64</f>
        <v>0.9285714285714286</v>
      </c>
      <c r="I202" s="1568">
        <f>'Oil &amp; Grease'!J64</f>
        <v>1</v>
      </c>
      <c r="J202" s="1568">
        <f>'Oil &amp; Grease'!K64</f>
        <v>1</v>
      </c>
      <c r="K202" s="1568">
        <f>'Oil &amp; Grease'!L64</f>
        <v>1</v>
      </c>
      <c r="L202" s="1568">
        <f>'Oil &amp; Grease'!M64</f>
        <v>0.9285714285714286</v>
      </c>
      <c r="M202" s="1568">
        <f>'Oil &amp; Grease'!N64</f>
        <v>1</v>
      </c>
      <c r="N202" s="1568" t="e">
        <f>'Oil &amp; Grease'!O64</f>
        <v>#DIV/0!</v>
      </c>
      <c r="O202" s="1568" t="e">
        <f>'Oil &amp; Grease'!P64</f>
        <v>#DIV/0!</v>
      </c>
      <c r="P202" s="1568" t="e">
        <f>'Oil &amp; Grease'!Q64</f>
        <v>#DIV/0!</v>
      </c>
      <c r="Q202" s="1568" t="e">
        <f>'Oil &amp; Grease'!R64</f>
        <v>#DIV/0!</v>
      </c>
      <c r="R202" s="1568">
        <f>'Oil &amp; Grease'!S64</f>
        <v>0.5714285714285714</v>
      </c>
      <c r="S202" s="1568">
        <f>'Oil &amp; Grease'!T64</f>
        <v>0.14285714285714285</v>
      </c>
      <c r="T202" s="1568">
        <f>'Oil &amp; Grease'!U64</f>
        <v>0</v>
      </c>
      <c r="U202" s="1568">
        <f>'Oil &amp; Grease'!V64</f>
        <v>0</v>
      </c>
      <c r="V202" s="1568">
        <f>'Oil &amp; Grease'!W64</f>
        <v>0</v>
      </c>
    </row>
    <row r="203" spans="1:22" s="79" customFormat="1">
      <c r="A203" s="3776" t="s">
        <v>207</v>
      </c>
      <c r="B203" s="3776"/>
      <c r="C203" s="1568">
        <f>'Fecal Coliform'!C132</f>
        <v>0</v>
      </c>
      <c r="D203" s="1568">
        <f>'Fecal Coliform'!D132</f>
        <v>0</v>
      </c>
      <c r="E203" s="1568">
        <f>'Fecal Coliform'!E132</f>
        <v>0</v>
      </c>
      <c r="F203" s="1568">
        <f>'Fecal Coliform'!F132</f>
        <v>0</v>
      </c>
      <c r="G203" s="1568">
        <f>'Fecal Coliform'!G132</f>
        <v>0</v>
      </c>
      <c r="H203" s="1568">
        <f>'Fecal Coliform'!H132</f>
        <v>0</v>
      </c>
      <c r="I203" s="1568">
        <f>'Fecal Coliform'!I132</f>
        <v>0</v>
      </c>
      <c r="J203" s="1568">
        <f>'Fecal Coliform'!J132</f>
        <v>0</v>
      </c>
      <c r="K203" s="1568">
        <f>'Fecal Coliform'!K132</f>
        <v>0</v>
      </c>
      <c r="L203" s="1568">
        <f>'Fecal Coliform'!L132</f>
        <v>0</v>
      </c>
      <c r="M203" s="1568">
        <f>'Fecal Coliform'!M132</f>
        <v>0</v>
      </c>
      <c r="N203" s="1568" t="e">
        <f>'Fecal Coliform'!N132</f>
        <v>#DIV/0!</v>
      </c>
      <c r="O203" s="1568">
        <f>'Fecal Coliform'!O132</f>
        <v>0</v>
      </c>
      <c r="P203" s="1568" t="e">
        <f>'Fecal Coliform'!P132</f>
        <v>#DIV/0!</v>
      </c>
      <c r="Q203" s="1568">
        <f>'Fecal Coliform'!Q132</f>
        <v>0</v>
      </c>
      <c r="R203" s="1568">
        <f>'Fecal Coliform'!R132</f>
        <v>0</v>
      </c>
      <c r="S203" s="1568">
        <f>'Fecal Coliform'!S132</f>
        <v>0</v>
      </c>
      <c r="T203" s="1568">
        <f>'Fecal Coliform'!T132</f>
        <v>0</v>
      </c>
      <c r="U203" s="1568">
        <f>'Fecal Coliform'!U132</f>
        <v>0</v>
      </c>
      <c r="V203" s="1568">
        <f>'Fecal Coliform'!V132</f>
        <v>0</v>
      </c>
    </row>
    <row r="204" spans="1:22" s="79" customFormat="1">
      <c r="A204" s="3776" t="s">
        <v>206</v>
      </c>
      <c r="B204" s="3776"/>
      <c r="C204" s="1568">
        <f>'Total Coliform'!C142</f>
        <v>0</v>
      </c>
      <c r="D204" s="1568">
        <f>'Total Coliform'!D142</f>
        <v>0</v>
      </c>
      <c r="E204" s="1568">
        <f>'Total Coliform'!E142</f>
        <v>0</v>
      </c>
      <c r="F204" s="1568">
        <f>'Total Coliform'!F142</f>
        <v>0</v>
      </c>
      <c r="G204" s="1568">
        <f>'Total Coliform'!G142</f>
        <v>0</v>
      </c>
      <c r="H204" s="1568">
        <f>'Total Coliform'!H142</f>
        <v>0</v>
      </c>
      <c r="I204" s="1568">
        <f>'Total Coliform'!I142</f>
        <v>0</v>
      </c>
      <c r="J204" s="1568">
        <f>'Total Coliform'!J142</f>
        <v>0</v>
      </c>
      <c r="K204" s="1568">
        <f>'Total Coliform'!L142</f>
        <v>0</v>
      </c>
      <c r="L204" s="1568">
        <f>'Total Coliform'!M142</f>
        <v>0</v>
      </c>
      <c r="M204" s="1568">
        <f>'Total Coliform'!N142</f>
        <v>0</v>
      </c>
      <c r="N204" s="1568">
        <f>'Total Coliform'!O142</f>
        <v>0</v>
      </c>
      <c r="O204" s="1568">
        <f>'Total Coliform'!Q142</f>
        <v>0</v>
      </c>
      <c r="P204" s="1568" t="e">
        <f>'Total Coliform'!R142</f>
        <v>#DIV/0!</v>
      </c>
      <c r="Q204" s="1568" t="e">
        <f>'Total Coliform'!#REF!</f>
        <v>#REF!</v>
      </c>
      <c r="R204" s="1568" t="e">
        <f>'Total Coliform'!#REF!</f>
        <v>#REF!</v>
      </c>
      <c r="S204" s="1568">
        <f>'Total Coliform'!U142</f>
        <v>7.1428571428571425E-2</v>
      </c>
      <c r="T204" s="1568">
        <f>'Total Coliform'!V142</f>
        <v>0</v>
      </c>
      <c r="U204" s="1568" t="e">
        <f>'Total Coliform'!#REF!</f>
        <v>#REF!</v>
      </c>
      <c r="V204" s="1568" t="e">
        <f>'Total Coliform'!#REF!</f>
        <v>#REF!</v>
      </c>
    </row>
    <row r="205" spans="1:22" s="79" customFormat="1"/>
    <row r="206" spans="1:22" s="79" customFormat="1">
      <c r="A206" s="3780" t="s">
        <v>130</v>
      </c>
      <c r="B206" s="3781"/>
    </row>
    <row r="207" spans="1:22" s="79" customFormat="1">
      <c r="A207" s="3782"/>
      <c r="B207" s="3783"/>
    </row>
    <row r="208" spans="1:22" s="79" customFormat="1">
      <c r="A208" s="3778" t="s">
        <v>201</v>
      </c>
      <c r="B208" s="3779"/>
      <c r="C208" s="1568">
        <f>DO!E206</f>
        <v>0.32</v>
      </c>
      <c r="D208" s="1568">
        <f>DO!F206</f>
        <v>0.32</v>
      </c>
      <c r="E208" s="1568">
        <f>DO!G206</f>
        <v>0.36</v>
      </c>
      <c r="F208" s="1568">
        <f>DO!H206</f>
        <v>0.48</v>
      </c>
      <c r="G208" s="1568">
        <f>DO!I206</f>
        <v>0.30769230769230771</v>
      </c>
      <c r="H208" s="1568">
        <f>DO!J206</f>
        <v>0.24</v>
      </c>
      <c r="I208" s="1568">
        <f>DO!K206</f>
        <v>0.42307692307692307</v>
      </c>
      <c r="J208" s="1568">
        <f>DO!L206</f>
        <v>0.30769230769230771</v>
      </c>
      <c r="K208" s="1568">
        <f>DO!M206</f>
        <v>0.30434782608695654</v>
      </c>
      <c r="L208" s="1568">
        <f>DO!N206</f>
        <v>0.16666666666666666</v>
      </c>
      <c r="M208" s="1568">
        <f>DO!O206</f>
        <v>0.36842105263157893</v>
      </c>
      <c r="N208" s="1568" t="e">
        <f>DO!P206</f>
        <v>#DIV/0!</v>
      </c>
      <c r="O208" s="1568">
        <f>DO!Q206</f>
        <v>0.32</v>
      </c>
      <c r="P208" s="1568">
        <f>DO!R206</f>
        <v>0.29166666666666669</v>
      </c>
      <c r="Q208" s="1568">
        <f>DO!S206</f>
        <v>0.52</v>
      </c>
      <c r="R208" s="1568">
        <f>DO!T206</f>
        <v>0.38461538461538464</v>
      </c>
      <c r="S208" s="1568">
        <f>DO!U206</f>
        <v>0.36</v>
      </c>
      <c r="T208" s="1568">
        <f>DO!V206</f>
        <v>0.33333333333333331</v>
      </c>
      <c r="U208" s="1568">
        <f>DO!W206</f>
        <v>0.28000000000000003</v>
      </c>
      <c r="V208" s="1568">
        <f>DO!X206</f>
        <v>0.26923076923076922</v>
      </c>
    </row>
    <row r="209" spans="1:22" s="79" customFormat="1">
      <c r="A209" s="3776" t="s">
        <v>203</v>
      </c>
      <c r="B209" s="3776"/>
      <c r="C209" s="1568">
        <f>BOD!D200</f>
        <v>0.44</v>
      </c>
      <c r="D209" s="1568">
        <f>BOD!E200</f>
        <v>0.48</v>
      </c>
      <c r="E209" s="1568">
        <f>BOD!F200</f>
        <v>0.6</v>
      </c>
      <c r="F209" s="1568">
        <f>BOD!G200</f>
        <v>0.68</v>
      </c>
      <c r="G209" s="1568">
        <f>BOD!H200</f>
        <v>0.53846153846153844</v>
      </c>
      <c r="H209" s="1568">
        <f>BOD!I200</f>
        <v>0.52</v>
      </c>
      <c r="I209" s="1568">
        <f>BOD!J200</f>
        <v>0.76923076923076927</v>
      </c>
      <c r="J209" s="1568">
        <f>BOD!K200</f>
        <v>0.65384615384615385</v>
      </c>
      <c r="K209" s="1568">
        <f>BOD!L200</f>
        <v>0.60869565217391308</v>
      </c>
      <c r="L209" s="1568">
        <f>BOD!M200</f>
        <v>0.44444444444444442</v>
      </c>
      <c r="M209" s="1568">
        <f>BOD!N200</f>
        <v>0.73684210526315785</v>
      </c>
      <c r="N209" s="1568" t="e">
        <f>BOD!O200</f>
        <v>#DIV/0!</v>
      </c>
      <c r="O209" s="1568">
        <f>BOD!P200</f>
        <v>0.52</v>
      </c>
      <c r="P209" s="1568">
        <f>BOD!Q200</f>
        <v>0.45833333333333331</v>
      </c>
      <c r="Q209" s="1568" t="e">
        <f>BOD!R200</f>
        <v>#DIV/0!</v>
      </c>
      <c r="R209" s="1568" t="e">
        <f>BOD!S200</f>
        <v>#DIV/0!</v>
      </c>
      <c r="S209" s="1568" t="e">
        <f>BOD!T200</f>
        <v>#DIV/0!</v>
      </c>
      <c r="T209" s="1568" t="e">
        <f>BOD!U200</f>
        <v>#DIV/0!</v>
      </c>
      <c r="U209" s="1568" t="e">
        <f>BOD!V200</f>
        <v>#DIV/0!</v>
      </c>
      <c r="V209" s="1568">
        <f>BOD!W200</f>
        <v>0.53846153846153844</v>
      </c>
    </row>
    <row r="210" spans="1:22" s="79" customFormat="1">
      <c r="A210" s="3776" t="s">
        <v>204</v>
      </c>
      <c r="B210" s="3776"/>
      <c r="C210" s="1568" t="s">
        <v>82</v>
      </c>
      <c r="D210" s="1568" t="s">
        <v>82</v>
      </c>
      <c r="E210" s="1568" t="s">
        <v>82</v>
      </c>
      <c r="F210" s="1568" t="s">
        <v>82</v>
      </c>
      <c r="G210" s="1568" t="s">
        <v>82</v>
      </c>
      <c r="H210" s="1568" t="s">
        <v>82</v>
      </c>
      <c r="I210" s="1568" t="s">
        <v>82</v>
      </c>
      <c r="J210" s="1568" t="s">
        <v>82</v>
      </c>
      <c r="K210" s="1568" t="s">
        <v>82</v>
      </c>
      <c r="L210" s="1568" t="s">
        <v>82</v>
      </c>
      <c r="M210" s="1568" t="s">
        <v>82</v>
      </c>
      <c r="N210" s="1568" t="s">
        <v>82</v>
      </c>
      <c r="O210" s="1568" t="s">
        <v>82</v>
      </c>
      <c r="P210" s="1568" t="s">
        <v>82</v>
      </c>
      <c r="Q210" s="1568" t="s">
        <v>82</v>
      </c>
      <c r="R210" s="1568" t="s">
        <v>82</v>
      </c>
      <c r="S210" s="1568" t="s">
        <v>82</v>
      </c>
      <c r="T210" s="1568" t="s">
        <v>82</v>
      </c>
      <c r="U210" s="1568" t="s">
        <v>82</v>
      </c>
      <c r="V210" s="1568" t="s">
        <v>82</v>
      </c>
    </row>
    <row r="211" spans="1:22" s="79" customFormat="1">
      <c r="A211" s="3776" t="s">
        <v>199</v>
      </c>
      <c r="B211" s="3776"/>
      <c r="C211" s="1568">
        <f>pH!D176</f>
        <v>1</v>
      </c>
      <c r="D211" s="1568">
        <f>pH!E176</f>
        <v>1</v>
      </c>
      <c r="E211" s="1568">
        <f>pH!F176</f>
        <v>1</v>
      </c>
      <c r="F211" s="1568">
        <f>pH!G176</f>
        <v>1</v>
      </c>
      <c r="G211" s="1568">
        <f>pH!H176</f>
        <v>1</v>
      </c>
      <c r="H211" s="1568">
        <f>pH!I176</f>
        <v>1</v>
      </c>
      <c r="I211" s="1568">
        <f>pH!J176</f>
        <v>1</v>
      </c>
      <c r="J211" s="1568">
        <f>pH!K176</f>
        <v>1</v>
      </c>
      <c r="K211" s="1568">
        <f>pH!L176</f>
        <v>1</v>
      </c>
      <c r="L211" s="1568">
        <f>pH!M176</f>
        <v>1</v>
      </c>
      <c r="M211" s="1568">
        <f>pH!N176</f>
        <v>1</v>
      </c>
      <c r="N211" s="1568" t="e">
        <f>pH!O176</f>
        <v>#DIV/0!</v>
      </c>
      <c r="O211" s="1568">
        <f>pH!P176</f>
        <v>1</v>
      </c>
      <c r="P211" s="1568">
        <f>pH!Q176</f>
        <v>0.66666666666666663</v>
      </c>
      <c r="Q211" s="1568">
        <f>pH!R176</f>
        <v>1</v>
      </c>
      <c r="R211" s="1568">
        <f>pH!S176</f>
        <v>0.96153846153846156</v>
      </c>
      <c r="S211" s="1568">
        <f>pH!T176</f>
        <v>1</v>
      </c>
      <c r="T211" s="1568">
        <f>pH!U176</f>
        <v>1</v>
      </c>
      <c r="U211" s="1568">
        <f>pH!V176</f>
        <v>1</v>
      </c>
      <c r="V211" s="1568">
        <f>pH!W176</f>
        <v>1</v>
      </c>
    </row>
    <row r="212" spans="1:22" s="79" customFormat="1">
      <c r="A212" s="3776" t="s">
        <v>170</v>
      </c>
      <c r="B212" s="3776"/>
      <c r="C212" s="1568">
        <f>Nitrate!D176</f>
        <v>1</v>
      </c>
      <c r="D212" s="1568">
        <f>Nitrate!E176</f>
        <v>1</v>
      </c>
      <c r="E212" s="1568">
        <f>Nitrate!F176</f>
        <v>1</v>
      </c>
      <c r="F212" s="1568">
        <f>Nitrate!G176</f>
        <v>1</v>
      </c>
      <c r="G212" s="1568">
        <f>Nitrate!H176</f>
        <v>1</v>
      </c>
      <c r="H212" s="1568">
        <f>Nitrate!I176</f>
        <v>1</v>
      </c>
      <c r="I212" s="1568">
        <f>Nitrate!J176</f>
        <v>1</v>
      </c>
      <c r="J212" s="1568">
        <f>Nitrate!K176</f>
        <v>1</v>
      </c>
      <c r="K212" s="1568">
        <f>Nitrate!L176</f>
        <v>1</v>
      </c>
      <c r="L212" s="1568">
        <f>Nitrate!M176</f>
        <v>1</v>
      </c>
      <c r="M212" s="1568">
        <f>Nitrate!N176</f>
        <v>1</v>
      </c>
      <c r="N212" s="1568" t="e">
        <f>Nitrate!O176</f>
        <v>#DIV/0!</v>
      </c>
      <c r="O212" s="1568">
        <f>Nitrate!P176</f>
        <v>1</v>
      </c>
      <c r="P212" s="1568">
        <f>Nitrate!Q176</f>
        <v>1</v>
      </c>
      <c r="Q212" s="1568" t="e">
        <f>Nitrate!R176</f>
        <v>#DIV/0!</v>
      </c>
      <c r="R212" s="1568" t="e">
        <f>Nitrate!S176</f>
        <v>#DIV/0!</v>
      </c>
      <c r="S212" s="1568" t="e">
        <f>Nitrate!T176</f>
        <v>#DIV/0!</v>
      </c>
      <c r="T212" s="1568" t="e">
        <f>Nitrate!U176</f>
        <v>#DIV/0!</v>
      </c>
      <c r="U212" s="1568" t="e">
        <f>Nitrate!V176</f>
        <v>#DIV/0!</v>
      </c>
      <c r="V212" s="1568" t="e">
        <f>Nitrate!W176</f>
        <v>#DIV/0!</v>
      </c>
    </row>
    <row r="213" spans="1:22" s="79" customFormat="1">
      <c r="A213" s="3776" t="s">
        <v>169</v>
      </c>
      <c r="B213" s="3776"/>
      <c r="C213" s="1568">
        <f>Phosphate!D180</f>
        <v>0.4</v>
      </c>
      <c r="D213" s="1568">
        <f>Phosphate!E180</f>
        <v>0.32</v>
      </c>
      <c r="E213" s="1568">
        <f>Phosphate!F180</f>
        <v>0.48</v>
      </c>
      <c r="F213" s="1568">
        <f>Phosphate!G180</f>
        <v>0.6</v>
      </c>
      <c r="G213" s="1568">
        <f>Phosphate!H180</f>
        <v>0.42307692307692307</v>
      </c>
      <c r="H213" s="1568">
        <f>Phosphate!I180</f>
        <v>0.4</v>
      </c>
      <c r="I213" s="1568">
        <f>Phosphate!J180</f>
        <v>0.61538461538461542</v>
      </c>
      <c r="J213" s="1568">
        <f>Phosphate!K180</f>
        <v>0.53846153846153844</v>
      </c>
      <c r="K213" s="1568">
        <f>Phosphate!L180</f>
        <v>0.43478260869565216</v>
      </c>
      <c r="L213" s="1568">
        <f>Phosphate!M180</f>
        <v>0.3888888888888889</v>
      </c>
      <c r="M213" s="1568">
        <f>Phosphate!N180</f>
        <v>0.26315789473684209</v>
      </c>
      <c r="N213" s="1568" t="e">
        <f>Phosphate!O180</f>
        <v>#DIV/0!</v>
      </c>
      <c r="O213" s="1568">
        <f>Phosphate!P180</f>
        <v>0.375</v>
      </c>
      <c r="P213" s="1568">
        <f>Phosphate!Q180</f>
        <v>0.36</v>
      </c>
      <c r="Q213" s="1568" t="e">
        <f>Phosphate!R180</f>
        <v>#DIV/0!</v>
      </c>
      <c r="R213" s="1568" t="e">
        <f>Phosphate!S180</f>
        <v>#DIV/0!</v>
      </c>
      <c r="S213" s="1568" t="e">
        <f>Phosphate!T180</f>
        <v>#DIV/0!</v>
      </c>
      <c r="T213" s="1568" t="e">
        <f>Phosphate!U180</f>
        <v>#DIV/0!</v>
      </c>
      <c r="U213" s="1568" t="e">
        <f>Phosphate!V180</f>
        <v>#DIV/0!</v>
      </c>
      <c r="V213" s="1568" t="e">
        <f>Phosphate!W180</f>
        <v>#DIV/0!</v>
      </c>
    </row>
    <row r="214" spans="1:22" s="79" customFormat="1">
      <c r="A214" s="3776" t="s">
        <v>198</v>
      </c>
      <c r="B214" s="3776"/>
      <c r="C214" s="1568" t="s">
        <v>82</v>
      </c>
      <c r="D214" s="1568" t="s">
        <v>82</v>
      </c>
      <c r="E214" s="1568" t="s">
        <v>82</v>
      </c>
      <c r="F214" s="1568" t="s">
        <v>82</v>
      </c>
      <c r="G214" s="1568" t="s">
        <v>82</v>
      </c>
      <c r="H214" s="1568" t="s">
        <v>82</v>
      </c>
      <c r="I214" s="1568" t="s">
        <v>82</v>
      </c>
      <c r="J214" s="1568" t="s">
        <v>82</v>
      </c>
      <c r="K214" s="1568" t="s">
        <v>82</v>
      </c>
      <c r="L214" s="1568" t="s">
        <v>82</v>
      </c>
      <c r="M214" s="1568" t="s">
        <v>82</v>
      </c>
      <c r="N214" s="1568" t="s">
        <v>82</v>
      </c>
      <c r="O214" s="1568" t="s">
        <v>82</v>
      </c>
      <c r="P214" s="1568" t="s">
        <v>82</v>
      </c>
      <c r="Q214" s="1568" t="s">
        <v>82</v>
      </c>
      <c r="R214" s="1568" t="s">
        <v>82</v>
      </c>
      <c r="S214" s="1568" t="s">
        <v>82</v>
      </c>
      <c r="T214" s="1568" t="s">
        <v>82</v>
      </c>
      <c r="U214" s="1568" t="s">
        <v>82</v>
      </c>
      <c r="V214" s="1568" t="s">
        <v>82</v>
      </c>
    </row>
    <row r="215" spans="1:22" s="79" customFormat="1">
      <c r="A215" s="3776" t="s">
        <v>206</v>
      </c>
      <c r="B215" s="3776"/>
      <c r="C215" s="1568">
        <f>'Total Coliform'!C120</f>
        <v>0</v>
      </c>
      <c r="D215" s="1568">
        <f>'Total Coliform'!D120</f>
        <v>0</v>
      </c>
      <c r="E215" s="1568">
        <f>'Total Coliform'!E120</f>
        <v>0</v>
      </c>
      <c r="F215" s="1568">
        <f>'Total Coliform'!F120</f>
        <v>0</v>
      </c>
      <c r="G215" s="1568">
        <f>'Total Coliform'!G120</f>
        <v>0</v>
      </c>
      <c r="H215" s="1568">
        <f>'Total Coliform'!H120</f>
        <v>0</v>
      </c>
      <c r="I215" s="1568">
        <f>'Total Coliform'!I120</f>
        <v>0</v>
      </c>
      <c r="J215" s="1568">
        <f>'Total Coliform'!J120</f>
        <v>0</v>
      </c>
      <c r="K215" s="1568">
        <f>'Total Coliform'!L120</f>
        <v>0</v>
      </c>
      <c r="L215" s="1568">
        <f>'Total Coliform'!M120</f>
        <v>0</v>
      </c>
      <c r="M215" s="1568">
        <f>'Total Coliform'!N120</f>
        <v>0</v>
      </c>
      <c r="N215" s="1568" t="e">
        <f>'Total Coliform'!O120</f>
        <v>#DIV/0!</v>
      </c>
      <c r="O215" s="1568">
        <f>'Total Coliform'!Q120</f>
        <v>0</v>
      </c>
      <c r="P215" s="1568">
        <f>'Total Coliform'!R120</f>
        <v>0</v>
      </c>
      <c r="Q215" s="1568" t="e">
        <f>'Total Coliform'!S120</f>
        <v>#DIV/0!</v>
      </c>
      <c r="R215" s="1568" t="e">
        <f>'Total Coliform'!T120</f>
        <v>#DIV/0!</v>
      </c>
      <c r="S215" s="1568" t="e">
        <f>'Total Coliform'!U120</f>
        <v>#DIV/0!</v>
      </c>
      <c r="T215" s="1568" t="e">
        <f>'Total Coliform'!V120</f>
        <v>#DIV/0!</v>
      </c>
      <c r="U215" s="1568" t="e">
        <f>'Total Coliform'!W120</f>
        <v>#DIV/0!</v>
      </c>
      <c r="V215" s="1568" t="e">
        <f>'Total Coliform'!X120</f>
        <v>#DIV/0!</v>
      </c>
    </row>
    <row r="216" spans="1:22" s="79" customFormat="1"/>
    <row r="217" spans="1:22" s="79" customFormat="1">
      <c r="A217" s="3775" t="s">
        <v>148</v>
      </c>
      <c r="B217" s="3775"/>
    </row>
    <row r="218" spans="1:22" s="79" customFormat="1">
      <c r="A218" s="3775"/>
      <c r="B218" s="3775"/>
    </row>
    <row r="219" spans="1:22" s="79" customFormat="1">
      <c r="A219" s="3776" t="s">
        <v>201</v>
      </c>
      <c r="B219" s="3776"/>
      <c r="C219" s="1568">
        <f>DO!E222</f>
        <v>1</v>
      </c>
      <c r="D219" s="1568">
        <f>DO!F222</f>
        <v>1</v>
      </c>
      <c r="E219" s="1568">
        <f>DO!G222</f>
        <v>1</v>
      </c>
      <c r="F219" s="1568">
        <f>DO!H222</f>
        <v>1</v>
      </c>
      <c r="G219" s="1568">
        <f>DO!I222</f>
        <v>1</v>
      </c>
      <c r="H219" s="1568">
        <f>DO!J222</f>
        <v>1</v>
      </c>
      <c r="I219" s="1568">
        <f>DO!K222</f>
        <v>1</v>
      </c>
      <c r="J219" s="1568">
        <f>DO!L222</f>
        <v>1</v>
      </c>
      <c r="K219" s="1568">
        <f>DO!M222</f>
        <v>1</v>
      </c>
      <c r="L219" s="1568">
        <f>DO!N222</f>
        <v>1</v>
      </c>
      <c r="M219" s="1568">
        <f>DO!O222</f>
        <v>1</v>
      </c>
      <c r="N219" s="1568" t="e">
        <f>DO!P222</f>
        <v>#DIV/0!</v>
      </c>
      <c r="O219" s="1568">
        <f>DO!Q222</f>
        <v>1</v>
      </c>
      <c r="P219" s="1568">
        <f>DO!R222</f>
        <v>1</v>
      </c>
      <c r="Q219" s="1568">
        <f>DO!S222</f>
        <v>1</v>
      </c>
      <c r="R219" s="1568">
        <f>DO!T222</f>
        <v>1</v>
      </c>
      <c r="S219" s="1568">
        <f>DO!U222</f>
        <v>1</v>
      </c>
      <c r="T219" s="1568">
        <f>DO!V222</f>
        <v>1</v>
      </c>
      <c r="U219" s="1568">
        <f>DO!W222</f>
        <v>1</v>
      </c>
      <c r="V219" s="1568">
        <f>DO!X222</f>
        <v>1</v>
      </c>
    </row>
    <row r="220" spans="1:22" s="79" customFormat="1">
      <c r="A220" s="3776" t="s">
        <v>203</v>
      </c>
      <c r="B220" s="3776"/>
      <c r="C220" s="1568">
        <f>BOD!D216</f>
        <v>1</v>
      </c>
      <c r="D220" s="1568">
        <f>BOD!E216</f>
        <v>1</v>
      </c>
      <c r="E220" s="1568">
        <f>BOD!F216</f>
        <v>1</v>
      </c>
      <c r="F220" s="1568">
        <f>BOD!G216</f>
        <v>1</v>
      </c>
      <c r="G220" s="1568">
        <f>BOD!H216</f>
        <v>1</v>
      </c>
      <c r="H220" s="1568">
        <f>BOD!I216</f>
        <v>1</v>
      </c>
      <c r="I220" s="1568">
        <f>BOD!J216</f>
        <v>1</v>
      </c>
      <c r="J220" s="1568">
        <f>BOD!K216</f>
        <v>1</v>
      </c>
      <c r="K220" s="1568">
        <f>BOD!L216</f>
        <v>1</v>
      </c>
      <c r="L220" s="1568">
        <f>BOD!M216</f>
        <v>1</v>
      </c>
      <c r="M220" s="1568">
        <f>BOD!N216</f>
        <v>1</v>
      </c>
      <c r="N220" s="1568" t="e">
        <f>BOD!O216</f>
        <v>#DIV/0!</v>
      </c>
      <c r="O220" s="1568">
        <f>BOD!P216</f>
        <v>1</v>
      </c>
      <c r="P220" s="1568">
        <f>BOD!Q216</f>
        <v>1</v>
      </c>
      <c r="Q220" s="1568" t="e">
        <f>BOD!R216</f>
        <v>#DIV/0!</v>
      </c>
      <c r="R220" s="1568" t="e">
        <f>BOD!S216</f>
        <v>#DIV/0!</v>
      </c>
      <c r="S220" s="1568" t="e">
        <f>BOD!T216</f>
        <v>#DIV/0!</v>
      </c>
      <c r="T220" s="1568" t="e">
        <f>BOD!U216</f>
        <v>#DIV/0!</v>
      </c>
      <c r="U220" s="1568" t="e">
        <f>BOD!V216</f>
        <v>#DIV/0!</v>
      </c>
      <c r="V220" s="1568">
        <f>BOD!W216</f>
        <v>1</v>
      </c>
    </row>
    <row r="221" spans="1:22" s="79" customFormat="1">
      <c r="A221" s="3776" t="s">
        <v>204</v>
      </c>
      <c r="B221" s="3776"/>
      <c r="C221" s="304" t="s">
        <v>82</v>
      </c>
      <c r="D221" s="304" t="s">
        <v>82</v>
      </c>
      <c r="E221" s="304" t="s">
        <v>82</v>
      </c>
      <c r="F221" s="304" t="s">
        <v>82</v>
      </c>
      <c r="G221" s="304" t="s">
        <v>82</v>
      </c>
      <c r="H221" s="304" t="s">
        <v>82</v>
      </c>
      <c r="I221" s="304" t="s">
        <v>82</v>
      </c>
      <c r="J221" s="304" t="s">
        <v>82</v>
      </c>
      <c r="K221" s="304" t="s">
        <v>82</v>
      </c>
      <c r="L221" s="304" t="s">
        <v>82</v>
      </c>
      <c r="M221" s="304" t="s">
        <v>82</v>
      </c>
      <c r="N221" s="304" t="s">
        <v>82</v>
      </c>
      <c r="O221" s="304" t="s">
        <v>82</v>
      </c>
      <c r="P221" s="304" t="s">
        <v>82</v>
      </c>
      <c r="Q221" s="304" t="s">
        <v>82</v>
      </c>
      <c r="R221" s="304" t="s">
        <v>82</v>
      </c>
      <c r="S221" s="304" t="s">
        <v>82</v>
      </c>
      <c r="T221" s="304" t="s">
        <v>82</v>
      </c>
      <c r="U221" s="304" t="s">
        <v>82</v>
      </c>
      <c r="V221" s="304" t="s">
        <v>82</v>
      </c>
    </row>
    <row r="222" spans="1:22" s="79" customFormat="1">
      <c r="A222" s="3776" t="s">
        <v>199</v>
      </c>
      <c r="B222" s="3776"/>
      <c r="C222" s="1568">
        <f>pH!D194</f>
        <v>1</v>
      </c>
      <c r="D222" s="1568">
        <f>pH!E194</f>
        <v>1</v>
      </c>
      <c r="E222" s="1568">
        <f>pH!F194</f>
        <v>1</v>
      </c>
      <c r="F222" s="1568">
        <f>pH!G194</f>
        <v>1</v>
      </c>
      <c r="G222" s="1568">
        <f>pH!H194</f>
        <v>0.66666666666666663</v>
      </c>
      <c r="H222" s="1568">
        <f>pH!I194</f>
        <v>0.44444444444444442</v>
      </c>
      <c r="I222" s="1568">
        <f>pH!J194</f>
        <v>0.44444444444444442</v>
      </c>
      <c r="J222" s="1568">
        <f>pH!K194</f>
        <v>0</v>
      </c>
      <c r="K222" s="1568">
        <f>pH!L194</f>
        <v>1</v>
      </c>
      <c r="L222" s="1568">
        <f>pH!M194</f>
        <v>0.1111111111111111</v>
      </c>
      <c r="M222" s="1568">
        <f>pH!N194</f>
        <v>0.44444444444444442</v>
      </c>
      <c r="N222" s="1568" t="e">
        <f>pH!O194</f>
        <v>#DIV/0!</v>
      </c>
      <c r="O222" s="1568">
        <f>pH!P194</f>
        <v>1</v>
      </c>
      <c r="P222" s="1568">
        <f>pH!Q194</f>
        <v>0</v>
      </c>
      <c r="Q222" s="1568">
        <f>pH!R194</f>
        <v>1</v>
      </c>
      <c r="R222" s="1568">
        <f>pH!S194</f>
        <v>1</v>
      </c>
      <c r="S222" s="1568">
        <f>pH!T194</f>
        <v>1</v>
      </c>
      <c r="T222" s="1568">
        <f>pH!U194</f>
        <v>1</v>
      </c>
      <c r="U222" s="1568">
        <f>pH!V194</f>
        <v>0</v>
      </c>
      <c r="V222" s="1568">
        <f>pH!W194</f>
        <v>0</v>
      </c>
    </row>
    <row r="223" spans="1:22" s="79" customFormat="1">
      <c r="A223" s="3776" t="s">
        <v>170</v>
      </c>
      <c r="B223" s="3776"/>
      <c r="C223" s="1568">
        <f>Nitrate!D192</f>
        <v>1</v>
      </c>
      <c r="D223" s="1568">
        <f>Nitrate!E192</f>
        <v>1</v>
      </c>
      <c r="E223" s="1568">
        <f>Nitrate!F192</f>
        <v>1</v>
      </c>
      <c r="F223" s="1568">
        <f>Nitrate!G192</f>
        <v>1</v>
      </c>
      <c r="G223" s="1568">
        <f>Nitrate!H192</f>
        <v>1</v>
      </c>
      <c r="H223" s="1568">
        <f>Nitrate!I192</f>
        <v>1</v>
      </c>
      <c r="I223" s="1568">
        <f>Nitrate!J192</f>
        <v>1</v>
      </c>
      <c r="J223" s="1568">
        <f>Nitrate!K192</f>
        <v>1</v>
      </c>
      <c r="K223" s="1568">
        <f>Nitrate!L192</f>
        <v>1</v>
      </c>
      <c r="L223" s="1568">
        <f>Nitrate!M192</f>
        <v>1</v>
      </c>
      <c r="M223" s="1568">
        <f>Nitrate!N192</f>
        <v>1</v>
      </c>
      <c r="N223" s="1568" t="e">
        <f>Nitrate!O192</f>
        <v>#DIV/0!</v>
      </c>
      <c r="O223" s="1568">
        <f>Nitrate!P192</f>
        <v>1</v>
      </c>
      <c r="P223" s="1568">
        <f>Nitrate!Q192</f>
        <v>1</v>
      </c>
      <c r="Q223" s="1568" t="e">
        <f>Nitrate!R192</f>
        <v>#DIV/0!</v>
      </c>
      <c r="R223" s="1568" t="e">
        <f>Nitrate!S192</f>
        <v>#DIV/0!</v>
      </c>
      <c r="S223" s="1568" t="e">
        <f>Nitrate!T192</f>
        <v>#DIV/0!</v>
      </c>
      <c r="T223" s="1568" t="e">
        <f>Nitrate!U192</f>
        <v>#DIV/0!</v>
      </c>
      <c r="U223" s="1568" t="e">
        <f>Nitrate!V192</f>
        <v>#DIV/0!</v>
      </c>
      <c r="V223" s="1568" t="e">
        <f>Nitrate!W192</f>
        <v>#DIV/0!</v>
      </c>
    </row>
    <row r="224" spans="1:22" s="79" customFormat="1">
      <c r="A224" s="3776" t="s">
        <v>169</v>
      </c>
      <c r="B224" s="3776"/>
      <c r="C224" s="1568">
        <f>Phosphate!D196</f>
        <v>1</v>
      </c>
      <c r="D224" s="1568">
        <f>Phosphate!E196</f>
        <v>1</v>
      </c>
      <c r="E224" s="1568">
        <f>Phosphate!F196</f>
        <v>1</v>
      </c>
      <c r="F224" s="1568">
        <f>Phosphate!G196</f>
        <v>1</v>
      </c>
      <c r="G224" s="1568">
        <f>Phosphate!H196</f>
        <v>1</v>
      </c>
      <c r="H224" s="1568">
        <f>Phosphate!I196</f>
        <v>1</v>
      </c>
      <c r="I224" s="1568">
        <f>Phosphate!J196</f>
        <v>1</v>
      </c>
      <c r="J224" s="1568">
        <f>Phosphate!K196</f>
        <v>1</v>
      </c>
      <c r="K224" s="1568">
        <f>Phosphate!L196</f>
        <v>1</v>
      </c>
      <c r="L224" s="1568">
        <f>Phosphate!M196</f>
        <v>1</v>
      </c>
      <c r="M224" s="1568">
        <f>Phosphate!N196</f>
        <v>1</v>
      </c>
      <c r="N224" s="1568" t="e">
        <f>Phosphate!O196</f>
        <v>#DIV/0!</v>
      </c>
      <c r="O224" s="1568">
        <f>Phosphate!P196</f>
        <v>1</v>
      </c>
      <c r="P224" s="1568">
        <f>Phosphate!Q196</f>
        <v>1</v>
      </c>
      <c r="Q224" s="1568" t="e">
        <f>Phosphate!R196</f>
        <v>#DIV/0!</v>
      </c>
      <c r="R224" s="1568" t="e">
        <f>Phosphate!S196</f>
        <v>#DIV/0!</v>
      </c>
      <c r="S224" s="1568" t="e">
        <f>Phosphate!T196</f>
        <v>#DIV/0!</v>
      </c>
      <c r="T224" s="1568" t="e">
        <f>Phosphate!U196</f>
        <v>#DIV/0!</v>
      </c>
      <c r="U224" s="1568" t="e">
        <f>Phosphate!V196</f>
        <v>#DIV/0!</v>
      </c>
      <c r="V224" s="1568" t="e">
        <f>Phosphate!W196</f>
        <v>#DIV/0!</v>
      </c>
    </row>
    <row r="225" spans="1:22" s="79" customFormat="1">
      <c r="A225" s="3776" t="s">
        <v>198</v>
      </c>
      <c r="B225" s="3776"/>
      <c r="C225" s="304" t="s">
        <v>82</v>
      </c>
      <c r="D225" s="304" t="s">
        <v>82</v>
      </c>
      <c r="E225" s="304" t="s">
        <v>82</v>
      </c>
      <c r="F225" s="304" t="s">
        <v>82</v>
      </c>
      <c r="G225" s="304" t="s">
        <v>82</v>
      </c>
      <c r="H225" s="304" t="s">
        <v>82</v>
      </c>
      <c r="I225" s="304" t="s">
        <v>82</v>
      </c>
      <c r="J225" s="304" t="s">
        <v>82</v>
      </c>
      <c r="K225" s="304" t="s">
        <v>82</v>
      </c>
      <c r="L225" s="304" t="s">
        <v>82</v>
      </c>
      <c r="M225" s="304" t="s">
        <v>82</v>
      </c>
      <c r="N225" s="304" t="s">
        <v>82</v>
      </c>
      <c r="O225" s="304" t="s">
        <v>82</v>
      </c>
      <c r="P225" s="304" t="s">
        <v>82</v>
      </c>
      <c r="Q225" s="304" t="s">
        <v>82</v>
      </c>
      <c r="R225" s="304" t="s">
        <v>82</v>
      </c>
      <c r="S225" s="304" t="s">
        <v>82</v>
      </c>
      <c r="T225" s="304" t="s">
        <v>82</v>
      </c>
      <c r="U225" s="304" t="s">
        <v>82</v>
      </c>
      <c r="V225" s="304" t="s">
        <v>82</v>
      </c>
    </row>
    <row r="226" spans="1:22" s="79" customFormat="1">
      <c r="A226" s="3776" t="s">
        <v>206</v>
      </c>
      <c r="B226" s="3776"/>
      <c r="C226" s="1568">
        <f>'Total Coliform'!C74</f>
        <v>100</v>
      </c>
      <c r="D226" s="1568">
        <f>'Total Coliform'!D74</f>
        <v>100</v>
      </c>
      <c r="E226" s="1568">
        <f>'Total Coliform'!E74</f>
        <v>100</v>
      </c>
      <c r="F226" s="1568">
        <f>'Total Coliform'!F74</f>
        <v>80</v>
      </c>
      <c r="G226" s="1568">
        <f>'Total Coliform'!G74</f>
        <v>100</v>
      </c>
      <c r="H226" s="1568">
        <f>'Total Coliform'!H74</f>
        <v>88.888888888888886</v>
      </c>
      <c r="I226" s="1568">
        <f>'Total Coliform'!I74</f>
        <v>88.888888888888886</v>
      </c>
      <c r="J226" s="1568">
        <f>'Total Coliform'!J74</f>
        <v>100</v>
      </c>
      <c r="K226" s="1568">
        <f>'Total Coliform'!L74</f>
        <v>100</v>
      </c>
      <c r="L226" s="1568">
        <f>'Total Coliform'!M74</f>
        <v>100</v>
      </c>
      <c r="M226" s="1568">
        <f>'Total Coliform'!N74</f>
        <v>100</v>
      </c>
      <c r="N226" s="1568" t="e">
        <f>'Total Coliform'!O74</f>
        <v>#DIV/0!</v>
      </c>
      <c r="O226" s="1568">
        <f>'Total Coliform'!Q74</f>
        <v>100</v>
      </c>
      <c r="P226" s="1568">
        <f>'Total Coliform'!R74</f>
        <v>100</v>
      </c>
      <c r="Q226" s="1568" t="e">
        <f>'Total Coliform'!S74</f>
        <v>#DIV/0!</v>
      </c>
      <c r="R226" s="1568" t="e">
        <f>'Total Coliform'!T74</f>
        <v>#DIV/0!</v>
      </c>
      <c r="S226" s="1568" t="e">
        <f>'Total Coliform'!U74</f>
        <v>#DIV/0!</v>
      </c>
      <c r="T226" s="1568" t="e">
        <f>'Total Coliform'!V74</f>
        <v>#DIV/0!</v>
      </c>
      <c r="U226" s="1568" t="e">
        <f>'Total Coliform'!W74</f>
        <v>#DIV/0!</v>
      </c>
      <c r="V226" s="1568" t="e">
        <f>'Total Coliform'!X74</f>
        <v>#DIV/0!</v>
      </c>
    </row>
    <row r="227" spans="1:22" s="79" customFormat="1"/>
    <row r="228" spans="1:22" s="79" customFormat="1">
      <c r="A228" s="3780" t="s">
        <v>306</v>
      </c>
      <c r="B228" s="3781"/>
    </row>
    <row r="229" spans="1:22" s="79" customFormat="1">
      <c r="A229" s="3782"/>
      <c r="B229" s="3783"/>
    </row>
    <row r="230" spans="1:22" s="79" customFormat="1">
      <c r="A230" s="3778" t="s">
        <v>201</v>
      </c>
      <c r="B230" s="3779"/>
      <c r="C230" s="1568" t="e">
        <f>'Bathing Beaches DO,pH'!C60</f>
        <v>#DIV/0!</v>
      </c>
      <c r="D230" s="1568" t="e">
        <f>'Bathing Beaches DO,pH'!D60</f>
        <v>#DIV/0!</v>
      </c>
      <c r="E230" s="1568" t="e">
        <f>'Bathing Beaches DO,pH'!E60</f>
        <v>#DIV/0!</v>
      </c>
      <c r="F230" s="1568">
        <f>'Bathing Beaches DO,pH'!F60</f>
        <v>0.9285714285714286</v>
      </c>
      <c r="G230" s="1568">
        <f>'Bathing Beaches DO,pH'!G60</f>
        <v>0.875</v>
      </c>
      <c r="H230" s="1568">
        <f>'Bathing Beaches DO,pH'!H60</f>
        <v>0.89473684210526316</v>
      </c>
      <c r="I230" s="1568">
        <f>'Bathing Beaches DO,pH'!I60</f>
        <v>0.78947368421052633</v>
      </c>
      <c r="J230" s="1568">
        <f>'Bathing Beaches DO,pH'!J60</f>
        <v>0.73684210526315785</v>
      </c>
      <c r="K230" s="1568">
        <f>'Bathing Beaches DO,pH'!K60</f>
        <v>0.57894736842105265</v>
      </c>
      <c r="L230" s="1568">
        <f>'Bathing Beaches DO,pH'!L60</f>
        <v>0.68421052631578949</v>
      </c>
      <c r="M230" s="1568">
        <f>'Bathing Beaches DO,pH'!M60</f>
        <v>0.78947368421052633</v>
      </c>
      <c r="N230" s="1568">
        <f>'Bathing Beaches DO,pH'!N60</f>
        <v>1</v>
      </c>
      <c r="O230" s="1568">
        <f>'Bathing Beaches DO,pH'!P60</f>
        <v>0.57894736842105265</v>
      </c>
      <c r="P230" s="1568">
        <f>'Bathing Beaches DO,pH'!Q60</f>
        <v>0.78947368421052633</v>
      </c>
      <c r="Q230" s="1568">
        <f>'Bathing Beaches DO,pH'!R60</f>
        <v>0.47368421052631576</v>
      </c>
      <c r="R230" s="1568">
        <f>'Bathing Beaches DO,pH'!S60</f>
        <v>0.52631578947368418</v>
      </c>
      <c r="S230" s="1568">
        <f>'Bathing Beaches DO,pH'!T60</f>
        <v>0.6428571428571429</v>
      </c>
      <c r="T230" s="1568">
        <f>'Bathing Beaches DO,pH'!U60</f>
        <v>0.47368421052631576</v>
      </c>
      <c r="U230" s="1568">
        <f>'Bathing Beaches DO,pH'!V60</f>
        <v>0.47368421052631576</v>
      </c>
      <c r="V230" s="1568">
        <f>'Bathing Beaches DO,pH'!W60</f>
        <v>0</v>
      </c>
    </row>
    <row r="231" spans="1:22" s="79" customFormat="1">
      <c r="A231" s="3776" t="s">
        <v>199</v>
      </c>
      <c r="B231" s="3776"/>
      <c r="C231" s="1568" t="e">
        <f>'Bathing Beaches DO,pH'!C116</f>
        <v>#DIV/0!</v>
      </c>
      <c r="D231" s="1568" t="e">
        <f>'Bathing Beaches DO,pH'!D116</f>
        <v>#DIV/0!</v>
      </c>
      <c r="E231" s="1568" t="e">
        <f>'Bathing Beaches DO,pH'!E116</f>
        <v>#DIV/0!</v>
      </c>
      <c r="F231" s="1568">
        <f>'Bathing Beaches DO,pH'!F116</f>
        <v>1</v>
      </c>
      <c r="G231" s="1568">
        <f>'Bathing Beaches DO,pH'!G116</f>
        <v>0.6875</v>
      </c>
      <c r="H231" s="1568">
        <f>'Bathing Beaches DO,pH'!H116</f>
        <v>1</v>
      </c>
      <c r="I231" s="1568">
        <f>'Bathing Beaches DO,pH'!I116</f>
        <v>1</v>
      </c>
      <c r="J231" s="1568">
        <f>'Bathing Beaches DO,pH'!J116</f>
        <v>0.84210526315789469</v>
      </c>
      <c r="K231" s="1568">
        <f>'Bathing Beaches DO,pH'!K116</f>
        <v>0.8571428571428571</v>
      </c>
      <c r="L231" s="1568">
        <f>'Bathing Beaches DO,pH'!L116</f>
        <v>1</v>
      </c>
      <c r="M231" s="1568">
        <f>'Bathing Beaches DO,pH'!M116</f>
        <v>0.73684210526315785</v>
      </c>
      <c r="N231" s="1568">
        <f>'Bathing Beaches DO,pH'!N116</f>
        <v>0.92307692307692313</v>
      </c>
      <c r="O231" s="1568">
        <f>'Bathing Beaches DO,pH'!P116</f>
        <v>1</v>
      </c>
      <c r="P231" s="1568">
        <f>'Bathing Beaches DO,pH'!Q116</f>
        <v>1</v>
      </c>
      <c r="Q231" s="1568">
        <f>'Bathing Beaches DO,pH'!R116</f>
        <v>1</v>
      </c>
      <c r="R231" s="1568">
        <f>'Bathing Beaches DO,pH'!S116</f>
        <v>1</v>
      </c>
      <c r="S231" s="1568">
        <f>'Bathing Beaches DO,pH'!T116</f>
        <v>1</v>
      </c>
      <c r="T231" s="1568">
        <f>'Bathing Beaches DO,pH'!U116</f>
        <v>1</v>
      </c>
      <c r="U231" s="1568">
        <f>'Bathing Beaches DO,pH'!V116</f>
        <v>1</v>
      </c>
      <c r="V231" s="1568">
        <f>'Bathing Beaches DO,pH'!W116</f>
        <v>0.6</v>
      </c>
    </row>
    <row r="232" spans="1:22" s="79" customFormat="1">
      <c r="A232" s="3776" t="s">
        <v>204</v>
      </c>
      <c r="B232" s="3776"/>
      <c r="C232" s="1568" t="e">
        <f>'Bathing Beaches DO,pH'!C169</f>
        <v>#DIV/0!</v>
      </c>
      <c r="D232" s="1568" t="e">
        <f>'Bathing Beaches DO,pH'!D169</f>
        <v>#DIV/0!</v>
      </c>
      <c r="E232" s="1568" t="e">
        <f>'Bathing Beaches DO,pH'!E169</f>
        <v>#DIV/0!</v>
      </c>
      <c r="F232" s="1568">
        <f>'Bathing Beaches DO,pH'!F169</f>
        <v>0.2</v>
      </c>
      <c r="G232" s="1568" t="e">
        <f>'Bathing Beaches DO,pH'!G169</f>
        <v>#DIV/0!</v>
      </c>
      <c r="H232" s="1568">
        <f>'Bathing Beaches DO,pH'!H169</f>
        <v>0.93333333333333335</v>
      </c>
      <c r="I232" s="1568">
        <f>'Bathing Beaches DO,pH'!I169</f>
        <v>0.4</v>
      </c>
      <c r="J232" s="1568">
        <f>'Bathing Beaches DO,pH'!J169</f>
        <v>0.53333333333333333</v>
      </c>
      <c r="K232" s="1568">
        <f>'Bathing Beaches DO,pH'!K169</f>
        <v>0.46666666666666667</v>
      </c>
      <c r="L232" s="1568">
        <f>'Bathing Beaches DO,pH'!L169</f>
        <v>0.66666666666666663</v>
      </c>
      <c r="M232" s="1568">
        <f>'Bathing Beaches DO,pH'!M169</f>
        <v>0.53333333333333333</v>
      </c>
      <c r="N232" s="1568">
        <f>'Bathing Beaches DO,pH'!N169</f>
        <v>1</v>
      </c>
      <c r="O232" s="1568">
        <f>'Bathing Beaches DO,pH'!P169</f>
        <v>0.66666666666666663</v>
      </c>
      <c r="P232" s="1568">
        <f>'Bathing Beaches DO,pH'!Q169</f>
        <v>0.53333333333333333</v>
      </c>
      <c r="Q232" s="1568" t="e">
        <f>'Bathing Beaches DO,pH'!R169</f>
        <v>#DIV/0!</v>
      </c>
      <c r="R232" s="1568" t="e">
        <f>'Bathing Beaches DO,pH'!S169</f>
        <v>#DIV/0!</v>
      </c>
      <c r="S232" s="1568" t="e">
        <f>'Bathing Beaches DO,pH'!T169</f>
        <v>#DIV/0!</v>
      </c>
      <c r="T232" s="1568">
        <f>'Bathing Beaches DO,pH'!U169</f>
        <v>1</v>
      </c>
      <c r="U232" s="1568">
        <f>'Bathing Beaches DO,pH'!V169</f>
        <v>1</v>
      </c>
      <c r="V232" s="1568">
        <f>'Bathing Beaches DO,pH'!W169</f>
        <v>1</v>
      </c>
    </row>
    <row r="233" spans="1:22" s="79" customFormat="1">
      <c r="A233" s="3776" t="s">
        <v>207</v>
      </c>
      <c r="B233" s="3776"/>
      <c r="C233" s="1568">
        <f>'Fecal Coliform'!C59</f>
        <v>0</v>
      </c>
      <c r="D233" s="1568">
        <f>'Fecal Coliform'!D59</f>
        <v>7.1428571428571425E-2</v>
      </c>
      <c r="E233" s="1568">
        <f>'Fecal Coliform'!E59</f>
        <v>0</v>
      </c>
      <c r="F233" s="1568">
        <f>'Fecal Coliform'!F59</f>
        <v>0</v>
      </c>
      <c r="G233" s="1568">
        <f>'Fecal Coliform'!G59</f>
        <v>0.25</v>
      </c>
      <c r="H233" s="1568">
        <f>'Fecal Coliform'!H59</f>
        <v>4.5454545454545456E-2</v>
      </c>
      <c r="I233" s="1568">
        <f>'Fecal Coliform'!I59</f>
        <v>0</v>
      </c>
      <c r="J233" s="1568">
        <f>'Fecal Coliform'!J59</f>
        <v>0.2857142857142857</v>
      </c>
      <c r="K233" s="1568">
        <f>'Fecal Coliform'!K59</f>
        <v>0.14285714285714285</v>
      </c>
      <c r="L233" s="1568">
        <f>'Fecal Coliform'!L59</f>
        <v>0.10526315789473684</v>
      </c>
      <c r="M233" s="1568">
        <f>'Fecal Coliform'!M59</f>
        <v>0</v>
      </c>
      <c r="N233" s="1568">
        <f>'Fecal Coliform'!N59</f>
        <v>0</v>
      </c>
      <c r="O233" s="1568" t="e">
        <f>'Fecal Coliform'!O59</f>
        <v>#DIV/0!</v>
      </c>
      <c r="P233" s="1568">
        <f>'Fecal Coliform'!P59</f>
        <v>0.15789473684210525</v>
      </c>
      <c r="Q233" s="1568">
        <f>'Fecal Coliform'!Q59</f>
        <v>0</v>
      </c>
      <c r="R233" s="1568">
        <f>'Fecal Coliform'!R59</f>
        <v>0</v>
      </c>
      <c r="S233" s="1568">
        <f>'Fecal Coliform'!S59</f>
        <v>7.1428571428571425E-2</v>
      </c>
      <c r="T233" s="1568">
        <f>'Fecal Coliform'!T59</f>
        <v>0</v>
      </c>
      <c r="U233" s="1568" t="e">
        <f>'Fecal Coliform'!U59</f>
        <v>#DIV/0!</v>
      </c>
      <c r="V233" s="1568">
        <f>'Fecal Coliform'!V59</f>
        <v>0</v>
      </c>
    </row>
    <row r="234" spans="1:22" s="79" customFormat="1">
      <c r="A234" s="3776" t="s">
        <v>206</v>
      </c>
      <c r="B234" s="3776"/>
      <c r="C234" s="1568">
        <f>'Total Coliform'!C58</f>
        <v>7.1428571428571425E-2</v>
      </c>
      <c r="D234" s="1568">
        <f>'Total Coliform'!D58</f>
        <v>0.14285714285714285</v>
      </c>
      <c r="E234" s="1568">
        <f>'Total Coliform'!E58</f>
        <v>7.1428571428571425E-2</v>
      </c>
      <c r="F234" s="1568">
        <f>'Total Coliform'!F58</f>
        <v>0.2857142857142857</v>
      </c>
      <c r="G234" s="1568">
        <f>'Total Coliform'!G58</f>
        <v>0.3125</v>
      </c>
      <c r="H234" s="1568">
        <f>'Total Coliform'!H58</f>
        <v>0.23809523809523808</v>
      </c>
      <c r="I234" s="1568">
        <f>'Total Coliform'!I58</f>
        <v>0</v>
      </c>
      <c r="J234" s="1568">
        <f>'Total Coliform'!J58</f>
        <v>0.5</v>
      </c>
      <c r="K234" s="1568">
        <f>'Total Coliform'!L58</f>
        <v>0.15789473684210525</v>
      </c>
      <c r="L234" s="1568">
        <f>'Total Coliform'!M58</f>
        <v>0.26315789473684209</v>
      </c>
      <c r="M234" s="1568">
        <f>'Total Coliform'!N58</f>
        <v>7.6923076923076927E-2</v>
      </c>
      <c r="N234" s="1568">
        <f>'Total Coliform'!O58</f>
        <v>0.1111111111111111</v>
      </c>
      <c r="O234" s="1568">
        <f>'Total Coliform'!Q58</f>
        <v>0.42857142857142855</v>
      </c>
      <c r="P234" s="1568">
        <f>'Total Coliform'!R58</f>
        <v>0.36842105263157893</v>
      </c>
      <c r="Q234" s="1568">
        <f>'Total Coliform'!S58</f>
        <v>5.2631578947368418E-2</v>
      </c>
      <c r="R234" s="1568">
        <f>'Total Coliform'!T58</f>
        <v>0.21052631578947367</v>
      </c>
      <c r="S234" s="1568">
        <f>'Total Coliform'!U58</f>
        <v>0.5</v>
      </c>
      <c r="T234" s="1568">
        <f>'Total Coliform'!V58</f>
        <v>0.15789473684210525</v>
      </c>
      <c r="U234" s="1568" t="e">
        <f>'Total Coliform'!W58</f>
        <v>#DIV/0!</v>
      </c>
      <c r="V234" s="1568">
        <f>'Total Coliform'!X58</f>
        <v>0</v>
      </c>
    </row>
    <row r="235" spans="1:22" s="79" customFormat="1"/>
    <row r="236" spans="1:22" s="79" customFormat="1">
      <c r="A236" s="3780" t="s">
        <v>307</v>
      </c>
      <c r="B236" s="3781"/>
    </row>
    <row r="237" spans="1:22" s="79" customFormat="1">
      <c r="A237" s="3782"/>
      <c r="B237" s="3783"/>
    </row>
    <row r="238" spans="1:22" s="79" customFormat="1">
      <c r="A238" s="3787" t="s">
        <v>173</v>
      </c>
      <c r="B238" s="3788"/>
      <c r="C238" s="1568"/>
      <c r="D238" s="1568"/>
      <c r="E238" s="1568"/>
      <c r="F238" s="1568"/>
      <c r="G238" s="1568"/>
      <c r="H238" s="1568"/>
      <c r="I238" s="1568"/>
      <c r="J238" s="1568"/>
      <c r="K238" s="1568"/>
      <c r="L238" s="1568"/>
      <c r="M238" s="1568"/>
      <c r="N238" s="1568"/>
      <c r="O238" s="1568"/>
      <c r="P238" s="1568"/>
      <c r="Q238" s="1568"/>
      <c r="R238" s="1568"/>
      <c r="S238" s="1568"/>
      <c r="T238" s="1568"/>
      <c r="U238" s="1568"/>
      <c r="V238" s="1568"/>
    </row>
    <row r="239" spans="1:22" s="79" customFormat="1">
      <c r="A239" s="3778" t="s">
        <v>201</v>
      </c>
      <c r="B239" s="3779"/>
      <c r="C239" s="1568">
        <f>'Offshore DO, pH, Phos. Sal. Con'!D68</f>
        <v>0.88888888888888884</v>
      </c>
      <c r="D239" s="1568" t="e">
        <f>'Offshore DO, pH, Phos. Sal. Con'!E68</f>
        <v>#DIV/0!</v>
      </c>
      <c r="E239" s="1568">
        <f>'Offshore DO, pH, Phos. Sal. Con'!F68</f>
        <v>1</v>
      </c>
      <c r="F239" s="1568">
        <f>'Offshore DO, pH, Phos. Sal. Con'!G68</f>
        <v>0.8571428571428571</v>
      </c>
      <c r="G239" s="1568">
        <f>'Offshore DO, pH, Phos. Sal. Con'!H68</f>
        <v>0.88888888888888884</v>
      </c>
      <c r="H239" s="1568">
        <f>'Offshore DO, pH, Phos. Sal. Con'!I68</f>
        <v>1</v>
      </c>
      <c r="I239" s="1568">
        <f>'Offshore DO, pH, Phos. Sal. Con'!J68</f>
        <v>1</v>
      </c>
      <c r="J239" s="1568">
        <f>'Offshore DO, pH, Phos. Sal. Con'!K68</f>
        <v>1</v>
      </c>
      <c r="K239" s="1568">
        <f>'Offshore DO, pH, Phos. Sal. Con'!L68</f>
        <v>1</v>
      </c>
      <c r="L239" s="1568">
        <f>'Offshore DO, pH, Phos. Sal. Con'!M68</f>
        <v>1</v>
      </c>
      <c r="M239" s="1568">
        <f>'Offshore DO, pH, Phos. Sal. Con'!N68</f>
        <v>1</v>
      </c>
      <c r="N239" s="1568">
        <f>'Offshore DO, pH, Phos. Sal. Con'!O68</f>
        <v>0</v>
      </c>
      <c r="O239" s="1568">
        <f>'Offshore DO, pH, Phos. Sal. Con'!P68</f>
        <v>1</v>
      </c>
      <c r="P239" s="1568">
        <f>'Offshore DO, pH, Phos. Sal. Con'!Q68</f>
        <v>1</v>
      </c>
      <c r="Q239" s="1568" t="e">
        <f>'Offshore DO, pH, Phos. Sal. Con'!R68</f>
        <v>#DIV/0!</v>
      </c>
      <c r="R239" s="1568" t="e">
        <f>'Offshore DO, pH, Phos. Sal. Con'!S68</f>
        <v>#DIV/0!</v>
      </c>
      <c r="S239" s="1568" t="e">
        <f>'Offshore DO, pH, Phos. Sal. Con'!T68</f>
        <v>#DIV/0!</v>
      </c>
      <c r="T239" s="1568">
        <f>'Offshore DO, pH, Phos. Sal. Con'!U68</f>
        <v>1</v>
      </c>
      <c r="U239" s="1568">
        <f>'Offshore DO, pH, Phos. Sal. Con'!V68</f>
        <v>1</v>
      </c>
      <c r="V239" s="1568">
        <f>'Offshore DO, pH, Phos. Sal. Con'!W68</f>
        <v>0</v>
      </c>
    </row>
    <row r="240" spans="1:22" s="79" customFormat="1">
      <c r="A240" s="3778" t="s">
        <v>199</v>
      </c>
      <c r="B240" s="3779"/>
      <c r="C240" s="1568" t="e">
        <f>'Offshore DO, pH, Phos. Sal. Con'!AJ68</f>
        <v>#DIV/0!</v>
      </c>
      <c r="D240" s="1568" t="e">
        <f>'Offshore DO, pH, Phos. Sal. Con'!AK68</f>
        <v>#DIV/0!</v>
      </c>
      <c r="E240" s="1568" t="e">
        <f>'Offshore DO, pH, Phos. Sal. Con'!AL68</f>
        <v>#DIV/0!</v>
      </c>
      <c r="F240" s="1568">
        <f>'Offshore DO, pH, Phos. Sal. Con'!AM68</f>
        <v>0</v>
      </c>
      <c r="G240" s="1568">
        <f>'Offshore DO, pH, Phos. Sal. Con'!AN68</f>
        <v>0</v>
      </c>
      <c r="H240" s="1568">
        <f>'Offshore DO, pH, Phos. Sal. Con'!AO68</f>
        <v>0</v>
      </c>
      <c r="I240" s="1568">
        <f>'Offshore DO, pH, Phos. Sal. Con'!AP68</f>
        <v>0</v>
      </c>
      <c r="J240" s="1568">
        <f>'Offshore DO, pH, Phos. Sal. Con'!AQ68</f>
        <v>0</v>
      </c>
      <c r="K240" s="1568">
        <f>'Offshore DO, pH, Phos. Sal. Con'!AR68</f>
        <v>0</v>
      </c>
      <c r="L240" s="1568">
        <f>'Offshore DO, pH, Phos. Sal. Con'!AS68</f>
        <v>0</v>
      </c>
      <c r="M240" s="1568">
        <f>'Offshore DO, pH, Phos. Sal. Con'!AT68</f>
        <v>0.16666666666666666</v>
      </c>
      <c r="N240" s="1568">
        <f>'Offshore DO, pH, Phos. Sal. Con'!AU68</f>
        <v>0</v>
      </c>
      <c r="O240" s="1568" t="e">
        <f>'Offshore DO, pH, Phos. Sal. Con'!AV68</f>
        <v>#DIV/0!</v>
      </c>
      <c r="P240" s="1568" t="e">
        <f>'Offshore DO, pH, Phos. Sal. Con'!AW68</f>
        <v>#DIV/0!</v>
      </c>
      <c r="Q240" s="1568" t="e">
        <f>'Offshore DO, pH, Phos. Sal. Con'!AX68</f>
        <v>#DIV/0!</v>
      </c>
      <c r="R240" s="1568" t="e">
        <f>'Offshore DO, pH, Phos. Sal. Con'!AY68</f>
        <v>#DIV/0!</v>
      </c>
      <c r="S240" s="1568">
        <f>'Offshore DO, pH, Phos. Sal. Con'!AZ68</f>
        <v>0</v>
      </c>
      <c r="T240" s="1568">
        <f>'Offshore DO, pH, Phos. Sal. Con'!BA68</f>
        <v>0</v>
      </c>
      <c r="U240" s="1568">
        <f>'Offshore DO, pH, Phos. Sal. Con'!BB68</f>
        <v>0</v>
      </c>
      <c r="V240" s="1568">
        <f>'Offshore DO, pH, Phos. Sal. Con'!BC68</f>
        <v>0</v>
      </c>
    </row>
    <row r="241" spans="1:22" s="79" customFormat="1">
      <c r="A241" s="3778" t="s">
        <v>169</v>
      </c>
      <c r="B241" s="3779"/>
      <c r="C241" s="1568" t="e">
        <f>'Offshore DO, pH, Phos. Sal. Con'!BP68</f>
        <v>#DIV/0!</v>
      </c>
      <c r="D241" s="1568" t="e">
        <f>'Offshore DO, pH, Phos. Sal. Con'!BQ68</f>
        <v>#DIV/0!</v>
      </c>
      <c r="E241" s="1568" t="e">
        <f>'Offshore DO, pH, Phos. Sal. Con'!BR68</f>
        <v>#DIV/0!</v>
      </c>
      <c r="F241" s="1568" t="e">
        <f>'Offshore DO, pH, Phos. Sal. Con'!BS68</f>
        <v>#DIV/0!</v>
      </c>
      <c r="G241" s="1568">
        <f>'Offshore DO, pH, Phos. Sal. Con'!BT68</f>
        <v>0.77777777777777779</v>
      </c>
      <c r="H241" s="1568">
        <f>'Offshore DO, pH, Phos. Sal. Con'!BU68</f>
        <v>0</v>
      </c>
      <c r="I241" s="1568">
        <f>'Offshore DO, pH, Phos. Sal. Con'!BV68</f>
        <v>0.1111111111111111</v>
      </c>
      <c r="J241" s="1568">
        <f>'Offshore DO, pH, Phos. Sal. Con'!BW68</f>
        <v>1</v>
      </c>
      <c r="K241" s="1568">
        <f>'Offshore DO, pH, Phos. Sal. Con'!BX68</f>
        <v>1</v>
      </c>
      <c r="L241" s="1568">
        <f>'Offshore DO, pH, Phos. Sal. Con'!BY68</f>
        <v>0</v>
      </c>
      <c r="M241" s="1568">
        <f>'Offshore DO, pH, Phos. Sal. Con'!BZ68</f>
        <v>1</v>
      </c>
      <c r="N241" s="1568" t="e">
        <f>'Offshore DO, pH, Phos. Sal. Con'!CA68</f>
        <v>#DIV/0!</v>
      </c>
      <c r="O241" s="1568">
        <f>'Offshore DO, pH, Phos. Sal. Con'!CB68</f>
        <v>1</v>
      </c>
      <c r="P241" s="1568" t="e">
        <f>'Offshore DO, pH, Phos. Sal. Con'!CC68</f>
        <v>#DIV/0!</v>
      </c>
      <c r="Q241" s="1568" t="e">
        <f>'Offshore DO, pH, Phos. Sal. Con'!CD68</f>
        <v>#DIV/0!</v>
      </c>
      <c r="R241" s="1568" t="e">
        <f>'Offshore DO, pH, Phos. Sal. Con'!CE68</f>
        <v>#DIV/0!</v>
      </c>
      <c r="S241" s="1568" t="e">
        <f>'Offshore DO, pH, Phos. Sal. Con'!CF68</f>
        <v>#DIV/0!</v>
      </c>
      <c r="T241" s="1568">
        <f>'Offshore DO, pH, Phos. Sal. Con'!CG68</f>
        <v>0.88888888888888884</v>
      </c>
      <c r="U241" s="1568">
        <f>'Offshore DO, pH, Phos. Sal. Con'!CH68</f>
        <v>1</v>
      </c>
      <c r="V241" s="1568">
        <f>'Offshore DO, pH, Phos. Sal. Con'!CI68</f>
        <v>1</v>
      </c>
    </row>
    <row r="242" spans="1:22" s="79" customFormat="1">
      <c r="A242" s="3787" t="s">
        <v>308</v>
      </c>
      <c r="B242" s="3788"/>
      <c r="C242" s="1568"/>
      <c r="D242" s="1568"/>
      <c r="E242" s="1568"/>
      <c r="F242" s="1568"/>
      <c r="G242" s="1568"/>
      <c r="H242" s="1568"/>
      <c r="I242" s="1568"/>
      <c r="J242" s="1568"/>
      <c r="K242" s="1568"/>
      <c r="L242" s="1568"/>
      <c r="M242" s="1568"/>
      <c r="N242" s="1568"/>
      <c r="O242" s="1568"/>
      <c r="P242" s="1568"/>
      <c r="Q242" s="1568"/>
      <c r="R242" s="1568"/>
      <c r="S242" s="1568"/>
      <c r="T242" s="1568"/>
      <c r="U242" s="1568"/>
      <c r="V242" s="1568"/>
    </row>
    <row r="243" spans="1:22" s="79" customFormat="1">
      <c r="A243" s="3778" t="s">
        <v>201</v>
      </c>
      <c r="B243" s="3779"/>
      <c r="C243" s="1568">
        <f>'Offshore DO, pH, Phos. Sal. Con'!D81</f>
        <v>0.88888888888888884</v>
      </c>
      <c r="D243" s="1568" t="e">
        <f>'Offshore DO, pH, Phos. Sal. Con'!E81</f>
        <v>#DIV/0!</v>
      </c>
      <c r="E243" s="1568">
        <f>'Offshore DO, pH, Phos. Sal. Con'!F81</f>
        <v>0.6</v>
      </c>
      <c r="F243" s="1568">
        <f>'Offshore DO, pH, Phos. Sal. Con'!G81</f>
        <v>0.7142857142857143</v>
      </c>
      <c r="G243" s="1568">
        <f>'Offshore DO, pH, Phos. Sal. Con'!H81</f>
        <v>0.44444444444444442</v>
      </c>
      <c r="H243" s="1568">
        <f>'Offshore DO, pH, Phos. Sal. Con'!I81</f>
        <v>0.77777777777777779</v>
      </c>
      <c r="I243" s="1568">
        <f>'Offshore DO, pH, Phos. Sal. Con'!J81</f>
        <v>0.125</v>
      </c>
      <c r="J243" s="1568">
        <f>'Offshore DO, pH, Phos. Sal. Con'!K81</f>
        <v>0.55555555555555558</v>
      </c>
      <c r="K243" s="1568">
        <f>'Offshore DO, pH, Phos. Sal. Con'!L81</f>
        <v>1</v>
      </c>
      <c r="L243" s="1568">
        <f>'Offshore DO, pH, Phos. Sal. Con'!M81</f>
        <v>1</v>
      </c>
      <c r="M243" s="1568">
        <f>'Offshore DO, pH, Phos. Sal. Con'!N81</f>
        <v>1</v>
      </c>
      <c r="N243" s="1568">
        <f>'Offshore DO, pH, Phos. Sal. Con'!O81</f>
        <v>0</v>
      </c>
      <c r="O243" s="1568">
        <f>'Offshore DO, pH, Phos. Sal. Con'!P81</f>
        <v>1</v>
      </c>
      <c r="P243" s="1568">
        <f>'Offshore DO, pH, Phos. Sal. Con'!Q81</f>
        <v>0.77777777777777779</v>
      </c>
      <c r="Q243" s="1568" t="e">
        <f>'Offshore DO, pH, Phos. Sal. Con'!R81</f>
        <v>#DIV/0!</v>
      </c>
      <c r="R243" s="1568" t="e">
        <f>'Offshore DO, pH, Phos. Sal. Con'!S81</f>
        <v>#DIV/0!</v>
      </c>
      <c r="S243" s="1568" t="e">
        <f>'Offshore DO, pH, Phos. Sal. Con'!T81</f>
        <v>#DIV/0!</v>
      </c>
      <c r="T243" s="1568">
        <f>'Offshore DO, pH, Phos. Sal. Con'!U81</f>
        <v>0.88888888888888884</v>
      </c>
      <c r="U243" s="1568">
        <f>'Offshore DO, pH, Phos. Sal. Con'!V81</f>
        <v>0.44444444444444442</v>
      </c>
      <c r="V243" s="1568" t="e">
        <f>'Offshore DO, pH, Phos. Sal. Con'!W81</f>
        <v>#DIV/0!</v>
      </c>
    </row>
    <row r="244" spans="1:22" s="79" customFormat="1">
      <c r="A244" s="3778" t="s">
        <v>199</v>
      </c>
      <c r="B244" s="3779"/>
      <c r="C244" s="1568" t="e">
        <f>'Offshore DO, pH, Phos. Sal. Con'!AJ81</f>
        <v>#DIV/0!</v>
      </c>
      <c r="D244" s="1568" t="e">
        <f>'Offshore DO, pH, Phos. Sal. Con'!AK81</f>
        <v>#DIV/0!</v>
      </c>
      <c r="E244" s="1568" t="e">
        <f>'Offshore DO, pH, Phos. Sal. Con'!AL81</f>
        <v>#DIV/0!</v>
      </c>
      <c r="F244" s="1568">
        <f>'Offshore DO, pH, Phos. Sal. Con'!AM81</f>
        <v>0</v>
      </c>
      <c r="G244" s="1568">
        <f>'Offshore DO, pH, Phos. Sal. Con'!AN81</f>
        <v>0</v>
      </c>
      <c r="H244" s="1568">
        <f>'Offshore DO, pH, Phos. Sal. Con'!AO81</f>
        <v>0</v>
      </c>
      <c r="I244" s="1568">
        <f>'Offshore DO, pH, Phos. Sal. Con'!AP81</f>
        <v>0</v>
      </c>
      <c r="J244" s="1568">
        <f>'Offshore DO, pH, Phos. Sal. Con'!AQ81</f>
        <v>0</v>
      </c>
      <c r="K244" s="1568">
        <f>'Offshore DO, pH, Phos. Sal. Con'!AR81</f>
        <v>0</v>
      </c>
      <c r="L244" s="1568">
        <f>'Offshore DO, pH, Phos. Sal. Con'!AS81</f>
        <v>0</v>
      </c>
      <c r="M244" s="1568">
        <f>'Offshore DO, pH, Phos. Sal. Con'!AT81</f>
        <v>0</v>
      </c>
      <c r="N244" s="1568">
        <f>'Offshore DO, pH, Phos. Sal. Con'!AU81</f>
        <v>0</v>
      </c>
      <c r="O244" s="1568">
        <f>'Offshore DO, pH, Phos. Sal. Con'!AV81</f>
        <v>0</v>
      </c>
      <c r="P244" s="1568">
        <f>'Offshore DO, pH, Phos. Sal. Con'!AW81</f>
        <v>0</v>
      </c>
      <c r="Q244" s="1568">
        <f>'Offshore DO, pH, Phos. Sal. Con'!AX81</f>
        <v>0</v>
      </c>
      <c r="R244" s="1568" t="e">
        <f>'Offshore DO, pH, Phos. Sal. Con'!AY81</f>
        <v>#DIV/0!</v>
      </c>
      <c r="S244" s="1568">
        <f>'Offshore DO, pH, Phos. Sal. Con'!AZ81</f>
        <v>0</v>
      </c>
      <c r="T244" s="1568">
        <f>'Offshore DO, pH, Phos. Sal. Con'!BA81</f>
        <v>0</v>
      </c>
      <c r="U244" s="1568">
        <f>'Offshore DO, pH, Phos. Sal. Con'!BB81</f>
        <v>0</v>
      </c>
      <c r="V244" s="1568">
        <f>'Offshore DO, pH, Phos. Sal. Con'!BC81</f>
        <v>0</v>
      </c>
    </row>
    <row r="245" spans="1:22" s="79" customFormat="1">
      <c r="A245" s="3778" t="s">
        <v>169</v>
      </c>
      <c r="B245" s="3779"/>
      <c r="C245" s="1568" t="e">
        <f>'Offshore DO, pH, Phos. Sal. Con'!BP81</f>
        <v>#DIV/0!</v>
      </c>
      <c r="D245" s="1568" t="e">
        <f>'Offshore DO, pH, Phos. Sal. Con'!BQ81</f>
        <v>#DIV/0!</v>
      </c>
      <c r="E245" s="1568" t="e">
        <f>'Offshore DO, pH, Phos. Sal. Con'!BR81</f>
        <v>#DIV/0!</v>
      </c>
      <c r="F245" s="1568" t="e">
        <f>'Offshore DO, pH, Phos. Sal. Con'!BS81</f>
        <v>#DIV/0!</v>
      </c>
      <c r="G245" s="1568">
        <f>'Offshore DO, pH, Phos. Sal. Con'!BT81</f>
        <v>1</v>
      </c>
      <c r="H245" s="1568">
        <f>'Offshore DO, pH, Phos. Sal. Con'!BU81</f>
        <v>0</v>
      </c>
      <c r="I245" s="1568">
        <f>'Offshore DO, pH, Phos. Sal. Con'!BV81</f>
        <v>0.1111111111111111</v>
      </c>
      <c r="J245" s="1568">
        <f>'Offshore DO, pH, Phos. Sal. Con'!BW81</f>
        <v>1</v>
      </c>
      <c r="K245" s="1568">
        <f>'Offshore DO, pH, Phos. Sal. Con'!BX81</f>
        <v>1</v>
      </c>
      <c r="L245" s="1568">
        <f>'Offshore DO, pH, Phos. Sal. Con'!BY81</f>
        <v>0</v>
      </c>
      <c r="M245" s="1568">
        <f>'Offshore DO, pH, Phos. Sal. Con'!BZ81</f>
        <v>1</v>
      </c>
      <c r="N245" s="1568" t="e">
        <f>'Offshore DO, pH, Phos. Sal. Con'!CA81</f>
        <v>#DIV/0!</v>
      </c>
      <c r="O245" s="1568">
        <f>'Offshore DO, pH, Phos. Sal. Con'!CB81</f>
        <v>1</v>
      </c>
      <c r="P245" s="1568" t="e">
        <f>'Offshore DO, pH, Phos. Sal. Con'!CC81</f>
        <v>#DIV/0!</v>
      </c>
      <c r="Q245" s="1568" t="e">
        <f>'Offshore DO, pH, Phos. Sal. Con'!CD81</f>
        <v>#DIV/0!</v>
      </c>
      <c r="R245" s="1568" t="e">
        <f>'Offshore DO, pH, Phos. Sal. Con'!CE81</f>
        <v>#DIV/0!</v>
      </c>
      <c r="S245" s="1568" t="e">
        <f>'Offshore DO, pH, Phos. Sal. Con'!CF81</f>
        <v>#DIV/0!</v>
      </c>
      <c r="T245" s="1568">
        <f>'Offshore DO, pH, Phos. Sal. Con'!CG81</f>
        <v>0.88888888888888884</v>
      </c>
      <c r="U245" s="1568">
        <f>'Offshore DO, pH, Phos. Sal. Con'!CH81</f>
        <v>1</v>
      </c>
      <c r="V245" s="1568">
        <f>'Offshore DO, pH, Phos. Sal. Con'!CI81</f>
        <v>1</v>
      </c>
    </row>
    <row r="246" spans="1:22" s="79" customFormat="1">
      <c r="A246" s="3787" t="s">
        <v>171</v>
      </c>
      <c r="B246" s="3788"/>
      <c r="C246" s="1568"/>
      <c r="D246" s="1568"/>
      <c r="E246" s="1568"/>
      <c r="F246" s="1568"/>
      <c r="G246" s="1568"/>
      <c r="H246" s="1568"/>
      <c r="I246" s="1568"/>
      <c r="J246" s="1568"/>
      <c r="K246" s="1568"/>
      <c r="L246" s="1568"/>
      <c r="M246" s="1568"/>
      <c r="N246" s="1568"/>
      <c r="O246" s="1568"/>
      <c r="P246" s="1568"/>
      <c r="Q246" s="1568"/>
      <c r="R246" s="1568"/>
      <c r="S246" s="1568"/>
      <c r="T246" s="1568"/>
      <c r="U246" s="1568"/>
      <c r="V246" s="1568"/>
    </row>
    <row r="247" spans="1:22" s="79" customFormat="1">
      <c r="A247" s="3778" t="s">
        <v>201</v>
      </c>
      <c r="B247" s="3779"/>
      <c r="C247" s="1568">
        <f>'Offshore DO, pH, Phos. Sal. Con'!D94</f>
        <v>0.66666666666666663</v>
      </c>
      <c r="D247" s="1568" t="e">
        <f>'Offshore DO, pH, Phos. Sal. Con'!E94</f>
        <v>#DIV/0!</v>
      </c>
      <c r="E247" s="1568">
        <f>'Offshore DO, pH, Phos. Sal. Con'!F94</f>
        <v>0.2</v>
      </c>
      <c r="F247" s="1568">
        <f>'Offshore DO, pH, Phos. Sal. Con'!G94</f>
        <v>0.14285714285714285</v>
      </c>
      <c r="G247" s="1568">
        <f>'Offshore DO, pH, Phos. Sal. Con'!H94</f>
        <v>0</v>
      </c>
      <c r="H247" s="1568">
        <f>'Offshore DO, pH, Phos. Sal. Con'!I94</f>
        <v>0.33333333333333331</v>
      </c>
      <c r="I247" s="1568">
        <f>'Offshore DO, pH, Phos. Sal. Con'!J94</f>
        <v>0</v>
      </c>
      <c r="J247" s="1568">
        <f>'Offshore DO, pH, Phos. Sal. Con'!K94</f>
        <v>0.22222222222222221</v>
      </c>
      <c r="K247" s="1568">
        <f>'Offshore DO, pH, Phos. Sal. Con'!L94</f>
        <v>0.66666666666666663</v>
      </c>
      <c r="L247" s="1568">
        <f>'Offshore DO, pH, Phos. Sal. Con'!M94</f>
        <v>0.22222222222222221</v>
      </c>
      <c r="M247" s="1568">
        <f>'Offshore DO, pH, Phos. Sal. Con'!N94</f>
        <v>0.5</v>
      </c>
      <c r="N247" s="1568">
        <f>'Offshore DO, pH, Phos. Sal. Con'!O94</f>
        <v>0</v>
      </c>
      <c r="O247" s="1568">
        <f>'Offshore DO, pH, Phos. Sal. Con'!P94</f>
        <v>0.66666666666666663</v>
      </c>
      <c r="P247" s="1568">
        <f>'Offshore DO, pH, Phos. Sal. Con'!Q94</f>
        <v>0.33333333333333331</v>
      </c>
      <c r="Q247" s="1568" t="e">
        <f>'Offshore DO, pH, Phos. Sal. Con'!R94</f>
        <v>#DIV/0!</v>
      </c>
      <c r="R247" s="1568" t="e">
        <f>'Offshore DO, pH, Phos. Sal. Con'!S94</f>
        <v>#DIV/0!</v>
      </c>
      <c r="S247" s="1568" t="e">
        <f>'Offshore DO, pH, Phos. Sal. Con'!T94</f>
        <v>#DIV/0!</v>
      </c>
      <c r="T247" s="1568">
        <f>'Offshore DO, pH, Phos. Sal. Con'!U94</f>
        <v>0.33333333333333331</v>
      </c>
      <c r="U247" s="1568" t="e">
        <f>'Offshore DO, pH, Phos. Sal. Con'!V94</f>
        <v>#DIV/0!</v>
      </c>
      <c r="V247" s="1568" t="e">
        <f>'Offshore DO, pH, Phos. Sal. Con'!W94</f>
        <v>#DIV/0!</v>
      </c>
    </row>
    <row r="248" spans="1:22" s="79" customFormat="1">
      <c r="A248" s="3778" t="s">
        <v>199</v>
      </c>
      <c r="B248" s="3779"/>
      <c r="C248" s="1568" t="e">
        <f>'Offshore DO, pH, Phos. Sal. Con'!AJ94</f>
        <v>#DIV/0!</v>
      </c>
      <c r="D248" s="1568" t="e">
        <f>'Offshore DO, pH, Phos. Sal. Con'!AK94</f>
        <v>#DIV/0!</v>
      </c>
      <c r="E248" s="1568" t="e">
        <f>'Offshore DO, pH, Phos. Sal. Con'!AL94</f>
        <v>#DIV/0!</v>
      </c>
      <c r="F248" s="1568">
        <f>'Offshore DO, pH, Phos. Sal. Con'!AM94</f>
        <v>0.14285714285714285</v>
      </c>
      <c r="G248" s="1568">
        <f>'Offshore DO, pH, Phos. Sal. Con'!AN94</f>
        <v>0</v>
      </c>
      <c r="H248" s="1568">
        <f>'Offshore DO, pH, Phos. Sal. Con'!AO94</f>
        <v>0.1111111111111111</v>
      </c>
      <c r="I248" s="1568">
        <f>'Offshore DO, pH, Phos. Sal. Con'!AP94</f>
        <v>0</v>
      </c>
      <c r="J248" s="1568">
        <f>'Offshore DO, pH, Phos. Sal. Con'!AQ94</f>
        <v>0</v>
      </c>
      <c r="K248" s="1568">
        <f>'Offshore DO, pH, Phos. Sal. Con'!AR94</f>
        <v>0</v>
      </c>
      <c r="L248" s="1568">
        <f>'Offshore DO, pH, Phos. Sal. Con'!AS94</f>
        <v>0.1111111111111111</v>
      </c>
      <c r="M248" s="1568">
        <f>'Offshore DO, pH, Phos. Sal. Con'!AT94</f>
        <v>0</v>
      </c>
      <c r="N248" s="1568">
        <f>'Offshore DO, pH, Phos. Sal. Con'!AU94</f>
        <v>0</v>
      </c>
      <c r="O248" s="1568" t="e">
        <f>'Offshore DO, pH, Phos. Sal. Con'!AV94</f>
        <v>#DIV/0!</v>
      </c>
      <c r="P248" s="1568" t="e">
        <f>'Offshore DO, pH, Phos. Sal. Con'!AW94</f>
        <v>#DIV/0!</v>
      </c>
      <c r="Q248" s="1568" t="e">
        <f>'Offshore DO, pH, Phos. Sal. Con'!AX94</f>
        <v>#DIV/0!</v>
      </c>
      <c r="R248" s="1568" t="e">
        <f>'Offshore DO, pH, Phos. Sal. Con'!AY94</f>
        <v>#DIV/0!</v>
      </c>
      <c r="S248" s="1568">
        <f>'Offshore DO, pH, Phos. Sal. Con'!AZ94</f>
        <v>0</v>
      </c>
      <c r="T248" s="1568">
        <f>'Offshore DO, pH, Phos. Sal. Con'!BA94</f>
        <v>0.1111111111111111</v>
      </c>
      <c r="U248" s="1568">
        <f>'Offshore DO, pH, Phos. Sal. Con'!BB94</f>
        <v>0</v>
      </c>
      <c r="V248" s="1568">
        <f>'Offshore DO, pH, Phos. Sal. Con'!BC94</f>
        <v>0</v>
      </c>
    </row>
    <row r="249" spans="1:22" s="79" customFormat="1">
      <c r="A249" s="3778" t="s">
        <v>169</v>
      </c>
      <c r="B249" s="3779"/>
      <c r="C249" s="1568" t="e">
        <f>'Offshore DO, pH, Phos. Sal. Con'!BP94</f>
        <v>#DIV/0!</v>
      </c>
      <c r="D249" s="1568" t="e">
        <f>'Offshore DO, pH, Phos. Sal. Con'!BQ94</f>
        <v>#DIV/0!</v>
      </c>
      <c r="E249" s="1568" t="e">
        <f>'Offshore DO, pH, Phos. Sal. Con'!BR94</f>
        <v>#DIV/0!</v>
      </c>
      <c r="F249" s="1568" t="e">
        <f>'Offshore DO, pH, Phos. Sal. Con'!BS94</f>
        <v>#DIV/0!</v>
      </c>
      <c r="G249" s="1568">
        <f>'Offshore DO, pH, Phos. Sal. Con'!BT94</f>
        <v>0.44444444444444442</v>
      </c>
      <c r="H249" s="1568">
        <f>'Offshore DO, pH, Phos. Sal. Con'!BU94</f>
        <v>0</v>
      </c>
      <c r="I249" s="1568">
        <f>'Offshore DO, pH, Phos. Sal. Con'!BV94</f>
        <v>0.22222222222222221</v>
      </c>
      <c r="J249" s="1568">
        <f>'Offshore DO, pH, Phos. Sal. Con'!BW94</f>
        <v>1</v>
      </c>
      <c r="K249" s="1568">
        <f>'Offshore DO, pH, Phos. Sal. Con'!BX94</f>
        <v>1</v>
      </c>
      <c r="L249" s="1568">
        <f>'Offshore DO, pH, Phos. Sal. Con'!BY94</f>
        <v>0</v>
      </c>
      <c r="M249" s="1568">
        <f>'Offshore DO, pH, Phos. Sal. Con'!BZ94</f>
        <v>1</v>
      </c>
      <c r="N249" s="1568" t="e">
        <f>'Offshore DO, pH, Phos. Sal. Con'!CA94</f>
        <v>#DIV/0!</v>
      </c>
      <c r="O249" s="1568">
        <f>'Offshore DO, pH, Phos. Sal. Con'!CB94</f>
        <v>0.55555555555555558</v>
      </c>
      <c r="P249" s="1568" t="e">
        <f>'Offshore DO, pH, Phos. Sal. Con'!CC94</f>
        <v>#DIV/0!</v>
      </c>
      <c r="Q249" s="1568" t="e">
        <f>'Offshore DO, pH, Phos. Sal. Con'!CD94</f>
        <v>#DIV/0!</v>
      </c>
      <c r="R249" s="1568" t="e">
        <f>'Offshore DO, pH, Phos. Sal. Con'!CE94</f>
        <v>#DIV/0!</v>
      </c>
      <c r="S249" s="1568" t="e">
        <f>'Offshore DO, pH, Phos. Sal. Con'!CF94</f>
        <v>#DIV/0!</v>
      </c>
      <c r="T249" s="1568">
        <f>'Offshore DO, pH, Phos. Sal. Con'!CG94</f>
        <v>0.88888888888888884</v>
      </c>
      <c r="U249" s="1568">
        <f>'Offshore DO, pH, Phos. Sal. Con'!CH94</f>
        <v>1</v>
      </c>
      <c r="V249" s="1568">
        <f>'Offshore DO, pH, Phos. Sal. Con'!CI94</f>
        <v>1</v>
      </c>
    </row>
    <row r="250" spans="1:22" s="79" customFormat="1"/>
    <row r="251" spans="1:22" s="79" customFormat="1"/>
  </sheetData>
  <mergeCells count="186">
    <mergeCell ref="S8:V8"/>
    <mergeCell ref="A215:B215"/>
    <mergeCell ref="A204:B204"/>
    <mergeCell ref="A203:B203"/>
    <mergeCell ref="A226:B226"/>
    <mergeCell ref="A238:B238"/>
    <mergeCell ref="A240:B240"/>
    <mergeCell ref="A241:B241"/>
    <mergeCell ref="A242:B242"/>
    <mergeCell ref="A239:B239"/>
    <mergeCell ref="O8:R8"/>
    <mergeCell ref="A44:B44"/>
    <mergeCell ref="A47:B48"/>
    <mergeCell ref="A49:B49"/>
    <mergeCell ref="A50:B50"/>
    <mergeCell ref="A51:B51"/>
    <mergeCell ref="A52:B52"/>
    <mergeCell ref="A38:B38"/>
    <mergeCell ref="A39:B39"/>
    <mergeCell ref="A40:B40"/>
    <mergeCell ref="A41:B41"/>
    <mergeCell ref="A42:B42"/>
    <mergeCell ref="A43:B43"/>
    <mergeCell ref="A62:B62"/>
    <mergeCell ref="A243:B243"/>
    <mergeCell ref="A244:B244"/>
    <mergeCell ref="A245:B245"/>
    <mergeCell ref="A246:B246"/>
    <mergeCell ref="A247:B247"/>
    <mergeCell ref="A248:B248"/>
    <mergeCell ref="A249:B249"/>
    <mergeCell ref="A228:B229"/>
    <mergeCell ref="A230:B230"/>
    <mergeCell ref="A231:B231"/>
    <mergeCell ref="A232:B232"/>
    <mergeCell ref="A233:B233"/>
    <mergeCell ref="A234:B234"/>
    <mergeCell ref="A236:B237"/>
    <mergeCell ref="D5:K5"/>
    <mergeCell ref="C2:L3"/>
    <mergeCell ref="K8:N8"/>
    <mergeCell ref="A29:B29"/>
    <mergeCell ref="A30:B30"/>
    <mergeCell ref="A31:B31"/>
    <mergeCell ref="A32:B32"/>
    <mergeCell ref="A33:B33"/>
    <mergeCell ref="A36:B37"/>
    <mergeCell ref="A21:B21"/>
    <mergeCell ref="A22:B22"/>
    <mergeCell ref="A14:B15"/>
    <mergeCell ref="A25:B26"/>
    <mergeCell ref="A27:B27"/>
    <mergeCell ref="A28:B28"/>
    <mergeCell ref="A12:B13"/>
    <mergeCell ref="A16:B16"/>
    <mergeCell ref="A17:B17"/>
    <mergeCell ref="A18:B18"/>
    <mergeCell ref="A19:B19"/>
    <mergeCell ref="A20:B20"/>
    <mergeCell ref="A8:B9"/>
    <mergeCell ref="C8:F8"/>
    <mergeCell ref="G8:J8"/>
    <mergeCell ref="A63:B63"/>
    <mergeCell ref="A64:B64"/>
    <mergeCell ref="A65:B65"/>
    <mergeCell ref="A66:B66"/>
    <mergeCell ref="A69:B70"/>
    <mergeCell ref="A53:B53"/>
    <mergeCell ref="A54:B54"/>
    <mergeCell ref="A55:B55"/>
    <mergeCell ref="A58:B59"/>
    <mergeCell ref="A60:B60"/>
    <mergeCell ref="A61:B61"/>
    <mergeCell ref="A77:B77"/>
    <mergeCell ref="A80:B81"/>
    <mergeCell ref="A82:B82"/>
    <mergeCell ref="A83:B83"/>
    <mergeCell ref="A84:B84"/>
    <mergeCell ref="A85:B85"/>
    <mergeCell ref="A71:B71"/>
    <mergeCell ref="A72:B72"/>
    <mergeCell ref="A73:B73"/>
    <mergeCell ref="A74:B74"/>
    <mergeCell ref="A75:B75"/>
    <mergeCell ref="A76:B76"/>
    <mergeCell ref="A95:B95"/>
    <mergeCell ref="A96:B96"/>
    <mergeCell ref="A97:B97"/>
    <mergeCell ref="A98:B98"/>
    <mergeCell ref="A99:B99"/>
    <mergeCell ref="A102:B103"/>
    <mergeCell ref="A86:B86"/>
    <mergeCell ref="A87:B87"/>
    <mergeCell ref="A88:B88"/>
    <mergeCell ref="A91:B92"/>
    <mergeCell ref="A93:B93"/>
    <mergeCell ref="A94:B94"/>
    <mergeCell ref="A110:B110"/>
    <mergeCell ref="A113:B114"/>
    <mergeCell ref="A115:B116"/>
    <mergeCell ref="A117:B117"/>
    <mergeCell ref="A118:B118"/>
    <mergeCell ref="A119:B119"/>
    <mergeCell ref="A104:B104"/>
    <mergeCell ref="A105:B105"/>
    <mergeCell ref="A106:B106"/>
    <mergeCell ref="A107:B107"/>
    <mergeCell ref="A108:B108"/>
    <mergeCell ref="A109:B109"/>
    <mergeCell ref="A129:B129"/>
    <mergeCell ref="A130:B130"/>
    <mergeCell ref="A131:B131"/>
    <mergeCell ref="A132:B132"/>
    <mergeCell ref="A133:B133"/>
    <mergeCell ref="A134:B134"/>
    <mergeCell ref="A120:B120"/>
    <mergeCell ref="A121:B121"/>
    <mergeCell ref="A122:B122"/>
    <mergeCell ref="A123:B123"/>
    <mergeCell ref="A126:B127"/>
    <mergeCell ref="A128:B128"/>
    <mergeCell ref="A150:B151"/>
    <mergeCell ref="A152:B152"/>
    <mergeCell ref="A153:B153"/>
    <mergeCell ref="A154:B154"/>
    <mergeCell ref="A155:B155"/>
    <mergeCell ref="A156:B156"/>
    <mergeCell ref="A137:B138"/>
    <mergeCell ref="A139:B139"/>
    <mergeCell ref="A140:B140"/>
    <mergeCell ref="A148:B149"/>
    <mergeCell ref="A141:B141"/>
    <mergeCell ref="A142:B142"/>
    <mergeCell ref="A143:B143"/>
    <mergeCell ref="A144:B144"/>
    <mergeCell ref="A145:B145"/>
    <mergeCell ref="A166:B166"/>
    <mergeCell ref="A167:B167"/>
    <mergeCell ref="A168:B168"/>
    <mergeCell ref="A169:B169"/>
    <mergeCell ref="A172:B173"/>
    <mergeCell ref="A174:B174"/>
    <mergeCell ref="A157:B157"/>
    <mergeCell ref="A158:B158"/>
    <mergeCell ref="A161:B162"/>
    <mergeCell ref="A163:B163"/>
    <mergeCell ref="A164:B164"/>
    <mergeCell ref="A165:B165"/>
    <mergeCell ref="A190:B190"/>
    <mergeCell ref="A191:B191"/>
    <mergeCell ref="A183:B184"/>
    <mergeCell ref="A185:B185"/>
    <mergeCell ref="A186:B186"/>
    <mergeCell ref="A187:B187"/>
    <mergeCell ref="A188:B188"/>
    <mergeCell ref="A189:B189"/>
    <mergeCell ref="A175:B175"/>
    <mergeCell ref="A176:B176"/>
    <mergeCell ref="A177:B177"/>
    <mergeCell ref="A178:B178"/>
    <mergeCell ref="A179:B179"/>
    <mergeCell ref="A180:B180"/>
    <mergeCell ref="A194:B195"/>
    <mergeCell ref="A196:B196"/>
    <mergeCell ref="A225:B225"/>
    <mergeCell ref="A223:B223"/>
    <mergeCell ref="A224:B224"/>
    <mergeCell ref="A202:B202"/>
    <mergeCell ref="A214:B214"/>
    <mergeCell ref="A209:B209"/>
    <mergeCell ref="A210:B210"/>
    <mergeCell ref="A211:B211"/>
    <mergeCell ref="A200:B200"/>
    <mergeCell ref="A197:B197"/>
    <mergeCell ref="A201:B201"/>
    <mergeCell ref="A220:B220"/>
    <mergeCell ref="A221:B221"/>
    <mergeCell ref="A222:B222"/>
    <mergeCell ref="A198:B198"/>
    <mergeCell ref="A199:B199"/>
    <mergeCell ref="A208:B208"/>
    <mergeCell ref="A206:B207"/>
    <mergeCell ref="A217:B218"/>
    <mergeCell ref="A219:B219"/>
    <mergeCell ref="A212:B212"/>
    <mergeCell ref="A213:B213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77"/>
  <sheetViews>
    <sheetView zoomScale="70" zoomScaleNormal="70" workbookViewId="0">
      <pane ySplit="9" topLeftCell="A10" activePane="bottomLeft" state="frozen"/>
      <selection pane="bottomLeft" activeCell="U46" sqref="U46"/>
    </sheetView>
  </sheetViews>
  <sheetFormatPr defaultRowHeight="15"/>
  <cols>
    <col min="1" max="1" width="23.140625" customWidth="1"/>
    <col min="2" max="2" width="40.85546875" customWidth="1"/>
  </cols>
  <sheetData>
    <row r="1" spans="1:22">
      <c r="A1" s="726"/>
      <c r="B1" s="726"/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54"/>
      <c r="P1" s="754"/>
      <c r="Q1" s="754"/>
      <c r="R1" s="754"/>
      <c r="S1" s="764"/>
    </row>
    <row r="2" spans="1:22" ht="15" customHeight="1">
      <c r="A2" s="726"/>
      <c r="B2" s="726"/>
      <c r="C2" s="3595" t="s">
        <v>264</v>
      </c>
      <c r="D2" s="3595"/>
      <c r="E2" s="3595"/>
      <c r="F2" s="3595"/>
      <c r="G2" s="3595"/>
      <c r="H2" s="3595"/>
      <c r="I2" s="3595"/>
      <c r="J2" s="3595"/>
      <c r="K2" s="3595"/>
      <c r="L2" s="3595"/>
      <c r="M2" s="920"/>
      <c r="N2" s="920"/>
      <c r="O2" s="920"/>
      <c r="P2" s="920"/>
      <c r="Q2" s="754"/>
      <c r="R2" s="754"/>
      <c r="S2" s="764"/>
    </row>
    <row r="3" spans="1:22" ht="15" customHeight="1">
      <c r="A3" s="726"/>
      <c r="B3" s="726"/>
      <c r="C3" s="3595"/>
      <c r="D3" s="3595"/>
      <c r="E3" s="3595"/>
      <c r="F3" s="3595"/>
      <c r="G3" s="3595"/>
      <c r="H3" s="3595"/>
      <c r="I3" s="3595"/>
      <c r="J3" s="3595"/>
      <c r="K3" s="3595"/>
      <c r="L3" s="3595"/>
      <c r="M3" s="920"/>
      <c r="N3" s="920"/>
      <c r="O3" s="920"/>
      <c r="P3" s="920"/>
      <c r="Q3" s="754"/>
      <c r="R3" s="754"/>
      <c r="S3" s="764"/>
    </row>
    <row r="4" spans="1:22" ht="15.75" thickBot="1">
      <c r="A4" s="726"/>
      <c r="B4" s="726"/>
      <c r="C4" s="726"/>
      <c r="D4" s="726"/>
      <c r="E4" s="726"/>
      <c r="F4" s="726"/>
      <c r="G4" s="726"/>
      <c r="H4" s="726"/>
      <c r="I4" s="726"/>
      <c r="J4" s="726"/>
      <c r="K4" s="726"/>
      <c r="L4" s="726"/>
      <c r="M4" s="726"/>
      <c r="N4" s="726"/>
      <c r="O4" s="754"/>
      <c r="P4" s="754"/>
      <c r="Q4" s="754"/>
      <c r="R4" s="754"/>
      <c r="S4" s="764"/>
    </row>
    <row r="5" spans="1:22" ht="15.75" thickBot="1">
      <c r="A5" s="750"/>
      <c r="B5" s="750"/>
      <c r="C5" s="726"/>
      <c r="D5" s="3538" t="s">
        <v>256</v>
      </c>
      <c r="E5" s="3539"/>
      <c r="F5" s="3539"/>
      <c r="G5" s="3539"/>
      <c r="H5" s="3539"/>
      <c r="I5" s="3539"/>
      <c r="J5" s="3539"/>
      <c r="K5" s="3540"/>
      <c r="L5" s="726"/>
      <c r="M5" s="726"/>
      <c r="O5" s="750"/>
      <c r="P5" s="726"/>
      <c r="Q5" s="726"/>
      <c r="R5" s="726"/>
      <c r="S5" s="764"/>
    </row>
    <row r="6" spans="1:22">
      <c r="A6" s="751"/>
      <c r="B6" s="751"/>
      <c r="C6" s="752"/>
      <c r="D6" s="752"/>
      <c r="E6" s="751"/>
      <c r="F6" s="751"/>
      <c r="G6" s="726"/>
      <c r="H6" s="726"/>
      <c r="I6" s="726"/>
      <c r="J6" s="726"/>
      <c r="K6" s="726"/>
      <c r="L6" s="726"/>
      <c r="M6" s="726"/>
      <c r="N6" s="726"/>
      <c r="O6" s="726"/>
      <c r="P6" s="726"/>
      <c r="Q6" s="726"/>
      <c r="R6" s="726"/>
      <c r="S6" s="764"/>
    </row>
    <row r="7" spans="1:22" ht="15.75" thickBot="1">
      <c r="A7" s="116"/>
      <c r="B7" s="116"/>
      <c r="C7" s="237"/>
      <c r="D7" s="237"/>
      <c r="E7" s="237"/>
      <c r="F7" s="237"/>
      <c r="G7" s="237"/>
      <c r="H7" s="193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767"/>
    </row>
    <row r="8" spans="1:22" ht="15.75" thickBot="1">
      <c r="A8" s="3739" t="s">
        <v>0</v>
      </c>
      <c r="B8" s="3785"/>
      <c r="C8" s="3550">
        <v>2011</v>
      </c>
      <c r="D8" s="3551"/>
      <c r="E8" s="3551"/>
      <c r="F8" s="3552"/>
      <c r="G8" s="3547">
        <v>2012</v>
      </c>
      <c r="H8" s="3548"/>
      <c r="I8" s="3548"/>
      <c r="J8" s="3549"/>
      <c r="K8" s="3752">
        <v>2013</v>
      </c>
      <c r="L8" s="3517"/>
      <c r="M8" s="3517"/>
      <c r="N8" s="3518"/>
      <c r="O8" s="3516">
        <v>2014</v>
      </c>
      <c r="P8" s="3517"/>
      <c r="Q8" s="3517"/>
      <c r="R8" s="3518"/>
      <c r="S8" s="3516">
        <v>2015</v>
      </c>
      <c r="T8" s="3517"/>
      <c r="U8" s="3517"/>
      <c r="V8" s="3518"/>
    </row>
    <row r="9" spans="1:22" ht="15.75" thickBot="1">
      <c r="A9" s="3741"/>
      <c r="B9" s="3786"/>
      <c r="C9" s="720" t="s">
        <v>2</v>
      </c>
      <c r="D9" s="721" t="s">
        <v>3</v>
      </c>
      <c r="E9" s="725" t="s">
        <v>4</v>
      </c>
      <c r="F9" s="722" t="s">
        <v>5</v>
      </c>
      <c r="G9" s="723" t="s">
        <v>2</v>
      </c>
      <c r="H9" s="721" t="s">
        <v>3</v>
      </c>
      <c r="I9" s="725" t="s">
        <v>4</v>
      </c>
      <c r="J9" s="724" t="s">
        <v>5</v>
      </c>
      <c r="K9" s="723" t="s">
        <v>2</v>
      </c>
      <c r="L9" s="721" t="s">
        <v>3</v>
      </c>
      <c r="M9" s="725" t="s">
        <v>4</v>
      </c>
      <c r="N9" s="724" t="s">
        <v>5</v>
      </c>
      <c r="O9" s="723" t="s">
        <v>2</v>
      </c>
      <c r="P9" s="721" t="s">
        <v>3</v>
      </c>
      <c r="Q9" s="725" t="s">
        <v>4</v>
      </c>
      <c r="R9" s="724" t="s">
        <v>5</v>
      </c>
      <c r="S9" s="3003" t="s">
        <v>2</v>
      </c>
      <c r="T9" s="3004" t="s">
        <v>3</v>
      </c>
      <c r="U9" s="3005" t="s">
        <v>4</v>
      </c>
      <c r="V9" s="724" t="s">
        <v>5</v>
      </c>
    </row>
    <row r="10" spans="1:22">
      <c r="A10" s="107"/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767"/>
    </row>
    <row r="11" spans="1:22">
      <c r="A11" s="107"/>
      <c r="B11" s="107"/>
      <c r="C11" s="107"/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767"/>
    </row>
    <row r="12" spans="1:22">
      <c r="A12" s="3791" t="s">
        <v>205</v>
      </c>
      <c r="B12" s="3791"/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767"/>
    </row>
    <row r="13" spans="1:22">
      <c r="A13" s="3791"/>
      <c r="B13" s="3791"/>
      <c r="C13" s="107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767"/>
    </row>
    <row r="14" spans="1:22">
      <c r="A14" s="3789" t="s">
        <v>201</v>
      </c>
      <c r="B14" s="3789"/>
      <c r="C14" s="537">
        <f>DO!E67</f>
        <v>0.41176470588235292</v>
      </c>
      <c r="D14" s="537">
        <f>DO!F67</f>
        <v>0.17647058823529413</v>
      </c>
      <c r="E14" s="537">
        <f>DO!G67</f>
        <v>0.38235294117647056</v>
      </c>
      <c r="F14" s="537">
        <f>DO!H67</f>
        <v>0.41176470588235292</v>
      </c>
      <c r="G14" s="537">
        <f>DO!I67</f>
        <v>0.41176470588235292</v>
      </c>
      <c r="H14" s="537">
        <f>DO!J67</f>
        <v>0.20588235294117646</v>
      </c>
      <c r="I14" s="537">
        <f>DO!K67</f>
        <v>0.17647058823529413</v>
      </c>
      <c r="J14" s="537">
        <f>DO!L67</f>
        <v>0.14705882352941177</v>
      </c>
      <c r="K14" s="537">
        <f>DO!M67</f>
        <v>0.19354838709677419</v>
      </c>
      <c r="L14" s="537">
        <f>DO!N67</f>
        <v>0.11764705882352941</v>
      </c>
      <c r="M14" s="537">
        <f>DO!O67</f>
        <v>0.11764705882352941</v>
      </c>
      <c r="N14" s="537">
        <f>DO!P67</f>
        <v>0.10344827586206896</v>
      </c>
      <c r="O14" s="537">
        <f>DO!Q67</f>
        <v>3.4482758620689655E-2</v>
      </c>
      <c r="P14" s="537">
        <f>DO!R67</f>
        <v>3.4482758620689655E-2</v>
      </c>
      <c r="Q14" s="537">
        <f>DO!S67</f>
        <v>6.8965517241379309E-2</v>
      </c>
      <c r="R14" s="537">
        <f>DO!T67</f>
        <v>0</v>
      </c>
      <c r="S14" s="537">
        <f>DO!U67</f>
        <v>0</v>
      </c>
      <c r="T14" s="537">
        <f>DO!V67</f>
        <v>0</v>
      </c>
      <c r="U14" s="537">
        <f>DO!W67</f>
        <v>0</v>
      </c>
      <c r="V14" s="537">
        <f>DO!X67</f>
        <v>2.9411764705882353E-2</v>
      </c>
    </row>
    <row r="15" spans="1:22">
      <c r="A15" s="3789" t="s">
        <v>203</v>
      </c>
      <c r="B15" s="3789"/>
      <c r="C15" s="537">
        <f>BOD!D65</f>
        <v>0.47058823529411764</v>
      </c>
      <c r="D15" s="537">
        <f>BOD!E65</f>
        <v>0.5757575757575758</v>
      </c>
      <c r="E15" s="537">
        <f>BOD!F65</f>
        <v>0.79411764705882348</v>
      </c>
      <c r="F15" s="537">
        <f>BOD!G65</f>
        <v>0.67647058823529416</v>
      </c>
      <c r="G15" s="537">
        <f>BOD!H65</f>
        <v>0.52941176470588236</v>
      </c>
      <c r="H15" s="537">
        <f>BOD!I65</f>
        <v>0.47058823529411764</v>
      </c>
      <c r="I15" s="537">
        <f>BOD!J65</f>
        <v>0.70588235294117652</v>
      </c>
      <c r="J15" s="537">
        <f>BOD!K65</f>
        <v>0.52941176470588236</v>
      </c>
      <c r="K15" s="537">
        <f>BOD!L65</f>
        <v>0.38709677419354838</v>
      </c>
      <c r="L15" s="537">
        <f>BOD!M65</f>
        <v>0.47058823529411764</v>
      </c>
      <c r="M15" s="537">
        <f>BOD!N65</f>
        <v>0.70588235294117652</v>
      </c>
      <c r="N15" s="537">
        <f>BOD!O65</f>
        <v>0.58620689655172409</v>
      </c>
      <c r="O15" s="537">
        <f>BOD!P65</f>
        <v>0.34615384615384615</v>
      </c>
      <c r="P15" s="537">
        <f>BOD!Q65</f>
        <v>0.34482758620689657</v>
      </c>
      <c r="Q15" s="537">
        <f>BOD!R65</f>
        <v>0.34482758620689657</v>
      </c>
      <c r="R15" s="537">
        <f>BOD!S65</f>
        <v>0.44117647058823528</v>
      </c>
      <c r="S15" s="537">
        <f>BOD!T65</f>
        <v>0</v>
      </c>
      <c r="T15" s="537">
        <f>BOD!U65</f>
        <v>0</v>
      </c>
      <c r="U15" s="537">
        <f>BOD!V65</f>
        <v>0</v>
      </c>
      <c r="V15" s="537">
        <f>BOD!W65</f>
        <v>0.41176470588235292</v>
      </c>
    </row>
    <row r="16" spans="1:22">
      <c r="A16" s="3789" t="s">
        <v>204</v>
      </c>
      <c r="B16" s="3789"/>
      <c r="C16" s="537">
        <f>TSS!D65</f>
        <v>0.90322580645161288</v>
      </c>
      <c r="D16" s="537">
        <f>TSS!E65</f>
        <v>0.77419354838709675</v>
      </c>
      <c r="E16" s="537">
        <f>TSS!F65</f>
        <v>0.61764705882352944</v>
      </c>
      <c r="F16" s="537">
        <f>TSS!G65</f>
        <v>0.73529411764705888</v>
      </c>
      <c r="G16" s="537">
        <f>TSS!H65</f>
        <v>0.94117647058823528</v>
      </c>
      <c r="H16" s="537">
        <f>TSS!I65</f>
        <v>0.82352941176470584</v>
      </c>
      <c r="I16" s="537">
        <f>TSS!J65</f>
        <v>0.61764705882352944</v>
      </c>
      <c r="J16" s="537">
        <f>TSS!K65</f>
        <v>0.97058823529411764</v>
      </c>
      <c r="K16" s="537">
        <f>TSS!L65</f>
        <v>0.54838709677419351</v>
      </c>
      <c r="L16" s="537">
        <f>TSS!M65</f>
        <v>0.73529411764705888</v>
      </c>
      <c r="M16" s="537">
        <f>TSS!N65</f>
        <v>0.70588235294117652</v>
      </c>
      <c r="N16" s="537">
        <f>TSS!O65</f>
        <v>0.86206896551724133</v>
      </c>
      <c r="O16" s="537">
        <f>TSS!P65</f>
        <v>1</v>
      </c>
      <c r="P16" s="537">
        <f>TSS!Q65</f>
        <v>0.86206896551724133</v>
      </c>
      <c r="Q16" s="537">
        <f>TSS!R65</f>
        <v>1</v>
      </c>
      <c r="R16" s="537">
        <f>TSS!S65</f>
        <v>1</v>
      </c>
      <c r="S16" s="537">
        <f>TSS!T65</f>
        <v>1</v>
      </c>
      <c r="T16" s="537">
        <f>TSS!U65</f>
        <v>0.92307692307692313</v>
      </c>
      <c r="U16" s="537">
        <f>TSS!V65</f>
        <v>1</v>
      </c>
      <c r="V16" s="537">
        <f>TSS!W65</f>
        <v>0.8529411764705882</v>
      </c>
    </row>
    <row r="17" spans="1:22">
      <c r="A17" s="3789" t="s">
        <v>199</v>
      </c>
      <c r="B17" s="3789"/>
      <c r="C17" s="537">
        <f>pH!D64</f>
        <v>0.38709677419354838</v>
      </c>
      <c r="D17" s="537">
        <f>pH!E64</f>
        <v>1</v>
      </c>
      <c r="E17" s="537">
        <f>pH!F64</f>
        <v>1</v>
      </c>
      <c r="F17" s="537">
        <f>pH!G64</f>
        <v>0.97058823529411764</v>
      </c>
      <c r="G17" s="537">
        <f>pH!H64</f>
        <v>0.70588235294117652</v>
      </c>
      <c r="H17" s="537">
        <f>pH!I64</f>
        <v>0.91176470588235292</v>
      </c>
      <c r="I17" s="537">
        <f>pH!J64</f>
        <v>1</v>
      </c>
      <c r="J17" s="537">
        <f>pH!K64</f>
        <v>0.88235294117647056</v>
      </c>
      <c r="K17" s="537">
        <f>pH!L64</f>
        <v>0.74193548387096775</v>
      </c>
      <c r="L17" s="537">
        <f>pH!M64</f>
        <v>0.84848484848484851</v>
      </c>
      <c r="M17" s="537">
        <f>pH!N64</f>
        <v>0.91176470588235292</v>
      </c>
      <c r="N17" s="537">
        <f>pH!O64</f>
        <v>0.82758620689655171</v>
      </c>
      <c r="O17" s="537">
        <f>pH!P64</f>
        <v>0.82758620689655171</v>
      </c>
      <c r="P17" s="537">
        <f>pH!Q64</f>
        <v>0.96551724137931039</v>
      </c>
      <c r="Q17" s="537">
        <f>pH!R64</f>
        <v>1</v>
      </c>
      <c r="R17" s="537">
        <f>pH!S64</f>
        <v>0.94117647058823528</v>
      </c>
      <c r="S17" s="537">
        <f>pH!T64</f>
        <v>1</v>
      </c>
      <c r="T17" s="537">
        <f>pH!U64</f>
        <v>1</v>
      </c>
      <c r="U17" s="537">
        <f>pH!V64</f>
        <v>1</v>
      </c>
      <c r="V17" s="537">
        <f>pH!W64</f>
        <v>1</v>
      </c>
    </row>
    <row r="18" spans="1:22">
      <c r="A18" s="3789" t="s">
        <v>170</v>
      </c>
      <c r="B18" s="3789"/>
      <c r="C18" s="1098" t="s">
        <v>82</v>
      </c>
      <c r="D18" s="1098" t="s">
        <v>82</v>
      </c>
      <c r="E18" s="1098" t="s">
        <v>82</v>
      </c>
      <c r="F18" s="1098" t="s">
        <v>82</v>
      </c>
      <c r="G18" s="1098" t="s">
        <v>82</v>
      </c>
      <c r="H18" s="537">
        <f>Nitrate!I63</f>
        <v>1</v>
      </c>
      <c r="I18" s="537">
        <f>Nitrate!J63</f>
        <v>1</v>
      </c>
      <c r="J18" s="537">
        <f>Nitrate!K63</f>
        <v>0.97058823529411764</v>
      </c>
      <c r="K18" s="537">
        <f>Nitrate!L63</f>
        <v>1</v>
      </c>
      <c r="L18" s="1098" t="s">
        <v>82</v>
      </c>
      <c r="M18" s="537">
        <f>Nitrate!N63</f>
        <v>1</v>
      </c>
      <c r="N18" s="537" t="e">
        <f>Nitrate!O63</f>
        <v>#DIV/0!</v>
      </c>
      <c r="O18" s="537">
        <f>Nitrate!P63</f>
        <v>1</v>
      </c>
      <c r="P18" s="537">
        <f>Nitrate!Q63</f>
        <v>1</v>
      </c>
      <c r="Q18" s="537">
        <f>Nitrate!R63</f>
        <v>1</v>
      </c>
      <c r="R18" s="537">
        <f>Nitrate!S63</f>
        <v>1</v>
      </c>
      <c r="S18" s="537">
        <f>Nitrate!T63</f>
        <v>1</v>
      </c>
      <c r="T18" s="537">
        <f>Nitrate!U63</f>
        <v>1</v>
      </c>
      <c r="U18" s="537">
        <f>Nitrate!V63</f>
        <v>1</v>
      </c>
      <c r="V18" s="537">
        <f>Nitrate!W63</f>
        <v>1</v>
      </c>
    </row>
    <row r="19" spans="1:22">
      <c r="A19" s="3790" t="s">
        <v>169</v>
      </c>
      <c r="B19" s="3790"/>
      <c r="C19" s="1098" t="s">
        <v>82</v>
      </c>
      <c r="D19" s="1098" t="s">
        <v>82</v>
      </c>
      <c r="E19" s="1098" t="s">
        <v>82</v>
      </c>
      <c r="F19" s="1098" t="s">
        <v>82</v>
      </c>
      <c r="G19" s="1098" t="s">
        <v>82</v>
      </c>
      <c r="H19" s="538">
        <f>Phosphate!I66</f>
        <v>0.35294117647058826</v>
      </c>
      <c r="I19" s="538">
        <f>Phosphate!J66</f>
        <v>0.35294117647058826</v>
      </c>
      <c r="J19" s="538">
        <f>Phosphate!K66</f>
        <v>0.35294117647058826</v>
      </c>
      <c r="K19" s="538">
        <f>Phosphate!L66</f>
        <v>0.38709677419354838</v>
      </c>
      <c r="L19" s="538" t="e">
        <f>Phosphate!M66</f>
        <v>#DIV/0!</v>
      </c>
      <c r="M19" s="538">
        <f>Phosphate!N66</f>
        <v>0.41935483870967744</v>
      </c>
      <c r="N19" s="538" t="e">
        <f>Phosphate!O66</f>
        <v>#DIV/0!</v>
      </c>
      <c r="O19" s="538">
        <f>Phosphate!P66</f>
        <v>0.27586206896551724</v>
      </c>
      <c r="P19" s="538">
        <f>Phosphate!Q66</f>
        <v>0.13793103448275862</v>
      </c>
      <c r="Q19" s="538">
        <f>Phosphate!R66</f>
        <v>0.2413793103448276</v>
      </c>
      <c r="R19" s="538">
        <f>Phosphate!S66</f>
        <v>0.23529411764705882</v>
      </c>
      <c r="S19" s="538">
        <f>Phosphate!T66</f>
        <v>0</v>
      </c>
      <c r="T19" s="538">
        <f>Phosphate!U66</f>
        <v>0</v>
      </c>
      <c r="U19" s="538">
        <f>Phosphate!V66</f>
        <v>0</v>
      </c>
      <c r="V19" s="538">
        <f>Phosphate!W66</f>
        <v>0.35294117647058826</v>
      </c>
    </row>
    <row r="20" spans="1:22">
      <c r="A20" s="3789" t="s">
        <v>198</v>
      </c>
      <c r="B20" s="3789"/>
      <c r="C20" s="1098" t="s">
        <v>82</v>
      </c>
      <c r="D20" s="1098" t="s">
        <v>82</v>
      </c>
      <c r="E20" s="1098" t="s">
        <v>82</v>
      </c>
      <c r="F20" s="1098" t="s">
        <v>82</v>
      </c>
      <c r="G20" s="1098" t="s">
        <v>82</v>
      </c>
      <c r="H20" s="1098" t="s">
        <v>82</v>
      </c>
      <c r="I20" s="1098" t="s">
        <v>82</v>
      </c>
      <c r="J20" s="1098" t="s">
        <v>82</v>
      </c>
      <c r="K20" s="1098" t="s">
        <v>82</v>
      </c>
      <c r="L20" s="1098" t="s">
        <v>82</v>
      </c>
      <c r="M20" s="1098" t="s">
        <v>82</v>
      </c>
      <c r="N20" s="1098" t="s">
        <v>82</v>
      </c>
      <c r="O20" s="1098" t="s">
        <v>82</v>
      </c>
      <c r="P20" s="1098" t="s">
        <v>82</v>
      </c>
      <c r="Q20" s="1098" t="s">
        <v>82</v>
      </c>
      <c r="R20" s="1098" t="s">
        <v>82</v>
      </c>
      <c r="S20" s="1098" t="s">
        <v>82</v>
      </c>
      <c r="T20" s="1098" t="s">
        <v>82</v>
      </c>
      <c r="U20" s="1098" t="s">
        <v>82</v>
      </c>
      <c r="V20" s="1098" t="s">
        <v>82</v>
      </c>
    </row>
    <row r="21" spans="1:22">
      <c r="A21" s="107"/>
      <c r="B21" s="107"/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767"/>
    </row>
    <row r="22" spans="1:22">
      <c r="A22" s="107"/>
      <c r="B22" s="107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767"/>
    </row>
    <row r="23" spans="1:22">
      <c r="A23" s="3791" t="s">
        <v>126</v>
      </c>
      <c r="B23" s="3791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767"/>
    </row>
    <row r="24" spans="1:22">
      <c r="A24" s="3791"/>
      <c r="B24" s="3791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767"/>
    </row>
    <row r="25" spans="1:22">
      <c r="A25" s="3789" t="s">
        <v>201</v>
      </c>
      <c r="B25" s="3789"/>
      <c r="C25" s="537">
        <f>DO!E99</f>
        <v>0.04</v>
      </c>
      <c r="D25" s="537">
        <f>DO!F99</f>
        <v>3.8461538461538464E-2</v>
      </c>
      <c r="E25" s="537">
        <f>DO!G99</f>
        <v>0.19230769230769232</v>
      </c>
      <c r="F25" s="537">
        <f>DO!H99</f>
        <v>0.38461538461538464</v>
      </c>
      <c r="G25" s="537">
        <f>DO!I99</f>
        <v>0.46153846153846156</v>
      </c>
      <c r="H25" s="537">
        <f>DO!J99</f>
        <v>7.6923076923076927E-2</v>
      </c>
      <c r="I25" s="537">
        <f>DO!K99</f>
        <v>0</v>
      </c>
      <c r="J25" s="537">
        <f>DO!L99</f>
        <v>0</v>
      </c>
      <c r="K25" s="537">
        <f>DO!M99</f>
        <v>0</v>
      </c>
      <c r="L25" s="537">
        <f>DO!N99</f>
        <v>0</v>
      </c>
      <c r="M25" s="537">
        <f>DO!O99</f>
        <v>0</v>
      </c>
      <c r="N25" s="537" t="e">
        <f>DO!P99</f>
        <v>#DIV/0!</v>
      </c>
      <c r="O25" s="537">
        <f>DO!Q99</f>
        <v>0</v>
      </c>
      <c r="P25" s="537">
        <f>DO!R99</f>
        <v>0</v>
      </c>
      <c r="Q25" s="537">
        <f>DO!S99</f>
        <v>0</v>
      </c>
      <c r="R25" s="537">
        <f>DO!T99</f>
        <v>0</v>
      </c>
      <c r="S25" s="537">
        <f>DO!U99</f>
        <v>0</v>
      </c>
      <c r="T25" s="537">
        <f>DO!V99</f>
        <v>0</v>
      </c>
      <c r="U25" s="537">
        <f>DO!W99</f>
        <v>0</v>
      </c>
      <c r="V25" s="537">
        <f>DO!X99</f>
        <v>0</v>
      </c>
    </row>
    <row r="26" spans="1:22">
      <c r="A26" s="3789" t="s">
        <v>203</v>
      </c>
      <c r="B26" s="3789"/>
      <c r="C26" s="537">
        <f>BOD!D97</f>
        <v>0</v>
      </c>
      <c r="D26" s="537">
        <f>BOD!E97</f>
        <v>0.11538461538461539</v>
      </c>
      <c r="E26" s="537">
        <f>BOD!F97</f>
        <v>0</v>
      </c>
      <c r="F26" s="537">
        <f>BOD!G97</f>
        <v>0.19230769230769232</v>
      </c>
      <c r="G26" s="537">
        <f>BOD!H97</f>
        <v>0</v>
      </c>
      <c r="H26" s="537">
        <f>BOD!I97</f>
        <v>0</v>
      </c>
      <c r="I26" s="537">
        <f>BOD!J97</f>
        <v>0</v>
      </c>
      <c r="J26" s="537">
        <f>BOD!K97</f>
        <v>0</v>
      </c>
      <c r="K26" s="537">
        <f>BOD!L97</f>
        <v>0</v>
      </c>
      <c r="L26" s="537">
        <f>BOD!M97</f>
        <v>0</v>
      </c>
      <c r="M26" s="537">
        <f>BOD!N97</f>
        <v>0</v>
      </c>
      <c r="N26" s="537" t="e">
        <f>BOD!O97</f>
        <v>#DIV/0!</v>
      </c>
      <c r="O26" s="537">
        <f>BOD!P97</f>
        <v>0</v>
      </c>
      <c r="P26" s="537">
        <f>BOD!Q97</f>
        <v>0</v>
      </c>
      <c r="Q26" s="537">
        <f>BOD!R97</f>
        <v>0</v>
      </c>
      <c r="R26" s="537">
        <f>BOD!S97</f>
        <v>0</v>
      </c>
      <c r="S26" s="537">
        <f>BOD!T97</f>
        <v>0</v>
      </c>
      <c r="T26" s="537">
        <f>BOD!U97</f>
        <v>0</v>
      </c>
      <c r="U26" s="537">
        <f>BOD!V97</f>
        <v>0</v>
      </c>
      <c r="V26" s="537">
        <f>BOD!W97</f>
        <v>0</v>
      </c>
    </row>
    <row r="27" spans="1:22">
      <c r="A27" s="3789" t="s">
        <v>204</v>
      </c>
      <c r="B27" s="3789"/>
      <c r="C27" s="537">
        <f>TSS!D97</f>
        <v>1</v>
      </c>
      <c r="D27" s="537">
        <f>TSS!E97</f>
        <v>1</v>
      </c>
      <c r="E27" s="537">
        <f>TSS!F97</f>
        <v>1</v>
      </c>
      <c r="F27" s="537">
        <f>TSS!G97</f>
        <v>1</v>
      </c>
      <c r="G27" s="537">
        <f>TSS!H97</f>
        <v>1</v>
      </c>
      <c r="H27" s="537">
        <f>TSS!I97</f>
        <v>0.84615384615384615</v>
      </c>
      <c r="I27" s="537">
        <f>TSS!J97</f>
        <v>1</v>
      </c>
      <c r="J27" s="537">
        <f>TSS!K97</f>
        <v>1</v>
      </c>
      <c r="K27" s="537">
        <f>TSS!L97</f>
        <v>0.92</v>
      </c>
      <c r="L27" s="537">
        <f>TSS!M97</f>
        <v>0.88461538461538458</v>
      </c>
      <c r="M27" s="537">
        <f>TSS!N97</f>
        <v>0.88461538461538458</v>
      </c>
      <c r="N27" s="537" t="e">
        <f>TSS!O97</f>
        <v>#DIV/0!</v>
      </c>
      <c r="O27" s="537">
        <f>TSS!P97</f>
        <v>0.53846153846153844</v>
      </c>
      <c r="P27" s="537">
        <f>TSS!Q97</f>
        <v>0.76</v>
      </c>
      <c r="Q27" s="537">
        <f>TSS!R97</f>
        <v>0.88461538461538458</v>
      </c>
      <c r="R27" s="537">
        <f>TSS!S97</f>
        <v>0.65384615384615385</v>
      </c>
      <c r="S27" s="537">
        <f>TSS!T97</f>
        <v>0.69230769230769229</v>
      </c>
      <c r="T27" s="537">
        <f>TSS!U97</f>
        <v>0.72</v>
      </c>
      <c r="U27" s="537">
        <f>TSS!V97</f>
        <v>0.69230769230769229</v>
      </c>
      <c r="V27" s="537">
        <f>TSS!W97</f>
        <v>0.53846153846153844</v>
      </c>
    </row>
    <row r="28" spans="1:22">
      <c r="A28" s="3789" t="s">
        <v>199</v>
      </c>
      <c r="B28" s="3789"/>
      <c r="C28" s="537">
        <f>pH!D96</f>
        <v>0.84</v>
      </c>
      <c r="D28" s="537">
        <f>pH!E96</f>
        <v>1</v>
      </c>
      <c r="E28" s="537">
        <f>pH!F96</f>
        <v>1</v>
      </c>
      <c r="F28" s="537">
        <f>pH!G96</f>
        <v>1</v>
      </c>
      <c r="G28" s="537">
        <f>pH!H96</f>
        <v>0.69230769230769229</v>
      </c>
      <c r="H28" s="537">
        <f>pH!I96</f>
        <v>0.92307692307692313</v>
      </c>
      <c r="I28" s="537">
        <f>pH!J96</f>
        <v>0.84615384615384615</v>
      </c>
      <c r="J28" s="537">
        <f>pH!K96</f>
        <v>0.61538461538461542</v>
      </c>
      <c r="K28" s="537">
        <f>pH!L96</f>
        <v>0</v>
      </c>
      <c r="L28" s="537">
        <f>pH!M96</f>
        <v>0.8571428571428571</v>
      </c>
      <c r="M28" s="537">
        <f>pH!N96</f>
        <v>0.61538461538461542</v>
      </c>
      <c r="N28" s="537" t="e">
        <f>pH!O96</f>
        <v>#DIV/0!</v>
      </c>
      <c r="O28" s="537">
        <f>pH!P96</f>
        <v>1</v>
      </c>
      <c r="P28" s="537">
        <f>pH!Q96</f>
        <v>1</v>
      </c>
      <c r="Q28" s="537">
        <f>pH!R96</f>
        <v>0.76923076923076927</v>
      </c>
      <c r="R28" s="537">
        <f>pH!S96</f>
        <v>0.92307692307692313</v>
      </c>
      <c r="S28" s="537">
        <f>pH!T96</f>
        <v>1</v>
      </c>
      <c r="T28" s="537">
        <f>pH!U96</f>
        <v>1</v>
      </c>
      <c r="U28" s="537">
        <f>pH!V96</f>
        <v>1</v>
      </c>
      <c r="V28" s="537">
        <f>pH!W96</f>
        <v>1</v>
      </c>
    </row>
    <row r="29" spans="1:22">
      <c r="A29" s="3789" t="s">
        <v>170</v>
      </c>
      <c r="B29" s="3789"/>
      <c r="C29" s="537">
        <f>Nitrate!D95</f>
        <v>0.84615384615384615</v>
      </c>
      <c r="D29" s="537">
        <f>Nitrate!E95</f>
        <v>0.88461538461538458</v>
      </c>
      <c r="E29" s="537">
        <f>Nitrate!F95</f>
        <v>0.92307692307692313</v>
      </c>
      <c r="F29" s="537">
        <f>Nitrate!G95</f>
        <v>0.92307692307692313</v>
      </c>
      <c r="G29" s="537">
        <f>Nitrate!H95</f>
        <v>1</v>
      </c>
      <c r="H29" s="537">
        <f>Nitrate!I95</f>
        <v>0.96153846153846156</v>
      </c>
      <c r="I29" s="537">
        <f>Nitrate!J95</f>
        <v>0.84615384615384615</v>
      </c>
      <c r="J29" s="537">
        <f>Nitrate!K95</f>
        <v>0.73076923076923073</v>
      </c>
      <c r="K29" s="537">
        <f>Nitrate!L95</f>
        <v>0.56000000000000005</v>
      </c>
      <c r="L29" s="537">
        <f>Nitrate!M95</f>
        <v>0.53846153846153844</v>
      </c>
      <c r="M29" s="537">
        <f>Nitrate!N95</f>
        <v>0.53846153846153844</v>
      </c>
      <c r="N29" s="537" t="e">
        <f>Nitrate!O95</f>
        <v>#DIV/0!</v>
      </c>
      <c r="O29" s="537">
        <f>Nitrate!P95</f>
        <v>0.57692307692307687</v>
      </c>
      <c r="P29" s="537">
        <f>Nitrate!Q95</f>
        <v>0.96</v>
      </c>
      <c r="Q29" s="537">
        <f>Nitrate!R95</f>
        <v>0.92307692307692313</v>
      </c>
      <c r="R29" s="537">
        <f>Nitrate!S95</f>
        <v>0.73076923076923073</v>
      </c>
      <c r="S29" s="537">
        <f>Nitrate!T95</f>
        <v>0.69230769230769229</v>
      </c>
      <c r="T29" s="537">
        <f>Nitrate!U95</f>
        <v>0.72</v>
      </c>
      <c r="U29" s="537">
        <f>Nitrate!V95</f>
        <v>0.73076923076923073</v>
      </c>
      <c r="V29" s="537">
        <f>Nitrate!W95</f>
        <v>0.46153846153846156</v>
      </c>
    </row>
    <row r="30" spans="1:22">
      <c r="A30" s="3790" t="s">
        <v>169</v>
      </c>
      <c r="B30" s="3790"/>
      <c r="C30" s="538">
        <f>Phosphate!D99</f>
        <v>0</v>
      </c>
      <c r="D30" s="538">
        <f>Phosphate!E99</f>
        <v>0</v>
      </c>
      <c r="E30" s="538">
        <f>Phosphate!F99</f>
        <v>0</v>
      </c>
      <c r="F30" s="538">
        <f>Phosphate!G99</f>
        <v>0</v>
      </c>
      <c r="G30" s="538">
        <f>Phosphate!H99</f>
        <v>0</v>
      </c>
      <c r="H30" s="538">
        <f>Phosphate!I99</f>
        <v>0</v>
      </c>
      <c r="I30" s="538">
        <f>Phosphate!J99</f>
        <v>0</v>
      </c>
      <c r="J30" s="538">
        <f>Phosphate!K99</f>
        <v>0</v>
      </c>
      <c r="K30" s="538">
        <f>Phosphate!L99</f>
        <v>0</v>
      </c>
      <c r="L30" s="538">
        <f>Phosphate!M99</f>
        <v>0</v>
      </c>
      <c r="M30" s="538">
        <f>Phosphate!N99</f>
        <v>0</v>
      </c>
      <c r="N30" s="538" t="e">
        <f>Phosphate!O99</f>
        <v>#DIV/0!</v>
      </c>
      <c r="O30" s="538">
        <f>Phosphate!P99</f>
        <v>0</v>
      </c>
      <c r="P30" s="538">
        <f>Phosphate!Q99</f>
        <v>0</v>
      </c>
      <c r="Q30" s="538">
        <f>Phosphate!R99</f>
        <v>0</v>
      </c>
      <c r="R30" s="538">
        <f>Phosphate!S99</f>
        <v>0</v>
      </c>
      <c r="S30" s="538">
        <f>Phosphate!T99</f>
        <v>0</v>
      </c>
      <c r="T30" s="538">
        <f>Phosphate!U99</f>
        <v>0</v>
      </c>
      <c r="U30" s="538">
        <f>Phosphate!V99</f>
        <v>0</v>
      </c>
      <c r="V30" s="538">
        <f>Phosphate!W99</f>
        <v>0</v>
      </c>
    </row>
    <row r="31" spans="1:22">
      <c r="A31" s="3789" t="s">
        <v>198</v>
      </c>
      <c r="B31" s="3789"/>
      <c r="C31" s="537">
        <f>'Oil &amp; Grease'!D43</f>
        <v>0</v>
      </c>
      <c r="D31" s="537">
        <f>'Oil &amp; Grease'!E43</f>
        <v>0.11538461538461539</v>
      </c>
      <c r="E31" s="537">
        <f>'Oil &amp; Grease'!F43</f>
        <v>0.23076923076923078</v>
      </c>
      <c r="F31" s="537">
        <f>'Oil &amp; Grease'!G43</f>
        <v>7.6923076923076927E-2</v>
      </c>
      <c r="G31" s="537">
        <f>'Oil &amp; Grease'!H43</f>
        <v>0</v>
      </c>
      <c r="H31" s="537">
        <f>'Oil &amp; Grease'!I43</f>
        <v>0</v>
      </c>
      <c r="I31" s="537">
        <f>'Oil &amp; Grease'!J43</f>
        <v>0</v>
      </c>
      <c r="J31" s="537">
        <f>'Oil &amp; Grease'!K43</f>
        <v>0</v>
      </c>
      <c r="K31" s="537">
        <f>'Oil &amp; Grease'!L43</f>
        <v>0</v>
      </c>
      <c r="L31" s="537">
        <f>'Oil &amp; Grease'!M43</f>
        <v>0</v>
      </c>
      <c r="M31" s="537">
        <f>'Oil &amp; Grease'!N43</f>
        <v>3.8461538461538464E-2</v>
      </c>
      <c r="N31" s="537" t="e">
        <f>'Oil &amp; Grease'!O43</f>
        <v>#DIV/0!</v>
      </c>
      <c r="O31" s="537">
        <f>'Oil &amp; Grease'!P43</f>
        <v>0</v>
      </c>
      <c r="P31" s="537">
        <f>'Oil &amp; Grease'!Q43</f>
        <v>0</v>
      </c>
      <c r="Q31" s="537" t="e">
        <f>'Oil &amp; Grease'!R43</f>
        <v>#DIV/0!</v>
      </c>
      <c r="R31" s="537">
        <f>'Oil &amp; Grease'!S43</f>
        <v>0</v>
      </c>
      <c r="S31" s="537">
        <f>'Oil &amp; Grease'!T43</f>
        <v>0</v>
      </c>
      <c r="T31" s="537">
        <f>'Oil &amp; Grease'!U43</f>
        <v>0</v>
      </c>
      <c r="U31" s="537">
        <f>'Oil &amp; Grease'!V43</f>
        <v>0</v>
      </c>
      <c r="V31" s="537">
        <f>'Oil &amp; Grease'!W43</f>
        <v>0</v>
      </c>
    </row>
    <row r="32" spans="1:22">
      <c r="A32" s="107"/>
      <c r="B32" s="107"/>
      <c r="C32" s="107"/>
      <c r="D32" s="107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767"/>
    </row>
    <row r="33" spans="1:22">
      <c r="A33" s="107"/>
      <c r="B33" s="107"/>
      <c r="C33" s="107"/>
      <c r="D33" s="107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767"/>
    </row>
    <row r="34" spans="1:22">
      <c r="A34" s="3791" t="s">
        <v>254</v>
      </c>
      <c r="B34" s="3791"/>
      <c r="C34" s="107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767"/>
    </row>
    <row r="35" spans="1:22">
      <c r="A35" s="3791"/>
      <c r="B35" s="3791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767"/>
    </row>
    <row r="36" spans="1:22">
      <c r="A36" s="3789" t="s">
        <v>201</v>
      </c>
      <c r="B36" s="3789"/>
      <c r="C36" s="537">
        <f>DO!E131</f>
        <v>0.5714285714285714</v>
      </c>
      <c r="D36" s="537">
        <f>DO!F131</f>
        <v>0.35714285714285715</v>
      </c>
      <c r="E36" s="537">
        <f>DO!G131</f>
        <v>0.7857142857142857</v>
      </c>
      <c r="F36" s="537">
        <f>DO!H131</f>
        <v>0.8571428571428571</v>
      </c>
      <c r="G36" s="537">
        <f>DO!I131</f>
        <v>0.6428571428571429</v>
      </c>
      <c r="H36" s="537">
        <f>DO!J131</f>
        <v>0.63157894736842102</v>
      </c>
      <c r="I36" s="537">
        <f>DO!K131</f>
        <v>0.84210526315789469</v>
      </c>
      <c r="J36" s="537">
        <f>DO!L131</f>
        <v>0.73684210526315785</v>
      </c>
      <c r="K36" s="537">
        <f>DO!M131</f>
        <v>0.75</v>
      </c>
      <c r="L36" s="537">
        <f>DO!N131</f>
        <v>0.79166666666666663</v>
      </c>
      <c r="M36" s="537">
        <f>DO!O131</f>
        <v>1</v>
      </c>
      <c r="N36" s="537">
        <f>DO!P131</f>
        <v>0.875</v>
      </c>
      <c r="O36" s="537">
        <f>DO!Q131</f>
        <v>0.625</v>
      </c>
      <c r="P36" s="537">
        <f>DO!R131</f>
        <v>0.58333333333333337</v>
      </c>
      <c r="Q36" s="537">
        <f>DO!S131</f>
        <v>0.83333333333333337</v>
      </c>
      <c r="R36" s="537">
        <f>DO!T131</f>
        <v>0.83333333333333337</v>
      </c>
      <c r="S36" s="537">
        <f>DO!U131</f>
        <v>0.70833333333333337</v>
      </c>
      <c r="T36" s="537">
        <f>DO!V131</f>
        <v>0.52173913043478259</v>
      </c>
      <c r="U36" s="537">
        <f>DO!W131</f>
        <v>0.70833333333333337</v>
      </c>
      <c r="V36" s="537" t="e">
        <f>DO!X131</f>
        <v>#DIV/0!</v>
      </c>
    </row>
    <row r="37" spans="1:22">
      <c r="A37" s="3789" t="s">
        <v>203</v>
      </c>
      <c r="B37" s="3789"/>
      <c r="C37" s="537">
        <f>BOD!D127</f>
        <v>0.6428571428571429</v>
      </c>
      <c r="D37" s="537">
        <f>BOD!E127</f>
        <v>0.6428571428571429</v>
      </c>
      <c r="E37" s="537">
        <f>BOD!F127</f>
        <v>0.9285714285714286</v>
      </c>
      <c r="F37" s="537">
        <f>BOD!G127</f>
        <v>0.7142857142857143</v>
      </c>
      <c r="G37" s="537">
        <f>BOD!H127</f>
        <v>0.7857142857142857</v>
      </c>
      <c r="H37" s="537">
        <f>BOD!I127</f>
        <v>0.57894736842105265</v>
      </c>
      <c r="I37" s="537">
        <f>BOD!J127</f>
        <v>0.89473684210526316</v>
      </c>
      <c r="J37" s="537">
        <f>BOD!K127</f>
        <v>0.78947368421052633</v>
      </c>
      <c r="K37" s="537">
        <f>BOD!L127</f>
        <v>0.70833333333333337</v>
      </c>
      <c r="L37" s="537">
        <f>BOD!M127</f>
        <v>0.75</v>
      </c>
      <c r="M37" s="537">
        <f>BOD!N127</f>
        <v>0.95833333333333337</v>
      </c>
      <c r="N37" s="537">
        <f>BOD!O127</f>
        <v>0.91666666666666663</v>
      </c>
      <c r="O37" s="537">
        <f>BOD!P127</f>
        <v>0.58333333333333337</v>
      </c>
      <c r="P37" s="537">
        <f>BOD!Q127</f>
        <v>0.66666666666666663</v>
      </c>
      <c r="Q37" s="537">
        <f>BOD!R127</f>
        <v>0.70833333333333337</v>
      </c>
      <c r="R37" s="537">
        <f>BOD!S127</f>
        <v>0.79166666666666663</v>
      </c>
      <c r="S37" s="537">
        <f>BOD!T127</f>
        <v>0.66666666666666663</v>
      </c>
      <c r="T37" s="537">
        <f>BOD!U127</f>
        <v>0.58333333333333337</v>
      </c>
      <c r="U37" s="537">
        <f>BOD!V127</f>
        <v>0.91304347826086951</v>
      </c>
      <c r="V37" s="537" t="e">
        <f>BOD!W127</f>
        <v>#DIV/0!</v>
      </c>
    </row>
    <row r="38" spans="1:22">
      <c r="A38" s="3789" t="s">
        <v>204</v>
      </c>
      <c r="B38" s="3789"/>
      <c r="C38" s="537">
        <f>TSS!D127</f>
        <v>1</v>
      </c>
      <c r="D38" s="537">
        <f>TSS!E127</f>
        <v>0.9285714285714286</v>
      </c>
      <c r="E38" s="537">
        <f>TSS!F127</f>
        <v>1</v>
      </c>
      <c r="F38" s="537">
        <f>TSS!G127</f>
        <v>0.42857142857142855</v>
      </c>
      <c r="G38" s="537">
        <f>TSS!H127</f>
        <v>1</v>
      </c>
      <c r="H38" s="537">
        <f>TSS!I127</f>
        <v>0.89473684210526316</v>
      </c>
      <c r="I38" s="537">
        <f>TSS!J127</f>
        <v>0.94736842105263153</v>
      </c>
      <c r="J38" s="537">
        <f>TSS!K127</f>
        <v>1</v>
      </c>
      <c r="K38" s="537">
        <f>TSS!L127</f>
        <v>1</v>
      </c>
      <c r="L38" s="537">
        <f>TSS!M127</f>
        <v>1</v>
      </c>
      <c r="M38" s="537">
        <f>TSS!N127</f>
        <v>0.66666666666666663</v>
      </c>
      <c r="N38" s="537">
        <f>TSS!O127</f>
        <v>0.79166666666666663</v>
      </c>
      <c r="O38" s="537">
        <f>TSS!P127</f>
        <v>0.95833333333333337</v>
      </c>
      <c r="P38" s="537">
        <f>TSS!Q127</f>
        <v>0.875</v>
      </c>
      <c r="Q38" s="537">
        <f>TSS!R127</f>
        <v>0.54166666666666663</v>
      </c>
      <c r="R38" s="537">
        <f>TSS!S127</f>
        <v>0.95833333333333337</v>
      </c>
      <c r="S38" s="537">
        <f>TSS!T127</f>
        <v>0.79166666666666663</v>
      </c>
      <c r="T38" s="537" t="e">
        <f>TSS!U127</f>
        <v>#DIV/0!</v>
      </c>
      <c r="U38" s="537">
        <f>TSS!V127</f>
        <v>0.66666666666666663</v>
      </c>
      <c r="V38" s="537" t="e">
        <f>TSS!W127</f>
        <v>#DIV/0!</v>
      </c>
    </row>
    <row r="39" spans="1:22">
      <c r="A39" s="3789" t="s">
        <v>199</v>
      </c>
      <c r="B39" s="3789"/>
      <c r="C39" s="537">
        <f>pH!D125</f>
        <v>1</v>
      </c>
      <c r="D39" s="537">
        <f>pH!E125</f>
        <v>0.9285714285714286</v>
      </c>
      <c r="E39" s="537">
        <f>pH!F125</f>
        <v>1</v>
      </c>
      <c r="F39" s="537">
        <f>pH!G125</f>
        <v>1</v>
      </c>
      <c r="G39" s="537">
        <f>pH!H125</f>
        <v>1</v>
      </c>
      <c r="H39" s="537">
        <f>pH!I125</f>
        <v>1</v>
      </c>
      <c r="I39" s="537">
        <f>pH!J125</f>
        <v>1</v>
      </c>
      <c r="J39" s="537">
        <f>pH!K125</f>
        <v>1</v>
      </c>
      <c r="K39" s="537">
        <f>pH!L125</f>
        <v>0.91666666666666663</v>
      </c>
      <c r="L39" s="537">
        <f>pH!M125</f>
        <v>1</v>
      </c>
      <c r="M39" s="537">
        <f>pH!N125</f>
        <v>1</v>
      </c>
      <c r="N39" s="537">
        <f>pH!O125</f>
        <v>1</v>
      </c>
      <c r="O39" s="537">
        <f>pH!P125</f>
        <v>0.95833333333333337</v>
      </c>
      <c r="P39" s="537">
        <f>pH!Q125</f>
        <v>1</v>
      </c>
      <c r="Q39" s="537">
        <f>pH!R125</f>
        <v>1</v>
      </c>
      <c r="R39" s="537">
        <f>pH!S125</f>
        <v>1</v>
      </c>
      <c r="S39" s="537">
        <f>pH!T125</f>
        <v>0.95833333333333337</v>
      </c>
      <c r="T39" s="537">
        <f>pH!U125</f>
        <v>1</v>
      </c>
      <c r="U39" s="537">
        <f>pH!V125</f>
        <v>1</v>
      </c>
      <c r="V39" s="537" t="e">
        <f>pH!W125</f>
        <v>#DIV/0!</v>
      </c>
    </row>
    <row r="40" spans="1:22">
      <c r="A40" s="3789" t="s">
        <v>170</v>
      </c>
      <c r="B40" s="3789"/>
      <c r="C40" s="537">
        <f>Nitrate!D125</f>
        <v>1</v>
      </c>
      <c r="D40" s="537">
        <f>Nitrate!E125</f>
        <v>1</v>
      </c>
      <c r="E40" s="537">
        <f>Nitrate!F125</f>
        <v>1</v>
      </c>
      <c r="F40" s="537" t="s">
        <v>82</v>
      </c>
      <c r="G40" s="537">
        <f>Nitrate!H125</f>
        <v>1</v>
      </c>
      <c r="H40" s="537">
        <f>Nitrate!I125</f>
        <v>1</v>
      </c>
      <c r="I40" s="537">
        <f>Nitrate!J125</f>
        <v>1</v>
      </c>
      <c r="J40" s="537">
        <f>Nitrate!K125</f>
        <v>1</v>
      </c>
      <c r="K40" s="537">
        <f>Nitrate!L125</f>
        <v>1</v>
      </c>
      <c r="L40" s="537" t="s">
        <v>82</v>
      </c>
      <c r="M40" s="537" t="e">
        <f>Nitrate!N125</f>
        <v>#DIV/0!</v>
      </c>
      <c r="N40" s="537" t="e">
        <f>Nitrate!O125</f>
        <v>#DIV/0!</v>
      </c>
      <c r="O40" s="537">
        <f>Nitrate!P125</f>
        <v>1</v>
      </c>
      <c r="P40" s="537">
        <f>Nitrate!Q125</f>
        <v>1</v>
      </c>
      <c r="Q40" s="537" t="e">
        <f>Nitrate!R125</f>
        <v>#DIV/0!</v>
      </c>
      <c r="R40" s="537" t="e">
        <f>Nitrate!S125</f>
        <v>#DIV/0!</v>
      </c>
      <c r="S40" s="537" t="e">
        <f>Nitrate!T125</f>
        <v>#DIV/0!</v>
      </c>
      <c r="T40" s="537" t="e">
        <f>Nitrate!U125</f>
        <v>#DIV/0!</v>
      </c>
      <c r="U40" s="537">
        <f>Nitrate!V125</f>
        <v>1</v>
      </c>
      <c r="V40" s="537" t="e">
        <f>Nitrate!W125</f>
        <v>#DIV/0!</v>
      </c>
    </row>
    <row r="41" spans="1:22">
      <c r="A41" s="3790" t="s">
        <v>169</v>
      </c>
      <c r="B41" s="3790"/>
      <c r="C41" s="538">
        <f>Phosphate!D130</f>
        <v>0</v>
      </c>
      <c r="D41" s="538">
        <f>Phosphate!E130</f>
        <v>7.1428571428571425E-2</v>
      </c>
      <c r="E41" s="538">
        <f>Phosphate!F130</f>
        <v>0.21428571428571427</v>
      </c>
      <c r="F41" s="538">
        <f>Phosphate!G130</f>
        <v>7.1428571428571425E-2</v>
      </c>
      <c r="G41" s="538">
        <f>Phosphate!H130</f>
        <v>0.14285714285714285</v>
      </c>
      <c r="H41" s="538">
        <f>Phosphate!I130</f>
        <v>0.10526315789473684</v>
      </c>
      <c r="I41" s="538">
        <f>Phosphate!J130</f>
        <v>0.15789473684210525</v>
      </c>
      <c r="J41" s="538">
        <f>Phosphate!K130</f>
        <v>0.15789473684210525</v>
      </c>
      <c r="K41" s="538">
        <f>Phosphate!L130</f>
        <v>8.3333333333333329E-2</v>
      </c>
      <c r="L41" s="538">
        <f>Phosphate!M130</f>
        <v>0.20833333333333334</v>
      </c>
      <c r="M41" s="538">
        <f>Phosphate!N130</f>
        <v>0.16666666666666666</v>
      </c>
      <c r="N41" s="538" t="e">
        <f>Phosphate!O130</f>
        <v>#DIV/0!</v>
      </c>
      <c r="O41" s="538">
        <f>Phosphate!P130</f>
        <v>8.3333333333333329E-2</v>
      </c>
      <c r="P41" s="538">
        <f>Phosphate!Q130</f>
        <v>8.3333333333333329E-2</v>
      </c>
      <c r="Q41" s="538">
        <f>Phosphate!R130</f>
        <v>0.20833333333333334</v>
      </c>
      <c r="R41" s="538">
        <f>Phosphate!S130</f>
        <v>8.3333333333333329E-2</v>
      </c>
      <c r="S41" s="538" t="e">
        <f>Phosphate!T130</f>
        <v>#DIV/0!</v>
      </c>
      <c r="T41" s="538">
        <f>Phosphate!U130</f>
        <v>8.3333333333333329E-2</v>
      </c>
      <c r="U41" s="538">
        <f>Phosphate!V130</f>
        <v>4.1666666666666664E-2</v>
      </c>
      <c r="V41" s="538">
        <f>Phosphate!W130</f>
        <v>0</v>
      </c>
    </row>
    <row r="42" spans="1:22">
      <c r="A42" s="3789" t="s">
        <v>198</v>
      </c>
      <c r="B42" s="3789"/>
      <c r="C42" s="537" t="s">
        <v>82</v>
      </c>
      <c r="D42" s="537" t="s">
        <v>82</v>
      </c>
      <c r="E42" s="537" t="s">
        <v>82</v>
      </c>
      <c r="F42" s="537" t="s">
        <v>82</v>
      </c>
      <c r="G42" s="537" t="s">
        <v>82</v>
      </c>
      <c r="H42" s="537" t="s">
        <v>82</v>
      </c>
      <c r="I42" s="537" t="s">
        <v>82</v>
      </c>
      <c r="J42" s="537" t="s">
        <v>82</v>
      </c>
      <c r="K42" s="537" t="s">
        <v>82</v>
      </c>
      <c r="L42" s="537" t="s">
        <v>82</v>
      </c>
      <c r="M42" s="537" t="s">
        <v>82</v>
      </c>
      <c r="N42" s="537" t="s">
        <v>82</v>
      </c>
      <c r="O42" s="537" t="s">
        <v>82</v>
      </c>
      <c r="P42" s="537" t="s">
        <v>82</v>
      </c>
      <c r="Q42" s="537" t="s">
        <v>82</v>
      </c>
      <c r="R42" s="537" t="s">
        <v>82</v>
      </c>
      <c r="S42" s="537" t="s">
        <v>82</v>
      </c>
      <c r="T42" s="537" t="s">
        <v>82</v>
      </c>
      <c r="U42" s="537" t="s">
        <v>82</v>
      </c>
      <c r="V42" s="537" t="s">
        <v>82</v>
      </c>
    </row>
    <row r="43" spans="1:22">
      <c r="A43" s="107"/>
      <c r="B43" s="107"/>
      <c r="C43" s="107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767"/>
    </row>
    <row r="44" spans="1:22">
      <c r="A44" s="107"/>
      <c r="B44" s="107"/>
      <c r="C44" s="107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767"/>
    </row>
    <row r="76" spans="1:19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767"/>
    </row>
    <row r="77" spans="1:19">
      <c r="A77" s="771"/>
      <c r="B77" s="771"/>
      <c r="C77" s="771"/>
      <c r="D77" s="771"/>
      <c r="E77" s="771"/>
      <c r="F77" s="771"/>
      <c r="G77" s="771"/>
      <c r="H77" s="771"/>
      <c r="I77" s="771"/>
      <c r="J77" s="771"/>
      <c r="K77" s="771"/>
      <c r="L77" s="771"/>
      <c r="M77" s="771"/>
      <c r="N77" s="771"/>
      <c r="O77" s="771"/>
      <c r="P77" s="771"/>
      <c r="Q77" s="771"/>
      <c r="R77" s="771"/>
      <c r="S77" s="334"/>
    </row>
  </sheetData>
  <mergeCells count="32">
    <mergeCell ref="S8:V8"/>
    <mergeCell ref="D5:K5"/>
    <mergeCell ref="C2:L3"/>
    <mergeCell ref="A20:B20"/>
    <mergeCell ref="A31:B31"/>
    <mergeCell ref="O8:R8"/>
    <mergeCell ref="A12:B13"/>
    <mergeCell ref="A14:B14"/>
    <mergeCell ref="A15:B15"/>
    <mergeCell ref="A16:B16"/>
    <mergeCell ref="A17:B17"/>
    <mergeCell ref="A25:B25"/>
    <mergeCell ref="A26:B26"/>
    <mergeCell ref="C8:F8"/>
    <mergeCell ref="G8:J8"/>
    <mergeCell ref="A27:B27"/>
    <mergeCell ref="A42:B42"/>
    <mergeCell ref="A40:B40"/>
    <mergeCell ref="A41:B41"/>
    <mergeCell ref="K8:N8"/>
    <mergeCell ref="A34:B35"/>
    <mergeCell ref="A36:B36"/>
    <mergeCell ref="A37:B37"/>
    <mergeCell ref="A38:B38"/>
    <mergeCell ref="A39:B39"/>
    <mergeCell ref="A28:B28"/>
    <mergeCell ref="A8:B9"/>
    <mergeCell ref="A18:B18"/>
    <mergeCell ref="A19:B19"/>
    <mergeCell ref="A29:B29"/>
    <mergeCell ref="A30:B30"/>
    <mergeCell ref="A23:B24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Y65"/>
  <sheetViews>
    <sheetView zoomScale="59" zoomScaleNormal="59" workbookViewId="0">
      <pane xSplit="5250" topLeftCell="AS1" activePane="topRight"/>
      <selection activeCell="AP25" sqref="AP25"/>
      <selection pane="topRight" activeCell="AV2" sqref="AV2:AY2"/>
    </sheetView>
  </sheetViews>
  <sheetFormatPr defaultRowHeight="15"/>
  <cols>
    <col min="1" max="1" width="35.28515625" style="2503" customWidth="1"/>
    <col min="2" max="2" width="25" style="2503" customWidth="1"/>
    <col min="3" max="3" width="18.7109375" style="11" customWidth="1"/>
    <col min="4" max="5" width="18.42578125" style="11" customWidth="1"/>
    <col min="6" max="7" width="18.7109375" style="11" customWidth="1"/>
    <col min="8" max="8" width="14.85546875" style="1030" customWidth="1"/>
    <col min="9" max="9" width="23.28515625" style="1030" customWidth="1"/>
    <col min="10" max="10" width="11.42578125" style="1030" customWidth="1"/>
    <col min="11" max="11" width="14" style="1030" customWidth="1"/>
    <col min="12" max="12" width="14.140625" style="2609" customWidth="1"/>
    <col min="13" max="13" width="25.28515625" style="2610" customWidth="1"/>
    <col min="14" max="14" width="11.42578125" style="2609" customWidth="1"/>
    <col min="15" max="15" width="14" style="2610" customWidth="1"/>
    <col min="16" max="16" width="14.7109375" style="2503" customWidth="1"/>
    <col min="17" max="17" width="23.28515625" style="2503" customWidth="1"/>
    <col min="18" max="18" width="11.42578125" style="2503" customWidth="1"/>
    <col min="19" max="19" width="14" style="2503" customWidth="1"/>
    <col min="20" max="20" width="12.7109375" style="726" customWidth="1"/>
    <col min="21" max="21" width="26.85546875" style="726" customWidth="1"/>
    <col min="22" max="22" width="11.42578125" style="726" customWidth="1"/>
    <col min="23" max="23" width="14" style="726" customWidth="1"/>
    <col min="24" max="24" width="13" style="2504" customWidth="1"/>
    <col min="25" max="25" width="29.140625" style="2503" customWidth="1"/>
    <col min="26" max="26" width="15.7109375" style="2503" customWidth="1"/>
    <col min="27" max="27" width="17.28515625" style="2503" customWidth="1"/>
    <col min="28" max="28" width="26.85546875" style="2503" bestFit="1" customWidth="1"/>
    <col min="29" max="29" width="26.85546875" style="2503" customWidth="1"/>
    <col min="30" max="30" width="11.42578125" style="2503" customWidth="1"/>
    <col min="31" max="31" width="14" style="2503" customWidth="1"/>
    <col min="32" max="32" width="26.85546875" style="2753" bestFit="1" customWidth="1"/>
    <col min="33" max="33" width="26.85546875" style="2753" customWidth="1"/>
    <col min="34" max="34" width="11.42578125" style="2753" bestFit="1" customWidth="1"/>
    <col min="35" max="35" width="14" style="2753" bestFit="1" customWidth="1"/>
    <col min="36" max="37" width="26.85546875" style="2753" bestFit="1" customWidth="1"/>
    <col min="38" max="38" width="11.42578125" style="2753" bestFit="1" customWidth="1"/>
    <col min="39" max="39" width="14" style="2753" bestFit="1" customWidth="1"/>
    <col min="40" max="41" width="26.85546875" style="2503" bestFit="1" customWidth="1"/>
    <col min="42" max="42" width="11.42578125" style="2503" bestFit="1" customWidth="1"/>
    <col min="43" max="43" width="14" style="2503" bestFit="1" customWidth="1"/>
    <col min="44" max="45" width="26.85546875" style="2503" bestFit="1" customWidth="1"/>
    <col min="46" max="47" width="9.140625" style="2503"/>
    <col min="48" max="49" width="31.140625" style="2503" bestFit="1" customWidth="1"/>
    <col min="50" max="50" width="13" style="2503" bestFit="1" customWidth="1"/>
    <col min="51" max="51" width="15.5703125" style="2503" bestFit="1" customWidth="1"/>
    <col min="52" max="16384" width="9.140625" style="2503"/>
  </cols>
  <sheetData>
    <row r="1" spans="1:51" ht="15.75" thickBot="1"/>
    <row r="2" spans="1:51" ht="15.75" customHeight="1" thickBot="1">
      <c r="A2" s="3819" t="s">
        <v>239</v>
      </c>
      <c r="B2" s="3819" t="s">
        <v>329</v>
      </c>
      <c r="C2" s="3820" t="s">
        <v>346</v>
      </c>
      <c r="D2" s="3801" t="s">
        <v>358</v>
      </c>
      <c r="E2" s="3801"/>
      <c r="F2" s="3801"/>
      <c r="G2" s="3801"/>
      <c r="H2" s="3801" t="s">
        <v>339</v>
      </c>
      <c r="I2" s="3801"/>
      <c r="J2" s="3801"/>
      <c r="K2" s="3801"/>
      <c r="L2" s="3804" t="s">
        <v>340</v>
      </c>
      <c r="M2" s="3804"/>
      <c r="N2" s="3804"/>
      <c r="O2" s="3804"/>
      <c r="P2" s="3819" t="s">
        <v>347</v>
      </c>
      <c r="Q2" s="3819"/>
      <c r="R2" s="3819"/>
      <c r="S2" s="3819"/>
      <c r="T2" s="3801" t="s">
        <v>359</v>
      </c>
      <c r="U2" s="3801"/>
      <c r="V2" s="3801"/>
      <c r="W2" s="3802"/>
      <c r="X2" s="3803" t="s">
        <v>360</v>
      </c>
      <c r="Y2" s="3804"/>
      <c r="Z2" s="3804"/>
      <c r="AA2" s="3804"/>
      <c r="AB2" s="3792" t="s">
        <v>361</v>
      </c>
      <c r="AC2" s="3793"/>
      <c r="AD2" s="3793"/>
      <c r="AE2" s="3793"/>
      <c r="AF2" s="3792" t="s">
        <v>362</v>
      </c>
      <c r="AG2" s="3793"/>
      <c r="AH2" s="3793"/>
      <c r="AI2" s="3793"/>
      <c r="AJ2" s="3792" t="s">
        <v>363</v>
      </c>
      <c r="AK2" s="3793"/>
      <c r="AL2" s="3793"/>
      <c r="AM2" s="3793"/>
      <c r="AN2" s="3792" t="s">
        <v>365</v>
      </c>
      <c r="AO2" s="3793"/>
      <c r="AP2" s="3793"/>
      <c r="AQ2" s="3793"/>
      <c r="AR2" s="3792" t="s">
        <v>366</v>
      </c>
      <c r="AS2" s="3793"/>
      <c r="AT2" s="3793"/>
      <c r="AU2" s="3793"/>
      <c r="AV2" s="3792" t="s">
        <v>379</v>
      </c>
      <c r="AW2" s="3793"/>
      <c r="AX2" s="3793"/>
      <c r="AY2" s="3793"/>
    </row>
    <row r="3" spans="1:51" ht="15.75" thickBot="1">
      <c r="A3" s="3819"/>
      <c r="B3" s="3819"/>
      <c r="C3" s="3830"/>
      <c r="D3" s="3805" t="s">
        <v>334</v>
      </c>
      <c r="E3" s="3807" t="s">
        <v>321</v>
      </c>
      <c r="F3" s="3801" t="s">
        <v>322</v>
      </c>
      <c r="G3" s="3832" t="s">
        <v>323</v>
      </c>
      <c r="H3" s="3805" t="s">
        <v>334</v>
      </c>
      <c r="I3" s="3807" t="s">
        <v>321</v>
      </c>
      <c r="J3" s="3801" t="s">
        <v>322</v>
      </c>
      <c r="K3" s="3832" t="s">
        <v>323</v>
      </c>
      <c r="L3" s="3825" t="s">
        <v>334</v>
      </c>
      <c r="M3" s="3814" t="s">
        <v>321</v>
      </c>
      <c r="N3" s="3804" t="s">
        <v>322</v>
      </c>
      <c r="O3" s="3817" t="s">
        <v>323</v>
      </c>
      <c r="P3" s="3820" t="s">
        <v>334</v>
      </c>
      <c r="Q3" s="3822" t="s">
        <v>321</v>
      </c>
      <c r="R3" s="3819" t="s">
        <v>322</v>
      </c>
      <c r="S3" s="3824" t="s">
        <v>323</v>
      </c>
      <c r="T3" s="3805" t="s">
        <v>334</v>
      </c>
      <c r="U3" s="3807" t="s">
        <v>321</v>
      </c>
      <c r="V3" s="3801" t="s">
        <v>322</v>
      </c>
      <c r="W3" s="3810" t="s">
        <v>323</v>
      </c>
      <c r="X3" s="3812" t="s">
        <v>334</v>
      </c>
      <c r="Y3" s="3814" t="s">
        <v>321</v>
      </c>
      <c r="Z3" s="3804" t="s">
        <v>322</v>
      </c>
      <c r="AA3" s="3817" t="s">
        <v>323</v>
      </c>
      <c r="AB3" s="3794" t="s">
        <v>334</v>
      </c>
      <c r="AC3" s="3796" t="s">
        <v>321</v>
      </c>
      <c r="AD3" s="3793" t="s">
        <v>322</v>
      </c>
      <c r="AE3" s="3799" t="s">
        <v>323</v>
      </c>
      <c r="AF3" s="3794" t="s">
        <v>334</v>
      </c>
      <c r="AG3" s="3796" t="s">
        <v>321</v>
      </c>
      <c r="AH3" s="3793" t="s">
        <v>322</v>
      </c>
      <c r="AI3" s="3799" t="s">
        <v>323</v>
      </c>
      <c r="AJ3" s="3794" t="s">
        <v>334</v>
      </c>
      <c r="AK3" s="3796" t="s">
        <v>321</v>
      </c>
      <c r="AL3" s="3793" t="s">
        <v>322</v>
      </c>
      <c r="AM3" s="3799" t="s">
        <v>323</v>
      </c>
      <c r="AN3" s="3794" t="s">
        <v>334</v>
      </c>
      <c r="AO3" s="3796" t="s">
        <v>321</v>
      </c>
      <c r="AP3" s="3793" t="s">
        <v>322</v>
      </c>
      <c r="AQ3" s="3799" t="s">
        <v>323</v>
      </c>
      <c r="AR3" s="3794" t="s">
        <v>334</v>
      </c>
      <c r="AS3" s="3796" t="s">
        <v>321</v>
      </c>
      <c r="AT3" s="3793" t="s">
        <v>322</v>
      </c>
      <c r="AU3" s="3799" t="s">
        <v>323</v>
      </c>
      <c r="AV3" s="3794" t="s">
        <v>334</v>
      </c>
      <c r="AW3" s="3796" t="s">
        <v>321</v>
      </c>
      <c r="AX3" s="3793" t="s">
        <v>322</v>
      </c>
      <c r="AY3" s="3799" t="s">
        <v>323</v>
      </c>
    </row>
    <row r="4" spans="1:51" ht="48.75" customHeight="1" thickBot="1">
      <c r="A4" s="3819"/>
      <c r="B4" s="3819"/>
      <c r="C4" s="3821"/>
      <c r="D4" s="3828"/>
      <c r="E4" s="3829"/>
      <c r="F4" s="3831"/>
      <c r="G4" s="3833"/>
      <c r="H4" s="3828"/>
      <c r="I4" s="3829"/>
      <c r="J4" s="3831"/>
      <c r="K4" s="3833"/>
      <c r="L4" s="3826"/>
      <c r="M4" s="3827"/>
      <c r="N4" s="3804"/>
      <c r="O4" s="3817"/>
      <c r="P4" s="3821"/>
      <c r="Q4" s="3823"/>
      <c r="R4" s="3819"/>
      <c r="S4" s="3824"/>
      <c r="T4" s="3806"/>
      <c r="U4" s="3808"/>
      <c r="V4" s="3809"/>
      <c r="W4" s="3811"/>
      <c r="X4" s="3813"/>
      <c r="Y4" s="3815"/>
      <c r="Z4" s="3816"/>
      <c r="AA4" s="3818"/>
      <c r="AB4" s="3795"/>
      <c r="AC4" s="3797"/>
      <c r="AD4" s="3798"/>
      <c r="AE4" s="3800"/>
      <c r="AF4" s="3795"/>
      <c r="AG4" s="3797"/>
      <c r="AH4" s="3798"/>
      <c r="AI4" s="3800"/>
      <c r="AJ4" s="3795"/>
      <c r="AK4" s="3797"/>
      <c r="AL4" s="3798"/>
      <c r="AM4" s="3800"/>
      <c r="AN4" s="3795"/>
      <c r="AO4" s="3797"/>
      <c r="AP4" s="3798"/>
      <c r="AQ4" s="3800"/>
      <c r="AR4" s="3795"/>
      <c r="AS4" s="3797"/>
      <c r="AT4" s="3798"/>
      <c r="AU4" s="3800"/>
      <c r="AV4" s="3795"/>
      <c r="AW4" s="3797"/>
      <c r="AX4" s="3798"/>
      <c r="AY4" s="3800"/>
    </row>
    <row r="5" spans="1:51">
      <c r="A5" s="1592"/>
      <c r="B5" s="1592"/>
      <c r="C5" s="1593"/>
      <c r="D5" s="2505"/>
      <c r="E5" s="2505"/>
      <c r="F5" s="2505"/>
      <c r="G5" s="2505"/>
      <c r="H5" s="2505"/>
      <c r="I5" s="2505"/>
      <c r="J5" s="2505"/>
      <c r="K5" s="2505"/>
      <c r="L5" s="2611"/>
      <c r="M5" s="2612"/>
      <c r="N5" s="2611"/>
      <c r="O5" s="2612"/>
      <c r="P5" s="1592"/>
      <c r="Q5" s="1592"/>
      <c r="R5" s="1592"/>
      <c r="S5" s="1592"/>
      <c r="T5" s="2586"/>
      <c r="U5" s="2586"/>
      <c r="V5" s="2586"/>
      <c r="W5" s="2587"/>
      <c r="X5" s="2532"/>
      <c r="Y5" s="2533"/>
      <c r="Z5" s="2533"/>
      <c r="AA5" s="2533"/>
      <c r="AB5" s="2506"/>
      <c r="AC5" s="2507"/>
      <c r="AD5" s="2507"/>
      <c r="AE5" s="2507"/>
      <c r="AF5" s="2506"/>
      <c r="AG5" s="2507"/>
      <c r="AH5" s="2507"/>
      <c r="AI5" s="2507"/>
      <c r="AJ5" s="2506"/>
      <c r="AK5" s="2507"/>
      <c r="AL5" s="2507"/>
      <c r="AM5" s="2507"/>
      <c r="AV5" s="2506"/>
      <c r="AW5" s="2507"/>
      <c r="AX5" s="2507"/>
      <c r="AY5" s="2507"/>
    </row>
    <row r="6" spans="1:51">
      <c r="A6" s="1103" t="s">
        <v>324</v>
      </c>
      <c r="B6" s="1103"/>
      <c r="C6" s="1594">
        <f>SUM(C7:C12)</f>
        <v>162</v>
      </c>
      <c r="D6" s="2510">
        <f>SUM(D7:D12)</f>
        <v>156</v>
      </c>
      <c r="E6" s="2511">
        <f t="shared" ref="E6:E12" si="0">D6/C6</f>
        <v>0.96296296296296291</v>
      </c>
      <c r="F6" s="2510">
        <f>SUM(F7:F12)</f>
        <v>58</v>
      </c>
      <c r="G6" s="2511">
        <f t="shared" ref="G6:G12" si="1">F6/D6</f>
        <v>0.37179487179487181</v>
      </c>
      <c r="H6" s="2510">
        <f>SUM(H7:H12)</f>
        <v>154</v>
      </c>
      <c r="I6" s="2601">
        <f t="shared" ref="I6:I12" si="2">H6/C6</f>
        <v>0.95061728395061729</v>
      </c>
      <c r="J6" s="2510">
        <f>SUM(J7:J12)</f>
        <v>62</v>
      </c>
      <c r="K6" s="2601">
        <f t="shared" ref="K6:K12" si="3">J6/H6</f>
        <v>0.40259740259740262</v>
      </c>
      <c r="L6" s="2613">
        <f>SUM(L7:L12)</f>
        <v>135</v>
      </c>
      <c r="M6" s="2614">
        <f t="shared" ref="M6:M10" si="4">L6/C6</f>
        <v>0.83333333333333337</v>
      </c>
      <c r="N6" s="2613">
        <f>SUM(N7:N12)</f>
        <v>46</v>
      </c>
      <c r="O6" s="2614">
        <f>N6/L6</f>
        <v>0.34074074074074073</v>
      </c>
      <c r="P6" s="1594">
        <f>SUM(P7:P12)</f>
        <v>131</v>
      </c>
      <c r="Q6" s="1105">
        <f t="shared" ref="Q6:Q11" si="5">P6/C6</f>
        <v>0.80864197530864201</v>
      </c>
      <c r="R6" s="1594">
        <f>SUM(R7:R12)</f>
        <v>58</v>
      </c>
      <c r="S6" s="1105">
        <f t="shared" ref="S6:S11" si="6">R6/P6</f>
        <v>0.44274809160305345</v>
      </c>
      <c r="T6" s="2588">
        <f>SUM(T7:T12)</f>
        <v>140</v>
      </c>
      <c r="U6" s="2511">
        <f>T6/C6</f>
        <v>0.86419753086419748</v>
      </c>
      <c r="V6" s="2588">
        <f>SUM(V7:V12)</f>
        <v>61</v>
      </c>
      <c r="W6" s="2589">
        <f>V6/T6</f>
        <v>0.43571428571428572</v>
      </c>
      <c r="X6" s="2534">
        <f>SUM(X7:X12)</f>
        <v>146</v>
      </c>
      <c r="Y6" s="2513">
        <f>X6/C6</f>
        <v>0.90123456790123457</v>
      </c>
      <c r="Z6" s="2535">
        <f>SUM(Z7:Z12)</f>
        <v>28</v>
      </c>
      <c r="AA6" s="2513">
        <f>Z6/X6</f>
        <v>0.19178082191780821</v>
      </c>
      <c r="AB6" s="2576">
        <f>SUM(AB7:AB12)</f>
        <v>153</v>
      </c>
      <c r="AC6" s="2512">
        <f t="shared" ref="AC6:AC12" si="7">AB6/C6</f>
        <v>0.94444444444444442</v>
      </c>
      <c r="AD6" s="2578">
        <f>SUM(AD7:AD12)</f>
        <v>53</v>
      </c>
      <c r="AE6" s="2512">
        <f>AD6/AB6</f>
        <v>0.34640522875816993</v>
      </c>
      <c r="AF6" s="2576">
        <f>SUM(AF7:AF12)</f>
        <v>146</v>
      </c>
      <c r="AG6" s="2512">
        <f>AF6/C6</f>
        <v>0.90123456790123457</v>
      </c>
      <c r="AH6" s="2578">
        <f>SUM(AH7:AH12)</f>
        <v>58</v>
      </c>
      <c r="AI6" s="2512">
        <f t="shared" ref="AI6:AI12" si="8">AH6/AF6</f>
        <v>0.39726027397260272</v>
      </c>
      <c r="AJ6" s="2576">
        <f>SUM(AJ7:AJ12)</f>
        <v>0</v>
      </c>
      <c r="AK6" s="2512">
        <f t="shared" ref="AK6:AK12" si="9">AJ6/K6</f>
        <v>0</v>
      </c>
      <c r="AL6" s="2578">
        <f>SUM(AL7:AL12)</f>
        <v>0</v>
      </c>
      <c r="AM6" s="2512" t="e">
        <f t="shared" ref="AM6:AM11" si="10">AL6/AJ6</f>
        <v>#DIV/0!</v>
      </c>
      <c r="AN6" s="2576"/>
      <c r="AO6" s="2512"/>
      <c r="AP6" s="2578"/>
      <c r="AQ6" s="2512"/>
      <c r="AR6" s="2576"/>
      <c r="AS6" s="2512"/>
      <c r="AT6" s="2578"/>
      <c r="AU6" s="2512"/>
      <c r="AV6" s="2576">
        <f>SUM(AV7:AV12)</f>
        <v>146</v>
      </c>
      <c r="AW6" s="2512">
        <f>AV6/S6</f>
        <v>329.75862068965517</v>
      </c>
      <c r="AX6" s="2578">
        <f>SUM(AX7:AX12)</f>
        <v>58</v>
      </c>
      <c r="AY6" s="2512">
        <f t="shared" ref="AY6:AY8" si="11">AX6/AV6</f>
        <v>0.39726027397260272</v>
      </c>
    </row>
    <row r="7" spans="1:51">
      <c r="A7" s="1577"/>
      <c r="B7" s="1577" t="s">
        <v>330</v>
      </c>
      <c r="C7" s="1595">
        <f>[1]DO!M119</f>
        <v>84</v>
      </c>
      <c r="D7" s="2505">
        <v>79</v>
      </c>
      <c r="E7" s="2514">
        <f t="shared" si="0"/>
        <v>0.94047619047619047</v>
      </c>
      <c r="F7" s="2505">
        <v>19</v>
      </c>
      <c r="G7" s="2514">
        <f t="shared" si="1"/>
        <v>0.24050632911392406</v>
      </c>
      <c r="H7" s="2505">
        <f>[1]DO!L119</f>
        <v>80</v>
      </c>
      <c r="I7" s="2602">
        <f t="shared" si="2"/>
        <v>0.95238095238095233</v>
      </c>
      <c r="J7" s="2505">
        <f>[1]DO!L118</f>
        <v>24</v>
      </c>
      <c r="K7" s="2603">
        <f t="shared" si="3"/>
        <v>0.3</v>
      </c>
      <c r="L7" s="2615">
        <v>84</v>
      </c>
      <c r="M7" s="2518">
        <f>L7/C7</f>
        <v>1</v>
      </c>
      <c r="N7" s="2615">
        <f>[1]DO!M118</f>
        <v>23</v>
      </c>
      <c r="O7" s="2518">
        <f>N7/L7</f>
        <v>0.27380952380952384</v>
      </c>
      <c r="P7" s="1595">
        <f>[1]DO!N119</f>
        <v>84</v>
      </c>
      <c r="Q7" s="1601">
        <f t="shared" si="5"/>
        <v>1</v>
      </c>
      <c r="R7" s="1595">
        <f>[1]DO!N118</f>
        <v>28</v>
      </c>
      <c r="S7" s="1596">
        <f t="shared" si="6"/>
        <v>0.33333333333333331</v>
      </c>
      <c r="T7" s="2586">
        <f>[1]DO!O119</f>
        <v>79</v>
      </c>
      <c r="U7" s="2514">
        <f>T7/C7</f>
        <v>0.94047619047619047</v>
      </c>
      <c r="V7" s="2586">
        <f>[1]DO!O118</f>
        <v>24</v>
      </c>
      <c r="W7" s="2590">
        <f>V7/T7</f>
        <v>0.30379746835443039</v>
      </c>
      <c r="X7" s="2532">
        <f>[1]DO!Q119</f>
        <v>79</v>
      </c>
      <c r="Y7" s="2516">
        <f>X7/C7</f>
        <v>0.94047619047619047</v>
      </c>
      <c r="Z7" s="2533">
        <f>[1]DO!Q118</f>
        <v>16</v>
      </c>
      <c r="AA7" s="2516">
        <f>Z7/X7</f>
        <v>0.20253164556962025</v>
      </c>
      <c r="AB7" s="2553">
        <f>DO!R136</f>
        <v>79</v>
      </c>
      <c r="AC7" s="2515">
        <f t="shared" si="7"/>
        <v>0.94047619047619047</v>
      </c>
      <c r="AD7" s="2545">
        <f>DO!R135</f>
        <v>15</v>
      </c>
      <c r="AE7" s="2515">
        <f t="shared" ref="AE7:AE12" si="12">AD7/AB7</f>
        <v>0.189873417721519</v>
      </c>
      <c r="AF7" s="2553">
        <v>79</v>
      </c>
      <c r="AG7" s="2512">
        <f t="shared" ref="AG7:AG47" si="13">AF7/C7</f>
        <v>0.94047619047619047</v>
      </c>
      <c r="AH7" s="2545">
        <v>22</v>
      </c>
      <c r="AI7" s="2515">
        <f t="shared" si="8"/>
        <v>0.27848101265822783</v>
      </c>
      <c r="AJ7" s="2553">
        <f>DO!AF136</f>
        <v>0</v>
      </c>
      <c r="AK7" s="2515">
        <f t="shared" si="9"/>
        <v>0</v>
      </c>
      <c r="AL7" s="2545">
        <f>DO!AF135</f>
        <v>0</v>
      </c>
      <c r="AM7" s="2515" t="e">
        <f t="shared" si="10"/>
        <v>#DIV/0!</v>
      </c>
      <c r="AN7" s="3035">
        <f>DO!U136</f>
        <v>63</v>
      </c>
      <c r="AO7" s="2515"/>
      <c r="AP7" s="2545">
        <f>DO!U135</f>
        <v>17</v>
      </c>
      <c r="AQ7" s="2515">
        <f>AP7/AN7</f>
        <v>0.26984126984126983</v>
      </c>
      <c r="AR7" s="2553"/>
      <c r="AS7" s="2515"/>
      <c r="AT7" s="2545"/>
      <c r="AU7" s="2515"/>
      <c r="AV7" s="2553">
        <v>79</v>
      </c>
      <c r="AW7" s="2512">
        <f t="shared" ref="AW7:AW8" si="14">AV7/S7</f>
        <v>237</v>
      </c>
      <c r="AX7" s="2545">
        <v>22</v>
      </c>
      <c r="AY7" s="2515">
        <f t="shared" si="11"/>
        <v>0.27848101265822783</v>
      </c>
    </row>
    <row r="8" spans="1:51">
      <c r="A8" s="1577"/>
      <c r="B8" s="1577" t="s">
        <v>331</v>
      </c>
      <c r="C8" s="1595">
        <f>'[1]Bathing Beaches DO,pH'!L59</f>
        <v>19</v>
      </c>
      <c r="D8" s="2505">
        <v>19</v>
      </c>
      <c r="E8" s="2514">
        <f t="shared" si="0"/>
        <v>1</v>
      </c>
      <c r="F8" s="2505">
        <v>14</v>
      </c>
      <c r="G8" s="2514">
        <f t="shared" si="1"/>
        <v>0.73684210526315785</v>
      </c>
      <c r="H8" s="2523">
        <f>'[1]Bathing Beaches DO,pH'!J115</f>
        <v>19</v>
      </c>
      <c r="I8" s="2603">
        <f t="shared" si="2"/>
        <v>1</v>
      </c>
      <c r="J8" s="2604">
        <f>'[1]Bathing Beaches DO,pH'!K114</f>
        <v>12</v>
      </c>
      <c r="K8" s="2603">
        <f t="shared" si="3"/>
        <v>0.63157894736842102</v>
      </c>
      <c r="L8" s="2615">
        <v>19</v>
      </c>
      <c r="M8" s="2518">
        <f>L8/C8</f>
        <v>1</v>
      </c>
      <c r="N8" s="2615">
        <f>'[1]Bathing Beaches DO,pH'!L58</f>
        <v>13</v>
      </c>
      <c r="O8" s="2518">
        <f>N8/L8</f>
        <v>0.68421052631578949</v>
      </c>
      <c r="P8" s="1595">
        <f>'[1]Bathing Beaches DO,pH'!M59</f>
        <v>19</v>
      </c>
      <c r="Q8" s="1601">
        <f t="shared" si="5"/>
        <v>1</v>
      </c>
      <c r="R8" s="1595">
        <f>'[1]Bathing Beaches DO,pH'!M58</f>
        <v>15</v>
      </c>
      <c r="S8" s="1596">
        <f t="shared" si="6"/>
        <v>0.78947368421052633</v>
      </c>
      <c r="T8" s="2586">
        <f>'[1]Bathing Beaches DO,pH'!N59</f>
        <v>13</v>
      </c>
      <c r="U8" s="2514">
        <f>T8/C8</f>
        <v>0.68421052631578949</v>
      </c>
      <c r="V8" s="2586">
        <f>'[1]Bathing Beaches DO,pH'!N58</f>
        <v>13</v>
      </c>
      <c r="W8" s="2590">
        <f>V8/T8</f>
        <v>1</v>
      </c>
      <c r="X8" s="2532">
        <f>'[1]Bathing Beaches DO,pH'!P59</f>
        <v>19</v>
      </c>
      <c r="Y8" s="2516">
        <f>X8/C8</f>
        <v>1</v>
      </c>
      <c r="Z8" s="2533">
        <f>'[1]Bathing Beaches DO,pH'!P58</f>
        <v>11</v>
      </c>
      <c r="AA8" s="2516">
        <f>Z8/X8</f>
        <v>0.57894736842105265</v>
      </c>
      <c r="AB8" s="2553">
        <f>'Bathing Beaches DO,pH'!Q59</f>
        <v>19</v>
      </c>
      <c r="AC8" s="2515">
        <f t="shared" si="7"/>
        <v>1</v>
      </c>
      <c r="AD8" s="2545">
        <f>'Bathing Beaches DO,pH'!Q58</f>
        <v>15</v>
      </c>
      <c r="AE8" s="2515">
        <f t="shared" si="12"/>
        <v>0.78947368421052633</v>
      </c>
      <c r="AF8" s="2553">
        <v>19</v>
      </c>
      <c r="AG8" s="2512">
        <f t="shared" si="13"/>
        <v>1</v>
      </c>
      <c r="AH8" s="2545">
        <v>9</v>
      </c>
      <c r="AI8" s="2515">
        <f t="shared" si="8"/>
        <v>0.47368421052631576</v>
      </c>
      <c r="AJ8" s="2553">
        <f>'Bathing Beaches DO,pH'!AC59</f>
        <v>0</v>
      </c>
      <c r="AK8" s="2515">
        <f t="shared" si="9"/>
        <v>0</v>
      </c>
      <c r="AL8" s="2545">
        <f>'Bathing Beaches DO,pH'!AC58</f>
        <v>0</v>
      </c>
      <c r="AM8" s="2515" t="e">
        <f t="shared" si="10"/>
        <v>#DIV/0!</v>
      </c>
      <c r="AN8" s="2553">
        <f>'Bathing Beaches DO,pH'!T59</f>
        <v>14</v>
      </c>
      <c r="AO8" s="2515"/>
      <c r="AP8" s="2545">
        <f>'Bathing Beaches DO,pH'!T58</f>
        <v>9</v>
      </c>
      <c r="AQ8" s="2515"/>
      <c r="AR8" s="2553"/>
      <c r="AS8" s="2515"/>
      <c r="AT8" s="2545"/>
      <c r="AU8" s="2515"/>
      <c r="AV8" s="2553">
        <v>19</v>
      </c>
      <c r="AW8" s="2512">
        <f t="shared" si="14"/>
        <v>24.066666666666666</v>
      </c>
      <c r="AX8" s="2545">
        <v>9</v>
      </c>
      <c r="AY8" s="2515">
        <f t="shared" si="11"/>
        <v>0.47368421052631576</v>
      </c>
    </row>
    <row r="9" spans="1:51">
      <c r="A9" s="1577"/>
      <c r="B9" s="1577" t="s">
        <v>333</v>
      </c>
      <c r="C9" s="1595">
        <v>9</v>
      </c>
      <c r="D9" s="2505">
        <v>9</v>
      </c>
      <c r="E9" s="2514">
        <f t="shared" si="0"/>
        <v>1</v>
      </c>
      <c r="F9" s="2505">
        <v>5</v>
      </c>
      <c r="G9" s="2514">
        <f t="shared" si="1"/>
        <v>0.55555555555555558</v>
      </c>
      <c r="H9" s="2505">
        <f>'[1]Offshore DO, pH, Phos. Sal. Con'!C84</f>
        <v>9</v>
      </c>
      <c r="I9" s="2603">
        <f t="shared" si="2"/>
        <v>1</v>
      </c>
      <c r="J9" s="2505">
        <f>'[1]Offshore DO, pH, Phos. Sal. Con'!L83</f>
        <v>9</v>
      </c>
      <c r="K9" s="2603">
        <f t="shared" si="3"/>
        <v>1</v>
      </c>
      <c r="L9" s="2615">
        <f>'[1]Offshore DO, pH, Phos. Sal. Con'!M82</f>
        <v>9</v>
      </c>
      <c r="M9" s="2518">
        <f t="shared" si="4"/>
        <v>1</v>
      </c>
      <c r="N9" s="2615">
        <f>'[1]Offshore DO, pH, Phos. Sal. Con'!M83</f>
        <v>9</v>
      </c>
      <c r="O9" s="2518">
        <f>N9/L9</f>
        <v>1</v>
      </c>
      <c r="P9" s="1595">
        <f>'[1]Offshore DO, pH, Phos. Sal. Con'!N82</f>
        <v>5</v>
      </c>
      <c r="Q9" s="1601">
        <f t="shared" si="5"/>
        <v>0.55555555555555558</v>
      </c>
      <c r="R9" s="1595">
        <f>'[1]Offshore DO, pH, Phos. Sal. Con'!N83</f>
        <v>5</v>
      </c>
      <c r="S9" s="1596">
        <f t="shared" si="6"/>
        <v>1</v>
      </c>
      <c r="T9" s="2505" t="s">
        <v>336</v>
      </c>
      <c r="U9" s="2505" t="s">
        <v>336</v>
      </c>
      <c r="V9" s="2505" t="s">
        <v>336</v>
      </c>
      <c r="W9" s="2591" t="s">
        <v>336</v>
      </c>
      <c r="X9" s="2536">
        <f>'[1]Offshore DO, pH, Phos. Sal. Con'!P82</f>
        <v>0</v>
      </c>
      <c r="Y9" s="2518">
        <f>X9/C9</f>
        <v>0</v>
      </c>
      <c r="Z9" s="2537">
        <f>'[1]Offshore DO, pH, Phos. Sal. Con'!P83</f>
        <v>0</v>
      </c>
      <c r="AA9" s="2516">
        <v>0</v>
      </c>
      <c r="AB9" s="2554">
        <f>'Offshore DO, pH, Phos. Sal. Con'!Q82</f>
        <v>9</v>
      </c>
      <c r="AC9" s="2538">
        <f t="shared" si="7"/>
        <v>1</v>
      </c>
      <c r="AD9" s="2546">
        <f>'Offshore DO, pH, Phos. Sal. Con'!Q83</f>
        <v>7</v>
      </c>
      <c r="AE9" s="2515">
        <f t="shared" si="12"/>
        <v>0.77777777777777779</v>
      </c>
      <c r="AF9" s="2554" t="s">
        <v>109</v>
      </c>
      <c r="AG9" s="2512" t="s">
        <v>66</v>
      </c>
      <c r="AH9" s="2546" t="s">
        <v>109</v>
      </c>
      <c r="AI9" s="2515" t="s">
        <v>109</v>
      </c>
      <c r="AJ9" s="2554">
        <f>'Offshore DO, pH, Phos. Sal. Con'!AJ82</f>
        <v>0</v>
      </c>
      <c r="AK9" s="2538">
        <f t="shared" si="9"/>
        <v>0</v>
      </c>
      <c r="AL9" s="2546">
        <f>'Offshore DO, pH, Phos. Sal. Con'!AJ83</f>
        <v>0</v>
      </c>
      <c r="AM9" s="2515" t="e">
        <f t="shared" si="10"/>
        <v>#DIV/0!</v>
      </c>
      <c r="AN9" s="3036">
        <f>'Offshore DO, pH, Phos. Sal. Con'!T82</f>
        <v>0</v>
      </c>
      <c r="AO9" s="2538"/>
      <c r="AP9" s="2546">
        <f>'Offshore DO, pH, Phos. Sal. Con'!T83</f>
        <v>0</v>
      </c>
      <c r="AQ9" s="2515"/>
      <c r="AR9" s="2554"/>
      <c r="AS9" s="2538"/>
      <c r="AT9" s="2546"/>
      <c r="AU9" s="2515"/>
      <c r="AV9" s="2554" t="s">
        <v>109</v>
      </c>
      <c r="AW9" s="2512" t="s">
        <v>66</v>
      </c>
      <c r="AX9" s="2546" t="s">
        <v>109</v>
      </c>
      <c r="AY9" s="2515" t="s">
        <v>109</v>
      </c>
    </row>
    <row r="10" spans="1:51">
      <c r="A10" s="1577"/>
      <c r="B10" s="1577" t="s">
        <v>111</v>
      </c>
      <c r="C10" s="1595">
        <v>14</v>
      </c>
      <c r="D10" s="2505">
        <v>14</v>
      </c>
      <c r="E10" s="2514">
        <f t="shared" si="0"/>
        <v>1</v>
      </c>
      <c r="F10" s="2505">
        <v>3</v>
      </c>
      <c r="G10" s="2514">
        <f t="shared" si="1"/>
        <v>0.21428571428571427</v>
      </c>
      <c r="H10" s="2505">
        <v>14</v>
      </c>
      <c r="I10" s="2603">
        <f t="shared" si="2"/>
        <v>1</v>
      </c>
      <c r="J10" s="2523">
        <f>[1]DO!L142</f>
        <v>1</v>
      </c>
      <c r="K10" s="2603">
        <f t="shared" si="3"/>
        <v>7.1428571428571425E-2</v>
      </c>
      <c r="L10" s="2615">
        <f>[1]DO!M143</f>
        <v>14</v>
      </c>
      <c r="M10" s="2518">
        <f t="shared" si="4"/>
        <v>1</v>
      </c>
      <c r="N10" s="2616">
        <f>[1]DO!M142</f>
        <v>1</v>
      </c>
      <c r="O10" s="2518">
        <f>N10/L10</f>
        <v>7.1428571428571425E-2</v>
      </c>
      <c r="P10" s="1595">
        <f>[1]DO!N143</f>
        <v>14</v>
      </c>
      <c r="Q10" s="1601">
        <f t="shared" si="5"/>
        <v>1</v>
      </c>
      <c r="R10" s="1597">
        <f>[1]DO!N142</f>
        <v>1</v>
      </c>
      <c r="S10" s="1596">
        <f t="shared" si="6"/>
        <v>7.1428571428571425E-2</v>
      </c>
      <c r="T10" s="2586">
        <f>[1]DO!O143</f>
        <v>14</v>
      </c>
      <c r="U10" s="2514">
        <f>T10/C10</f>
        <v>1</v>
      </c>
      <c r="V10" s="2592">
        <f>[1]DO!O142</f>
        <v>4</v>
      </c>
      <c r="W10" s="2590">
        <f>V10/T10</f>
        <v>0.2857142857142857</v>
      </c>
      <c r="X10" s="2532">
        <f>[1]DO!Q143</f>
        <v>14</v>
      </c>
      <c r="Y10" s="2516">
        <f>X10/C10</f>
        <v>1</v>
      </c>
      <c r="Z10" s="2539">
        <f>[1]DO!Q142</f>
        <v>1</v>
      </c>
      <c r="AA10" s="2516">
        <f>Z10/X10</f>
        <v>7.1428571428571425E-2</v>
      </c>
      <c r="AB10" s="2553">
        <f>DO!R160</f>
        <v>13</v>
      </c>
      <c r="AC10" s="2515">
        <f t="shared" si="7"/>
        <v>0.9285714285714286</v>
      </c>
      <c r="AD10" s="2520">
        <f>DO!R159</f>
        <v>0</v>
      </c>
      <c r="AE10" s="2515">
        <f t="shared" si="12"/>
        <v>0</v>
      </c>
      <c r="AF10" s="2553">
        <v>14</v>
      </c>
      <c r="AG10" s="2512">
        <f t="shared" si="13"/>
        <v>1</v>
      </c>
      <c r="AH10" s="2520">
        <v>5</v>
      </c>
      <c r="AI10" s="2515">
        <f t="shared" si="8"/>
        <v>0.35714285714285715</v>
      </c>
      <c r="AJ10" s="2553">
        <f>DO!AF160</f>
        <v>0</v>
      </c>
      <c r="AK10" s="2515">
        <f t="shared" si="9"/>
        <v>0</v>
      </c>
      <c r="AL10" s="2520">
        <f>DO!AF159</f>
        <v>0</v>
      </c>
      <c r="AM10" s="2515" t="e">
        <f t="shared" si="10"/>
        <v>#DIV/0!</v>
      </c>
      <c r="AN10" s="2553"/>
      <c r="AO10" s="2515"/>
      <c r="AP10" s="2520"/>
      <c r="AQ10" s="2515"/>
      <c r="AR10" s="2553"/>
      <c r="AS10" s="2515"/>
      <c r="AT10" s="2520"/>
      <c r="AU10" s="2515"/>
      <c r="AV10" s="2553">
        <v>14</v>
      </c>
      <c r="AW10" s="2512">
        <f t="shared" ref="AW10:AW12" si="15">AV10/S10</f>
        <v>196</v>
      </c>
      <c r="AX10" s="2520">
        <v>5</v>
      </c>
      <c r="AY10" s="2515">
        <f t="shared" ref="AY10:AY12" si="16">AX10/AV10</f>
        <v>0.35714285714285715</v>
      </c>
    </row>
    <row r="11" spans="1:51">
      <c r="A11" s="1577"/>
      <c r="B11" s="1577" t="s">
        <v>332</v>
      </c>
      <c r="C11" s="1595">
        <v>9</v>
      </c>
      <c r="D11" s="2505">
        <v>9</v>
      </c>
      <c r="E11" s="2514">
        <f t="shared" si="0"/>
        <v>1</v>
      </c>
      <c r="F11" s="2505">
        <v>9</v>
      </c>
      <c r="G11" s="2514">
        <f t="shared" si="1"/>
        <v>1</v>
      </c>
      <c r="H11" s="2505">
        <f>[1]DO!L193</f>
        <v>9</v>
      </c>
      <c r="I11" s="2603">
        <f t="shared" si="2"/>
        <v>1</v>
      </c>
      <c r="J11" s="2523">
        <f>[1]DO!L192</f>
        <v>9</v>
      </c>
      <c r="K11" s="2603">
        <f t="shared" si="3"/>
        <v>1</v>
      </c>
      <c r="L11" s="2617">
        <f>[1]DO!M193</f>
        <v>9</v>
      </c>
      <c r="M11" s="2518">
        <f>L11/C11</f>
        <v>1</v>
      </c>
      <c r="N11" s="2617" t="s">
        <v>336</v>
      </c>
      <c r="O11" s="2617" t="s">
        <v>336</v>
      </c>
      <c r="P11" s="1595">
        <f>[1]DO!N193</f>
        <v>9</v>
      </c>
      <c r="Q11" s="1601">
        <f t="shared" si="5"/>
        <v>1</v>
      </c>
      <c r="R11" s="1597">
        <f>[1]DO!N192</f>
        <v>9</v>
      </c>
      <c r="S11" s="1596">
        <f t="shared" si="6"/>
        <v>1</v>
      </c>
      <c r="T11" s="2586">
        <f>[1]DO!O193</f>
        <v>9</v>
      </c>
      <c r="U11" s="2514">
        <f>T11/C11</f>
        <v>1</v>
      </c>
      <c r="V11" s="2592">
        <f>[1]DO!O192</f>
        <v>9</v>
      </c>
      <c r="W11" s="2590">
        <f>V11/T11</f>
        <v>1</v>
      </c>
      <c r="X11" s="2532">
        <f>[1]DO!Q193</f>
        <v>9</v>
      </c>
      <c r="Y11" s="2516">
        <f>X11/G11</f>
        <v>9</v>
      </c>
      <c r="Z11" s="2539">
        <f>[1]DO!S192</f>
        <v>0</v>
      </c>
      <c r="AA11" s="2516">
        <v>0</v>
      </c>
      <c r="AB11" s="2553">
        <f>DO!R221</f>
        <v>9</v>
      </c>
      <c r="AC11" s="2515">
        <f t="shared" si="7"/>
        <v>1</v>
      </c>
      <c r="AD11" s="2520">
        <f>DO!R220</f>
        <v>9</v>
      </c>
      <c r="AE11" s="2515">
        <f t="shared" si="12"/>
        <v>1</v>
      </c>
      <c r="AF11" s="2553">
        <v>9</v>
      </c>
      <c r="AG11" s="2512">
        <f t="shared" si="13"/>
        <v>1</v>
      </c>
      <c r="AH11" s="2520">
        <v>9</v>
      </c>
      <c r="AI11" s="2515">
        <f t="shared" si="8"/>
        <v>1</v>
      </c>
      <c r="AJ11" s="2553">
        <f>DO!AF221</f>
        <v>0</v>
      </c>
      <c r="AK11" s="2515">
        <f t="shared" si="9"/>
        <v>0</v>
      </c>
      <c r="AL11" s="2520">
        <f>DO!AF220</f>
        <v>0</v>
      </c>
      <c r="AM11" s="2515" t="e">
        <f t="shared" si="10"/>
        <v>#DIV/0!</v>
      </c>
      <c r="AN11" s="2553"/>
      <c r="AO11" s="2515"/>
      <c r="AP11" s="2520"/>
      <c r="AQ11" s="2515"/>
      <c r="AR11" s="2553"/>
      <c r="AS11" s="2515"/>
      <c r="AT11" s="2520"/>
      <c r="AU11" s="2515"/>
      <c r="AV11" s="2553">
        <v>9</v>
      </c>
      <c r="AW11" s="2512">
        <f t="shared" si="15"/>
        <v>9</v>
      </c>
      <c r="AX11" s="2520">
        <v>9</v>
      </c>
      <c r="AY11" s="2515">
        <f t="shared" si="16"/>
        <v>1</v>
      </c>
    </row>
    <row r="12" spans="1:51">
      <c r="A12" s="1577"/>
      <c r="B12" s="1577" t="s">
        <v>344</v>
      </c>
      <c r="C12" s="1595">
        <v>27</v>
      </c>
      <c r="D12" s="2505">
        <v>26</v>
      </c>
      <c r="E12" s="2514">
        <f t="shared" si="0"/>
        <v>0.96296296296296291</v>
      </c>
      <c r="F12" s="2505">
        <v>8</v>
      </c>
      <c r="G12" s="2514">
        <f t="shared" si="1"/>
        <v>0.30769230769230771</v>
      </c>
      <c r="H12" s="2505">
        <f>[1]DO!L177</f>
        <v>23</v>
      </c>
      <c r="I12" s="2603">
        <f t="shared" si="2"/>
        <v>0.85185185185185186</v>
      </c>
      <c r="J12" s="2523">
        <f>[1]DO!L176</f>
        <v>7</v>
      </c>
      <c r="K12" s="2603">
        <f t="shared" si="3"/>
        <v>0.30434782608695654</v>
      </c>
      <c r="L12" s="2617" t="s">
        <v>336</v>
      </c>
      <c r="M12" s="2617" t="s">
        <v>336</v>
      </c>
      <c r="N12" s="2617" t="s">
        <v>336</v>
      </c>
      <c r="O12" s="2617" t="s">
        <v>336</v>
      </c>
      <c r="P12" s="1598" t="s">
        <v>336</v>
      </c>
      <c r="Q12" s="1598" t="s">
        <v>336</v>
      </c>
      <c r="R12" s="1598" t="s">
        <v>336</v>
      </c>
      <c r="S12" s="1598" t="s">
        <v>336</v>
      </c>
      <c r="T12" s="2586">
        <f>[1]DO!O177</f>
        <v>25</v>
      </c>
      <c r="U12" s="2514">
        <f>T12/C12</f>
        <v>0.92592592592592593</v>
      </c>
      <c r="V12" s="2592">
        <f>[1]DO!O176</f>
        <v>11</v>
      </c>
      <c r="W12" s="2590">
        <f>V12/T12</f>
        <v>0.44</v>
      </c>
      <c r="X12" s="2532">
        <f>[1]DO!Q177</f>
        <v>25</v>
      </c>
      <c r="Y12" s="2516">
        <f>X12/C12</f>
        <v>0.92592592592592593</v>
      </c>
      <c r="Z12" s="2539">
        <f>[1]DO!S176</f>
        <v>0</v>
      </c>
      <c r="AA12" s="2516">
        <v>0</v>
      </c>
      <c r="AB12" s="2553">
        <f>DO!R205</f>
        <v>24</v>
      </c>
      <c r="AC12" s="2515">
        <f t="shared" si="7"/>
        <v>0.88888888888888884</v>
      </c>
      <c r="AD12" s="2520">
        <f>DO!R204</f>
        <v>7</v>
      </c>
      <c r="AE12" s="2515">
        <f t="shared" si="12"/>
        <v>0.29166666666666669</v>
      </c>
      <c r="AF12" s="2553">
        <v>25</v>
      </c>
      <c r="AG12" s="2512">
        <f t="shared" si="13"/>
        <v>0.92592592592592593</v>
      </c>
      <c r="AH12" s="2520">
        <v>13</v>
      </c>
      <c r="AI12" s="2515">
        <f t="shared" si="8"/>
        <v>0.52</v>
      </c>
      <c r="AJ12" s="2553">
        <f>DO!AF205</f>
        <v>0</v>
      </c>
      <c r="AK12" s="2515">
        <f t="shared" si="9"/>
        <v>0</v>
      </c>
      <c r="AL12" s="2520">
        <f>DO!AF204</f>
        <v>0</v>
      </c>
      <c r="AM12" s="2515" t="e">
        <f>AL12/AJ12</f>
        <v>#DIV/0!</v>
      </c>
      <c r="AN12" s="2553"/>
      <c r="AO12" s="2515"/>
      <c r="AP12" s="2520"/>
      <c r="AQ12" s="2515"/>
      <c r="AR12" s="2553"/>
      <c r="AS12" s="2515"/>
      <c r="AT12" s="2520"/>
      <c r="AU12" s="2515"/>
      <c r="AV12" s="2553">
        <v>25</v>
      </c>
      <c r="AW12" s="2512" t="e">
        <f t="shared" si="15"/>
        <v>#VALUE!</v>
      </c>
      <c r="AX12" s="2520">
        <v>13</v>
      </c>
      <c r="AY12" s="2515">
        <f t="shared" si="16"/>
        <v>0.52</v>
      </c>
    </row>
    <row r="13" spans="1:51">
      <c r="A13" s="1577"/>
      <c r="B13" s="1577"/>
      <c r="C13" s="1595"/>
      <c r="D13" s="2505"/>
      <c r="E13" s="2505"/>
      <c r="F13" s="2505"/>
      <c r="G13" s="2505"/>
      <c r="H13" s="2505"/>
      <c r="I13" s="2505"/>
      <c r="J13" s="2505"/>
      <c r="K13" s="2505"/>
      <c r="L13" s="2615"/>
      <c r="M13" s="2518"/>
      <c r="N13" s="2615"/>
      <c r="O13" s="2518"/>
      <c r="P13" s="1595"/>
      <c r="Q13" s="1595"/>
      <c r="R13" s="1595"/>
      <c r="S13" s="1595"/>
      <c r="T13" s="2586"/>
      <c r="U13" s="2586"/>
      <c r="V13" s="2586"/>
      <c r="W13" s="2587"/>
      <c r="X13" s="2532"/>
      <c r="Y13" s="2533"/>
      <c r="Z13" s="2533"/>
      <c r="AA13" s="2533"/>
      <c r="AB13" s="2553"/>
      <c r="AC13" s="2507"/>
      <c r="AD13" s="2545"/>
      <c r="AE13" s="2507"/>
      <c r="AF13" s="2553"/>
      <c r="AG13" s="2512"/>
      <c r="AH13" s="2545"/>
      <c r="AI13" s="2507"/>
      <c r="AJ13" s="2553"/>
      <c r="AK13" s="2507"/>
      <c r="AL13" s="2545"/>
      <c r="AM13" s="2507"/>
      <c r="AV13" s="2553"/>
      <c r="AW13" s="2512"/>
      <c r="AX13" s="2545"/>
      <c r="AY13" s="2507"/>
    </row>
    <row r="14" spans="1:51" s="4" customFormat="1">
      <c r="A14" s="1103" t="s">
        <v>335</v>
      </c>
      <c r="B14" s="1103"/>
      <c r="C14" s="1594">
        <f>SUM(C15:C18)</f>
        <v>134</v>
      </c>
      <c r="D14" s="2510">
        <f>SUM(D15:D18)</f>
        <v>128</v>
      </c>
      <c r="E14" s="2511">
        <f>D14/C14</f>
        <v>0.95522388059701491</v>
      </c>
      <c r="F14" s="2510">
        <f>SUM(F15:F18)</f>
        <v>67</v>
      </c>
      <c r="G14" s="2511">
        <f>F14/D14</f>
        <v>0.5234375</v>
      </c>
      <c r="H14" s="2510">
        <f>SUM(H15:H18)</f>
        <v>94</v>
      </c>
      <c r="I14" s="2601">
        <f>H14/C14</f>
        <v>0.70149253731343286</v>
      </c>
      <c r="J14" s="2510">
        <f>SUM(J15:J18)</f>
        <v>34</v>
      </c>
      <c r="K14" s="2601">
        <f>J14/H14</f>
        <v>0.36170212765957449</v>
      </c>
      <c r="L14" s="2613">
        <f>SUM(L15:L18)</f>
        <v>98</v>
      </c>
      <c r="M14" s="2614">
        <f>L14/C14</f>
        <v>0.73134328358208955</v>
      </c>
      <c r="N14" s="2613">
        <f>SUM(N15:N18)</f>
        <v>35</v>
      </c>
      <c r="O14" s="2614">
        <f>N14/L14</f>
        <v>0.35714285714285715</v>
      </c>
      <c r="P14" s="1594">
        <f>SUM(P15:P18)</f>
        <v>107</v>
      </c>
      <c r="Q14" s="1105">
        <f>P14/C14</f>
        <v>0.79850746268656714</v>
      </c>
      <c r="R14" s="1594">
        <f>SUM(R15:R18)</f>
        <v>59</v>
      </c>
      <c r="S14" s="1105">
        <f>R14/P14</f>
        <v>0.55140186915887845</v>
      </c>
      <c r="T14" s="2588">
        <f>SUM(T15:T18)</f>
        <v>127</v>
      </c>
      <c r="U14" s="2593">
        <f>T14/C14</f>
        <v>0.94776119402985071</v>
      </c>
      <c r="V14" s="2588">
        <f>SUM(V15:V18)</f>
        <v>61</v>
      </c>
      <c r="W14" s="2589">
        <f>V14/T14</f>
        <v>0.48031496062992124</v>
      </c>
      <c r="X14" s="2534">
        <f>SUM(X15:X18)</f>
        <v>99</v>
      </c>
      <c r="Y14" s="2522">
        <f>X14/C14</f>
        <v>0.73880597014925375</v>
      </c>
      <c r="Z14" s="2535">
        <f>SUM(Z15:Z18)</f>
        <v>33</v>
      </c>
      <c r="AA14" s="2513">
        <f>Z14/X14</f>
        <v>0.33333333333333331</v>
      </c>
      <c r="AB14" s="2576">
        <f>SUM(AB15:AB18)</f>
        <v>111</v>
      </c>
      <c r="AC14" s="2521">
        <f>AB14/C14</f>
        <v>0.82835820895522383</v>
      </c>
      <c r="AD14" s="2578">
        <f>SUM(AD15:AD18)</f>
        <v>46</v>
      </c>
      <c r="AE14" s="2512">
        <f>AD14/AB14</f>
        <v>0.4144144144144144</v>
      </c>
      <c r="AF14" s="2576">
        <f>SUM(AF15:AF18)</f>
        <v>93</v>
      </c>
      <c r="AG14" s="2512">
        <f t="shared" si="13"/>
        <v>0.69402985074626866</v>
      </c>
      <c r="AH14" s="2578">
        <f>SUM(AH15:AH18)</f>
        <v>32</v>
      </c>
      <c r="AI14" s="2512">
        <f>AH14/AF14</f>
        <v>0.34408602150537637</v>
      </c>
      <c r="AJ14" s="2576" t="e">
        <f>SUM(AJ15:AJ18)</f>
        <v>#REF!</v>
      </c>
      <c r="AK14" s="2521" t="e">
        <f>AJ14/K14</f>
        <v>#REF!</v>
      </c>
      <c r="AL14" s="2578" t="e">
        <f>SUM(AL15:AL18)</f>
        <v>#REF!</v>
      </c>
      <c r="AM14" s="2512" t="e">
        <f>AL14/AJ14</f>
        <v>#REF!</v>
      </c>
      <c r="AV14" s="2576">
        <f>SUM(AV15:AV18)</f>
        <v>93</v>
      </c>
      <c r="AW14" s="2512">
        <f t="shared" ref="AW14:AW16" si="17">AV14/S14</f>
        <v>168.66101694915255</v>
      </c>
      <c r="AX14" s="2578">
        <f>SUM(AX15:AX18)</f>
        <v>32</v>
      </c>
      <c r="AY14" s="2512">
        <f>AX14/AV14</f>
        <v>0.34408602150537637</v>
      </c>
    </row>
    <row r="15" spans="1:51">
      <c r="A15" s="1577"/>
      <c r="B15" s="1577" t="s">
        <v>330</v>
      </c>
      <c r="C15" s="1597">
        <f>[1]BOD!D117</f>
        <v>84</v>
      </c>
      <c r="D15" s="2523">
        <f>[1]BOD!K115</f>
        <v>79</v>
      </c>
      <c r="E15" s="2514">
        <f>D15/C15</f>
        <v>0.94047619047619047</v>
      </c>
      <c r="F15" s="2523">
        <f>[1]BOD!K114</f>
        <v>33</v>
      </c>
      <c r="G15" s="2514">
        <f>F15/D15</f>
        <v>0.41772151898734178</v>
      </c>
      <c r="H15" s="2523">
        <f>[1]BOD!L115</f>
        <v>80</v>
      </c>
      <c r="I15" s="2602">
        <f>H15/C15</f>
        <v>0.95238095238095233</v>
      </c>
      <c r="J15" s="2523">
        <f>[1]BOD!L114</f>
        <v>29</v>
      </c>
      <c r="K15" s="2603">
        <f>J15/H15</f>
        <v>0.36249999999999999</v>
      </c>
      <c r="L15" s="2615">
        <f>[1]BOD!M115</f>
        <v>84</v>
      </c>
      <c r="M15" s="2518">
        <f>L15/C15</f>
        <v>1</v>
      </c>
      <c r="N15" s="2615">
        <f>[1]BOD!M114</f>
        <v>34</v>
      </c>
      <c r="O15" s="2518">
        <f>N15/L15</f>
        <v>0.40476190476190477</v>
      </c>
      <c r="P15" s="1595">
        <f>[1]BOD!N115</f>
        <v>84</v>
      </c>
      <c r="Q15" s="1601">
        <f>P15/C15</f>
        <v>1</v>
      </c>
      <c r="R15" s="1595">
        <f>[1]BOD!N114</f>
        <v>47</v>
      </c>
      <c r="S15" s="1596">
        <f>R15/P15</f>
        <v>0.55952380952380953</v>
      </c>
      <c r="T15" s="2586">
        <f>[1]BOD!O115</f>
        <v>79</v>
      </c>
      <c r="U15" s="2594">
        <f>T15/C15</f>
        <v>0.94047619047619047</v>
      </c>
      <c r="V15" s="2586">
        <f>[1]BOD!O114</f>
        <v>39</v>
      </c>
      <c r="W15" s="2590">
        <f>V15/T15</f>
        <v>0.49367088607594939</v>
      </c>
      <c r="X15" s="2532">
        <f>[1]BOD!Q115</f>
        <v>76</v>
      </c>
      <c r="Y15" s="2525">
        <f>X15/C15</f>
        <v>0.90476190476190477</v>
      </c>
      <c r="Z15" s="2533">
        <f>[1]BOD!Q114</f>
        <v>23</v>
      </c>
      <c r="AA15" s="2516">
        <f>Z15/X15</f>
        <v>0.30263157894736842</v>
      </c>
      <c r="AB15" s="2553">
        <f>BOD!Q131</f>
        <v>78</v>
      </c>
      <c r="AC15" s="2524">
        <f>AB15/C15</f>
        <v>0.9285714285714286</v>
      </c>
      <c r="AD15" s="2545">
        <f>BOD!Q130</f>
        <v>26</v>
      </c>
      <c r="AE15" s="2515">
        <f>AD15/AB15</f>
        <v>0.33333333333333331</v>
      </c>
      <c r="AF15" s="2553">
        <v>79</v>
      </c>
      <c r="AG15" s="2512">
        <f t="shared" si="13"/>
        <v>0.94047619047619047</v>
      </c>
      <c r="AH15" s="2545">
        <v>27</v>
      </c>
      <c r="AI15" s="2515">
        <f>AH15/AF15</f>
        <v>0.34177215189873417</v>
      </c>
      <c r="AJ15" s="2553">
        <f>BOD!AG115</f>
        <v>0</v>
      </c>
      <c r="AK15" s="2524">
        <f>AJ15/K15</f>
        <v>0</v>
      </c>
      <c r="AL15" s="2545">
        <f>BOD!AG114</f>
        <v>0</v>
      </c>
      <c r="AM15" s="2515" t="e">
        <f>AL15/AJ15</f>
        <v>#DIV/0!</v>
      </c>
      <c r="AV15" s="2553">
        <v>79</v>
      </c>
      <c r="AW15" s="2512">
        <f t="shared" si="17"/>
        <v>141.19148936170214</v>
      </c>
      <c r="AX15" s="2545">
        <v>27</v>
      </c>
      <c r="AY15" s="2515">
        <f>AX15/AV15</f>
        <v>0.34177215189873417</v>
      </c>
    </row>
    <row r="16" spans="1:51">
      <c r="A16" s="1577"/>
      <c r="B16" s="1577" t="s">
        <v>111</v>
      </c>
      <c r="C16" s="1597">
        <f>[1]BOD!D140</f>
        <v>14</v>
      </c>
      <c r="D16" s="2523">
        <f>[1]BOD!K138</f>
        <v>14</v>
      </c>
      <c r="E16" s="2514">
        <f>D16/C16</f>
        <v>1</v>
      </c>
      <c r="F16" s="2523">
        <f>[1]BOD!K137</f>
        <v>8</v>
      </c>
      <c r="G16" s="2514">
        <f>F16/D16</f>
        <v>0.5714285714285714</v>
      </c>
      <c r="H16" s="2523">
        <f>[1]BOD!L138</f>
        <v>14</v>
      </c>
      <c r="I16" s="2603">
        <f>H16/C16</f>
        <v>1</v>
      </c>
      <c r="J16" s="2523">
        <f>[1]BOD!L137</f>
        <v>5</v>
      </c>
      <c r="K16" s="2603">
        <f>J16/H16</f>
        <v>0.35714285714285715</v>
      </c>
      <c r="L16" s="2615">
        <f>[1]BOD!M138</f>
        <v>14</v>
      </c>
      <c r="M16" s="2518">
        <f>L16/C16</f>
        <v>1</v>
      </c>
      <c r="N16" s="2616">
        <f>[1]BOD!M137</f>
        <v>1</v>
      </c>
      <c r="O16" s="2518">
        <f>N16/L16</f>
        <v>7.1428571428571425E-2</v>
      </c>
      <c r="P16" s="1595">
        <f>[1]BOD!N138</f>
        <v>14</v>
      </c>
      <c r="Q16" s="1601">
        <f>P16/C16</f>
        <v>1</v>
      </c>
      <c r="R16" s="1597">
        <f>[1]BOD!N137</f>
        <v>3</v>
      </c>
      <c r="S16" s="1596">
        <f>R16/P16</f>
        <v>0.21428571428571427</v>
      </c>
      <c r="T16" s="2586">
        <f>[1]BOD!O138</f>
        <v>14</v>
      </c>
      <c r="U16" s="2594">
        <f>T16/C16</f>
        <v>1</v>
      </c>
      <c r="V16" s="2592">
        <f>[1]BOD!O137</f>
        <v>2</v>
      </c>
      <c r="W16" s="2590">
        <f>V16/T16</f>
        <v>0.14285714285714285</v>
      </c>
      <c r="X16" s="2532">
        <f>[1]BOD!Q138</f>
        <v>14</v>
      </c>
      <c r="Y16" s="2525">
        <f>X16/C16</f>
        <v>1</v>
      </c>
      <c r="Z16" s="2539">
        <f>[1]BOD!Q137</f>
        <v>1</v>
      </c>
      <c r="AA16" s="2516">
        <f>Z16/X16</f>
        <v>7.1428571428571425E-2</v>
      </c>
      <c r="AB16" s="2553">
        <f>[1]BOD!U138</f>
        <v>0</v>
      </c>
      <c r="AC16" s="2524">
        <f>AB16/G16</f>
        <v>0</v>
      </c>
      <c r="AD16" s="2545">
        <f>[1]BOD!U137</f>
        <v>0</v>
      </c>
      <c r="AE16" s="2515">
        <v>0</v>
      </c>
      <c r="AF16" s="2553">
        <v>14</v>
      </c>
      <c r="AG16" s="2512">
        <f t="shared" si="13"/>
        <v>1</v>
      </c>
      <c r="AH16" s="2545">
        <v>5</v>
      </c>
      <c r="AI16" s="2515">
        <v>1</v>
      </c>
      <c r="AJ16" s="2553" t="e">
        <f>[1]BOD!AC138</f>
        <v>#REF!</v>
      </c>
      <c r="AK16" s="2524" t="e">
        <f>AJ16/O16</f>
        <v>#REF!</v>
      </c>
      <c r="AL16" s="2545" t="e">
        <f>[1]BOD!AC137</f>
        <v>#REF!</v>
      </c>
      <c r="AM16" s="2515">
        <v>2</v>
      </c>
      <c r="AV16" s="2553">
        <v>14</v>
      </c>
      <c r="AW16" s="2512">
        <f t="shared" si="17"/>
        <v>65.333333333333343</v>
      </c>
      <c r="AX16" s="2545">
        <v>5</v>
      </c>
      <c r="AY16" s="2515">
        <v>1</v>
      </c>
    </row>
    <row r="17" spans="1:51">
      <c r="A17" s="1577"/>
      <c r="B17" s="1577" t="s">
        <v>332</v>
      </c>
      <c r="C17" s="1595">
        <v>9</v>
      </c>
      <c r="D17" s="2505">
        <f>[1]BOD!K188</f>
        <v>9</v>
      </c>
      <c r="E17" s="2514">
        <f>D17/C17</f>
        <v>1</v>
      </c>
      <c r="F17" s="2523">
        <f>[1]BOD!K187</f>
        <v>9</v>
      </c>
      <c r="G17" s="2514">
        <f>F17/D17</f>
        <v>1</v>
      </c>
      <c r="H17" s="2505"/>
      <c r="I17" s="2603">
        <f>H17/C17</f>
        <v>0</v>
      </c>
      <c r="J17" s="2523"/>
      <c r="K17" s="2603" t="e">
        <f>J17/H17</f>
        <v>#DIV/0!</v>
      </c>
      <c r="L17" s="2617"/>
      <c r="M17" s="2518">
        <f>L17/C17</f>
        <v>0</v>
      </c>
      <c r="N17" s="2617"/>
      <c r="O17" s="2518" t="e">
        <f>N17/L17</f>
        <v>#DIV/0!</v>
      </c>
      <c r="P17" s="1595">
        <f>[1]BOD!N188</f>
        <v>9</v>
      </c>
      <c r="Q17" s="1601">
        <f>P17/C17</f>
        <v>1</v>
      </c>
      <c r="R17" s="1597">
        <f>[1]BOD!N187</f>
        <v>9</v>
      </c>
      <c r="S17" s="1596">
        <f>R17/P17</f>
        <v>1</v>
      </c>
      <c r="T17" s="2586">
        <f>[1]BOD!O188</f>
        <v>9</v>
      </c>
      <c r="U17" s="2594">
        <f>T17/C17</f>
        <v>1</v>
      </c>
      <c r="V17" s="2592">
        <f>[1]BOD!O187</f>
        <v>9</v>
      </c>
      <c r="W17" s="2590">
        <f>V17/T17</f>
        <v>1</v>
      </c>
      <c r="X17" s="2532">
        <f>[1]BOD!Q188</f>
        <v>9</v>
      </c>
      <c r="Y17" s="2525">
        <f>X17/G17</f>
        <v>9</v>
      </c>
      <c r="Z17" s="2539">
        <f>[1]BOD!Q187</f>
        <v>9</v>
      </c>
      <c r="AA17" s="2516">
        <v>0</v>
      </c>
      <c r="AB17" s="2553">
        <f>BOD!Q215</f>
        <v>9</v>
      </c>
      <c r="AC17" s="2524">
        <f>AB17/C17</f>
        <v>1</v>
      </c>
      <c r="AD17" s="2520">
        <f>BOD!Q214</f>
        <v>9</v>
      </c>
      <c r="AE17" s="2515">
        <f>AD17/AB17</f>
        <v>1</v>
      </c>
      <c r="AF17" s="2553" t="s">
        <v>109</v>
      </c>
      <c r="AG17" s="2512" t="s">
        <v>66</v>
      </c>
      <c r="AH17" s="2520" t="s">
        <v>109</v>
      </c>
      <c r="AI17" s="2515" t="s">
        <v>109</v>
      </c>
      <c r="AJ17" s="2553" t="e">
        <f>BOD!#REF!</f>
        <v>#REF!</v>
      </c>
      <c r="AK17" s="2524" t="e">
        <f>AJ17/K17</f>
        <v>#REF!</v>
      </c>
      <c r="AL17" s="2520" t="e">
        <f>BOD!#REF!</f>
        <v>#REF!</v>
      </c>
      <c r="AM17" s="2515" t="e">
        <f>AL17/AJ17</f>
        <v>#REF!</v>
      </c>
      <c r="AV17" s="2553" t="s">
        <v>109</v>
      </c>
      <c r="AW17" s="2512" t="s">
        <v>66</v>
      </c>
      <c r="AX17" s="2520" t="s">
        <v>109</v>
      </c>
      <c r="AY17" s="2515" t="s">
        <v>109</v>
      </c>
    </row>
    <row r="18" spans="1:51">
      <c r="A18" s="1577"/>
      <c r="B18" s="1577" t="s">
        <v>344</v>
      </c>
      <c r="C18" s="1595">
        <v>27</v>
      </c>
      <c r="D18" s="2505">
        <f>[1]BOD!K172</f>
        <v>26</v>
      </c>
      <c r="E18" s="2514">
        <f>D18/C18</f>
        <v>0.96296296296296291</v>
      </c>
      <c r="F18" s="2523">
        <f>[1]BOD!K171</f>
        <v>17</v>
      </c>
      <c r="G18" s="2514">
        <f>F18/D18</f>
        <v>0.65384615384615385</v>
      </c>
      <c r="H18" s="2505"/>
      <c r="I18" s="2603">
        <f>H18/C18</f>
        <v>0</v>
      </c>
      <c r="J18" s="2523"/>
      <c r="K18" s="2603" t="e">
        <f>J18/H18</f>
        <v>#DIV/0!</v>
      </c>
      <c r="L18" s="2617" t="s">
        <v>336</v>
      </c>
      <c r="M18" s="2617" t="s">
        <v>336</v>
      </c>
      <c r="N18" s="2617" t="s">
        <v>336</v>
      </c>
      <c r="O18" s="2617" t="s">
        <v>336</v>
      </c>
      <c r="P18" s="1598" t="s">
        <v>336</v>
      </c>
      <c r="Q18" s="1598" t="s">
        <v>336</v>
      </c>
      <c r="R18" s="1598" t="s">
        <v>336</v>
      </c>
      <c r="S18" s="1598" t="s">
        <v>336</v>
      </c>
      <c r="T18" s="2586">
        <f>[1]BOD!O172</f>
        <v>25</v>
      </c>
      <c r="U18" s="2594">
        <f>T18/C18</f>
        <v>0.92592592592592593</v>
      </c>
      <c r="V18" s="2592">
        <f>[1]BOD!O171</f>
        <v>11</v>
      </c>
      <c r="W18" s="2590">
        <f>V18/T18</f>
        <v>0.44</v>
      </c>
      <c r="X18" s="2532">
        <f>[1]BOD!S172</f>
        <v>0</v>
      </c>
      <c r="Y18" s="2525">
        <f>X18/G18</f>
        <v>0</v>
      </c>
      <c r="Z18" s="2539">
        <f>[1]BOD!S171</f>
        <v>0</v>
      </c>
      <c r="AA18" s="2516">
        <v>0</v>
      </c>
      <c r="AB18" s="2553">
        <f>BOD!Q199</f>
        <v>24</v>
      </c>
      <c r="AC18" s="2524">
        <f>AB18/C18</f>
        <v>0.88888888888888884</v>
      </c>
      <c r="AD18" s="2520">
        <f>BOD!Q198</f>
        <v>11</v>
      </c>
      <c r="AE18" s="2515">
        <f>AD18/AB18</f>
        <v>0.45833333333333331</v>
      </c>
      <c r="AF18" s="2553" t="s">
        <v>109</v>
      </c>
      <c r="AG18" s="2512" t="s">
        <v>66</v>
      </c>
      <c r="AH18" s="2520" t="s">
        <v>109</v>
      </c>
      <c r="AI18" s="2515" t="s">
        <v>109</v>
      </c>
      <c r="AJ18" s="2553" t="e">
        <f>BOD!#REF!</f>
        <v>#REF!</v>
      </c>
      <c r="AK18" s="2524" t="e">
        <f>AJ18/K18</f>
        <v>#REF!</v>
      </c>
      <c r="AL18" s="2520" t="e">
        <f>BOD!#REF!</f>
        <v>#REF!</v>
      </c>
      <c r="AM18" s="2515" t="e">
        <f>AL18/AJ18</f>
        <v>#REF!</v>
      </c>
      <c r="AV18" s="2553" t="s">
        <v>109</v>
      </c>
      <c r="AW18" s="2512" t="s">
        <v>66</v>
      </c>
      <c r="AX18" s="2520" t="s">
        <v>109</v>
      </c>
      <c r="AY18" s="2515" t="s">
        <v>109</v>
      </c>
    </row>
    <row r="19" spans="1:51">
      <c r="A19" s="1577"/>
      <c r="B19" s="1577"/>
      <c r="C19" s="1595"/>
      <c r="D19" s="2505"/>
      <c r="E19" s="2505"/>
      <c r="F19" s="2505"/>
      <c r="G19" s="2505"/>
      <c r="H19" s="2505"/>
      <c r="I19" s="2505"/>
      <c r="J19" s="2505"/>
      <c r="K19" s="2505"/>
      <c r="L19" s="2615"/>
      <c r="M19" s="2518"/>
      <c r="N19" s="2615"/>
      <c r="O19" s="2518"/>
      <c r="P19" s="1595"/>
      <c r="Q19" s="1595"/>
      <c r="R19" s="1595"/>
      <c r="S19" s="1595"/>
      <c r="T19" s="2586"/>
      <c r="U19" s="2586"/>
      <c r="V19" s="2586"/>
      <c r="W19" s="2587"/>
      <c r="X19" s="2532"/>
      <c r="Y19" s="2533"/>
      <c r="Z19" s="2533"/>
      <c r="AA19" s="2533"/>
      <c r="AB19" s="2553"/>
      <c r="AC19" s="2507"/>
      <c r="AD19" s="2545"/>
      <c r="AE19" s="2507"/>
      <c r="AF19" s="2553"/>
      <c r="AG19" s="2512"/>
      <c r="AH19" s="2545"/>
      <c r="AI19" s="2507"/>
      <c r="AJ19" s="2553"/>
      <c r="AK19" s="2507"/>
      <c r="AL19" s="2545"/>
      <c r="AM19" s="2507"/>
      <c r="AV19" s="2553"/>
      <c r="AW19" s="2512"/>
      <c r="AX19" s="2545"/>
      <c r="AY19" s="2507"/>
    </row>
    <row r="20" spans="1:51" s="4" customFormat="1">
      <c r="A20" s="1103" t="s">
        <v>337</v>
      </c>
      <c r="B20" s="1103"/>
      <c r="C20" s="1594">
        <f>SUM(C21:C23)</f>
        <v>117</v>
      </c>
      <c r="D20" s="2510">
        <f>SUM(D21:D23)</f>
        <v>108</v>
      </c>
      <c r="E20" s="2511">
        <f>D20/C20</f>
        <v>0.92307692307692313</v>
      </c>
      <c r="F20" s="2510">
        <f>SUM(F21:F23)</f>
        <v>100</v>
      </c>
      <c r="G20" s="2511">
        <f>F20/D20</f>
        <v>0.92592592592592593</v>
      </c>
      <c r="H20" s="2510">
        <f>SUM(H21:H23)</f>
        <v>104</v>
      </c>
      <c r="I20" s="2601">
        <f>H20/C20</f>
        <v>0.88888888888888884</v>
      </c>
      <c r="J20" s="2510">
        <f>SUM(J21:J23)</f>
        <v>83</v>
      </c>
      <c r="K20" s="2601">
        <f>J20/H20</f>
        <v>0.79807692307692313</v>
      </c>
      <c r="L20" s="2613">
        <f>SUM(L21:L23)</f>
        <v>113</v>
      </c>
      <c r="M20" s="2614">
        <f>L20/C20</f>
        <v>0.96581196581196582</v>
      </c>
      <c r="N20" s="2613">
        <f>SUM(N21:N23)</f>
        <v>95</v>
      </c>
      <c r="O20" s="2614">
        <f>N20/L20</f>
        <v>0.84070796460176989</v>
      </c>
      <c r="P20" s="1594">
        <f>SUM(P21:P23)</f>
        <v>113</v>
      </c>
      <c r="Q20" s="1105">
        <f>P20/C20</f>
        <v>0.96581196581196582</v>
      </c>
      <c r="R20" s="1594">
        <f>SUM(R21:R23)</f>
        <v>85</v>
      </c>
      <c r="S20" s="1105">
        <f>R20/P20</f>
        <v>0.75221238938053092</v>
      </c>
      <c r="T20" s="2588">
        <f>SUM(T21:T23)</f>
        <v>78</v>
      </c>
      <c r="U20" s="2511">
        <f>T20/C20</f>
        <v>0.66666666666666663</v>
      </c>
      <c r="V20" s="2588">
        <f>SUM(V21:V23)</f>
        <v>68</v>
      </c>
      <c r="W20" s="2589">
        <f>V20/T20</f>
        <v>0.87179487179487181</v>
      </c>
      <c r="X20" s="2534">
        <f>SUM(X21:X23)</f>
        <v>94</v>
      </c>
      <c r="Y20" s="2513">
        <f>X20/C20</f>
        <v>0.80341880341880345</v>
      </c>
      <c r="Z20" s="2535">
        <f>SUM(Z21:Z23)</f>
        <v>76</v>
      </c>
      <c r="AA20" s="2513">
        <f>Z20/X20</f>
        <v>0.80851063829787229</v>
      </c>
      <c r="AB20" s="2576">
        <f>SUM(AB21:AB23)</f>
        <v>85</v>
      </c>
      <c r="AC20" s="2512">
        <f>AB20/C20</f>
        <v>0.72649572649572647</v>
      </c>
      <c r="AD20" s="2578">
        <f>SUM(AD21:AD23)</f>
        <v>66</v>
      </c>
      <c r="AE20" s="2512">
        <f>AD20/AB20</f>
        <v>0.77647058823529413</v>
      </c>
      <c r="AF20" s="2576">
        <f>SUM(AF21:AF23)</f>
        <v>93</v>
      </c>
      <c r="AG20" s="2512">
        <f t="shared" si="13"/>
        <v>0.79487179487179482</v>
      </c>
      <c r="AH20" s="2578">
        <f>SUM(AH21:AH23)</f>
        <v>74</v>
      </c>
      <c r="AI20" s="2512">
        <f>AH20/AF20</f>
        <v>0.79569892473118276</v>
      </c>
      <c r="AJ20" s="2576" t="e">
        <f>SUM(AJ21:AJ23)</f>
        <v>#REF!</v>
      </c>
      <c r="AK20" s="2512" t="e">
        <f>AJ20/K20</f>
        <v>#REF!</v>
      </c>
      <c r="AL20" s="2578" t="e">
        <f>SUM(AL21:AL23)</f>
        <v>#REF!</v>
      </c>
      <c r="AM20" s="2512" t="e">
        <f>AL20/AJ20</f>
        <v>#REF!</v>
      </c>
      <c r="AV20" s="2576">
        <f>SUM(AV21:AV23)</f>
        <v>93</v>
      </c>
      <c r="AW20" s="2512">
        <f t="shared" ref="AW20:AW21" si="18">AV20/S20</f>
        <v>123.63529411764706</v>
      </c>
      <c r="AX20" s="2578">
        <f>SUM(AX21:AX23)</f>
        <v>74</v>
      </c>
      <c r="AY20" s="2512">
        <f>AX20/AV20</f>
        <v>0.79569892473118276</v>
      </c>
    </row>
    <row r="21" spans="1:51">
      <c r="A21" s="1577"/>
      <c r="B21" s="1577" t="s">
        <v>330</v>
      </c>
      <c r="C21" s="1597">
        <f>[1]TSS!D117</f>
        <v>84</v>
      </c>
      <c r="D21" s="2523">
        <f>[1]TSS!K115</f>
        <v>79</v>
      </c>
      <c r="E21" s="2514">
        <f>D21/C21</f>
        <v>0.94047619047619047</v>
      </c>
      <c r="F21" s="2523">
        <f>[1]TSS!K114</f>
        <v>78</v>
      </c>
      <c r="G21" s="2514">
        <f>F21/D21</f>
        <v>0.98734177215189878</v>
      </c>
      <c r="H21" s="2523">
        <f>[1]TSS!L115</f>
        <v>80</v>
      </c>
      <c r="I21" s="2603">
        <f>H21/C21</f>
        <v>0.95238095238095233</v>
      </c>
      <c r="J21" s="2523">
        <f>[1]TSS!L114</f>
        <v>64</v>
      </c>
      <c r="K21" s="2603">
        <f>J21/H21</f>
        <v>0.8</v>
      </c>
      <c r="L21" s="2616">
        <f>[1]TSS!M115</f>
        <v>84</v>
      </c>
      <c r="M21" s="2518">
        <f>L21/C21</f>
        <v>1</v>
      </c>
      <c r="N21" s="2616">
        <f>[1]TSS!M114</f>
        <v>72</v>
      </c>
      <c r="O21" s="2518">
        <f>N21/L21</f>
        <v>0.8571428571428571</v>
      </c>
      <c r="P21" s="1597">
        <f>[1]TSS!N115</f>
        <v>84</v>
      </c>
      <c r="Q21" s="1601">
        <f>P21/C21</f>
        <v>1</v>
      </c>
      <c r="R21" s="1597">
        <f>[1]TSS!N114</f>
        <v>63</v>
      </c>
      <c r="S21" s="1596">
        <f>R21/P21</f>
        <v>0.75</v>
      </c>
      <c r="T21" s="2592">
        <f>[1]TSS!O115</f>
        <v>78</v>
      </c>
      <c r="U21" s="2514">
        <f>T21/C21</f>
        <v>0.9285714285714286</v>
      </c>
      <c r="V21" s="2592">
        <f>[1]TSS!O114</f>
        <v>68</v>
      </c>
      <c r="W21" s="2590">
        <f>V21/T21</f>
        <v>0.87179487179487181</v>
      </c>
      <c r="X21" s="2540">
        <f>[1]TSS!Q115</f>
        <v>79</v>
      </c>
      <c r="Y21" s="2516">
        <f>X21/C21</f>
        <v>0.94047619047619047</v>
      </c>
      <c r="Z21" s="2539">
        <f>[1]TSS!Q114</f>
        <v>66</v>
      </c>
      <c r="AA21" s="2516">
        <f>Z21/X21</f>
        <v>0.83544303797468356</v>
      </c>
      <c r="AB21" s="2553">
        <f>TSS!Q131</f>
        <v>70</v>
      </c>
      <c r="AC21" s="2515">
        <f>AB21/C21</f>
        <v>0.83333333333333337</v>
      </c>
      <c r="AD21" s="2545">
        <f>TSS!Q130</f>
        <v>58</v>
      </c>
      <c r="AE21" s="2515">
        <f>AD21/AB21</f>
        <v>0.82857142857142863</v>
      </c>
      <c r="AF21" s="2553">
        <v>79</v>
      </c>
      <c r="AG21" s="2512">
        <f t="shared" si="13"/>
        <v>0.94047619047619047</v>
      </c>
      <c r="AH21" s="2545">
        <v>65</v>
      </c>
      <c r="AI21" s="2512">
        <f>AH21/AF21</f>
        <v>0.82278481012658233</v>
      </c>
      <c r="AJ21" s="2553">
        <f>TSS!AC115</f>
        <v>0</v>
      </c>
      <c r="AK21" s="2515">
        <f>AJ21/K21</f>
        <v>0</v>
      </c>
      <c r="AL21" s="2545">
        <f>TSS!AC114</f>
        <v>0</v>
      </c>
      <c r="AM21" s="2515" t="e">
        <f>AL21/AJ21</f>
        <v>#DIV/0!</v>
      </c>
      <c r="AV21" s="2553">
        <v>79</v>
      </c>
      <c r="AW21" s="2512">
        <f t="shared" si="18"/>
        <v>105.33333333333333</v>
      </c>
      <c r="AX21" s="2545">
        <v>65</v>
      </c>
      <c r="AY21" s="2512">
        <f>AX21/AV21</f>
        <v>0.82278481012658233</v>
      </c>
    </row>
    <row r="22" spans="1:51">
      <c r="A22" s="1577"/>
      <c r="B22" s="1577" t="s">
        <v>331</v>
      </c>
      <c r="C22" s="1597">
        <f>'[1]Bathing Beaches DO,pH'!C171</f>
        <v>19</v>
      </c>
      <c r="D22" s="2523">
        <f>'[1]Bathing Beaches DO,pH'!J168</f>
        <v>15</v>
      </c>
      <c r="E22" s="2514">
        <f>D22/C22</f>
        <v>0.78947368421052633</v>
      </c>
      <c r="F22" s="2523">
        <f>'[1]Bathing Beaches DO,pH'!J167</f>
        <v>8</v>
      </c>
      <c r="G22" s="2514">
        <f>F22/D22</f>
        <v>0.53333333333333333</v>
      </c>
      <c r="H22" s="2523">
        <f>'[1]Bathing Beaches DO,pH'!K163</f>
        <v>10</v>
      </c>
      <c r="I22" s="2603">
        <f>H22/C22</f>
        <v>0.52631578947368418</v>
      </c>
      <c r="J22" s="2523">
        <f>'[1]Bathing Beaches DO,pH'!K167</f>
        <v>7</v>
      </c>
      <c r="K22" s="2603">
        <f>J22/H22</f>
        <v>0.7</v>
      </c>
      <c r="L22" s="2616">
        <f>'[1]Bathing Beaches DO,pH'!L168</f>
        <v>15</v>
      </c>
      <c r="M22" s="2518">
        <f>L22/C22</f>
        <v>0.78947368421052633</v>
      </c>
      <c r="N22" s="2616">
        <f>'[1]Bathing Beaches DO,pH'!L167</f>
        <v>10</v>
      </c>
      <c r="O22" s="2518">
        <f>N22/L22</f>
        <v>0.66666666666666663</v>
      </c>
      <c r="P22" s="1597">
        <f>'[1]Bathing Beaches DO,pH'!M168</f>
        <v>15</v>
      </c>
      <c r="Q22" s="1601">
        <f>P22/C22</f>
        <v>0.78947368421052633</v>
      </c>
      <c r="R22" s="1597">
        <f>'[1]Bathing Beaches DO,pH'!M167</f>
        <v>8</v>
      </c>
      <c r="S22" s="1596">
        <f>R22/P22</f>
        <v>0.53333333333333333</v>
      </c>
      <c r="T22" s="2505" t="s">
        <v>336</v>
      </c>
      <c r="U22" s="2505" t="s">
        <v>336</v>
      </c>
      <c r="V22" s="2505" t="s">
        <v>336</v>
      </c>
      <c r="W22" s="2590" t="s">
        <v>336</v>
      </c>
      <c r="X22" s="2536">
        <f>'[1]Bathing Beaches DO,pH'!P168</f>
        <v>15</v>
      </c>
      <c r="Y22" s="2518">
        <f>X22/C22</f>
        <v>0.78947368421052633</v>
      </c>
      <c r="Z22" s="2537">
        <f>'[1]Bathing Beaches DO,pH'!P167</f>
        <v>10</v>
      </c>
      <c r="AA22" s="2516">
        <f>Z22/X22</f>
        <v>0.66666666666666663</v>
      </c>
      <c r="AB22" s="2554">
        <f>'Bathing Beaches DO,pH'!Q168</f>
        <v>15</v>
      </c>
      <c r="AC22" s="2538">
        <f>AB22/C22</f>
        <v>0.78947368421052633</v>
      </c>
      <c r="AD22" s="2546">
        <f>'Bathing Beaches DO,pH'!Q167</f>
        <v>8</v>
      </c>
      <c r="AE22" s="2515">
        <f>AD22/AB22</f>
        <v>0.53333333333333333</v>
      </c>
      <c r="AF22" s="2554" t="s">
        <v>66</v>
      </c>
      <c r="AG22" s="2512" t="s">
        <v>66</v>
      </c>
      <c r="AH22" s="2546" t="s">
        <v>109</v>
      </c>
      <c r="AI22" s="2512" t="s">
        <v>66</v>
      </c>
      <c r="AJ22" s="2554">
        <f>'Bathing Beaches DO,pH'!AC168</f>
        <v>0</v>
      </c>
      <c r="AK22" s="2538">
        <f>AJ22/K22</f>
        <v>0</v>
      </c>
      <c r="AL22" s="2546">
        <f>'Bathing Beaches DO,pH'!AC167</f>
        <v>0</v>
      </c>
      <c r="AM22" s="2515" t="e">
        <f>AL22/AJ22</f>
        <v>#DIV/0!</v>
      </c>
      <c r="AV22" s="2554" t="s">
        <v>66</v>
      </c>
      <c r="AW22" s="2512" t="s">
        <v>66</v>
      </c>
      <c r="AX22" s="2546" t="s">
        <v>109</v>
      </c>
      <c r="AY22" s="2512" t="s">
        <v>66</v>
      </c>
    </row>
    <row r="23" spans="1:51">
      <c r="A23" s="1577"/>
      <c r="B23" s="1577" t="s">
        <v>111</v>
      </c>
      <c r="C23" s="1597">
        <f>[1]TSS!D140</f>
        <v>14</v>
      </c>
      <c r="D23" s="2523">
        <f>[1]TSS!K138</f>
        <v>14</v>
      </c>
      <c r="E23" s="2514">
        <f>D23/C23</f>
        <v>1</v>
      </c>
      <c r="F23" s="2523">
        <f>[1]TSS!K137</f>
        <v>14</v>
      </c>
      <c r="G23" s="2514">
        <f>F23/D23</f>
        <v>1</v>
      </c>
      <c r="H23" s="2523">
        <f>[1]TSS!L138</f>
        <v>14</v>
      </c>
      <c r="I23" s="2603">
        <f>H23/C23</f>
        <v>1</v>
      </c>
      <c r="J23" s="2523">
        <f>[1]TSS!L137</f>
        <v>12</v>
      </c>
      <c r="K23" s="2603">
        <f>J23/H23</f>
        <v>0.8571428571428571</v>
      </c>
      <c r="L23" s="2615">
        <f>[1]TSS!M138</f>
        <v>14</v>
      </c>
      <c r="M23" s="2518">
        <f>L23/C23</f>
        <v>1</v>
      </c>
      <c r="N23" s="2616">
        <f>[1]TSS!M137</f>
        <v>13</v>
      </c>
      <c r="O23" s="2518">
        <f>N23/L23</f>
        <v>0.9285714285714286</v>
      </c>
      <c r="P23" s="1595">
        <f>[1]TSS!N138</f>
        <v>14</v>
      </c>
      <c r="Q23" s="1601">
        <f>P23/C23</f>
        <v>1</v>
      </c>
      <c r="R23" s="1597">
        <f>[1]TSS!N137</f>
        <v>14</v>
      </c>
      <c r="S23" s="1596">
        <f>R23/P23</f>
        <v>1</v>
      </c>
      <c r="T23" s="2505" t="s">
        <v>336</v>
      </c>
      <c r="U23" s="2505" t="s">
        <v>336</v>
      </c>
      <c r="V23" s="2505" t="s">
        <v>336</v>
      </c>
      <c r="W23" s="2591" t="s">
        <v>336</v>
      </c>
      <c r="X23" s="2536">
        <f>[1]TSS!Q138</f>
        <v>0</v>
      </c>
      <c r="Y23" s="2525">
        <f>X23/G23</f>
        <v>0</v>
      </c>
      <c r="Z23" s="2526">
        <f>[1]TSS!Q137</f>
        <v>0</v>
      </c>
      <c r="AA23" s="2525">
        <f>Z23/I23</f>
        <v>0</v>
      </c>
      <c r="AB23" s="2554">
        <f>[1]TSS!U138</f>
        <v>0</v>
      </c>
      <c r="AC23" s="2524">
        <f>AB23/K23</f>
        <v>0</v>
      </c>
      <c r="AD23" s="2541">
        <f>[1]TSS!U137</f>
        <v>0</v>
      </c>
      <c r="AE23" s="2524">
        <f>AD23/M23</f>
        <v>0</v>
      </c>
      <c r="AF23" s="2554">
        <v>14</v>
      </c>
      <c r="AG23" s="2512">
        <f t="shared" si="13"/>
        <v>1</v>
      </c>
      <c r="AH23" s="2541">
        <v>9</v>
      </c>
      <c r="AI23" s="2512">
        <f>AH23/AF23</f>
        <v>0.6428571428571429</v>
      </c>
      <c r="AJ23" s="2554" t="e">
        <f>[1]TSS!AC138</f>
        <v>#REF!</v>
      </c>
      <c r="AK23" s="2524" t="e">
        <f>AJ23/S23</f>
        <v>#REF!</v>
      </c>
      <c r="AL23" s="2541" t="e">
        <f>[1]TSS!AC137</f>
        <v>#REF!</v>
      </c>
      <c r="AM23" s="2524" t="e">
        <f>AL23/U23</f>
        <v>#REF!</v>
      </c>
      <c r="AV23" s="2554">
        <v>14</v>
      </c>
      <c r="AW23" s="2512">
        <f t="shared" ref="AW23" si="19">AV23/S23</f>
        <v>14</v>
      </c>
      <c r="AX23" s="2541">
        <v>9</v>
      </c>
      <c r="AY23" s="2512">
        <f>AX23/AV23</f>
        <v>0.6428571428571429</v>
      </c>
    </row>
    <row r="24" spans="1:51">
      <c r="A24" s="1577"/>
      <c r="B24" s="1577"/>
      <c r="C24" s="1595"/>
      <c r="D24" s="2505"/>
      <c r="E24" s="2505"/>
      <c r="F24" s="2505"/>
      <c r="G24" s="2505"/>
      <c r="H24" s="2505"/>
      <c r="I24" s="2505"/>
      <c r="J24" s="2505"/>
      <c r="K24" s="2505"/>
      <c r="L24" s="2615"/>
      <c r="M24" s="2518"/>
      <c r="N24" s="2615"/>
      <c r="O24" s="2518"/>
      <c r="P24" s="1595"/>
      <c r="Q24" s="1595"/>
      <c r="R24" s="1595"/>
      <c r="S24" s="1595"/>
      <c r="T24" s="2586"/>
      <c r="U24" s="2586"/>
      <c r="V24" s="2586"/>
      <c r="W24" s="2587"/>
      <c r="X24" s="2532"/>
      <c r="Y24" s="2533"/>
      <c r="Z24" s="2533"/>
      <c r="AA24" s="2533"/>
      <c r="AB24" s="2553"/>
      <c r="AC24" s="2507"/>
      <c r="AD24" s="2545"/>
      <c r="AE24" s="2507"/>
      <c r="AF24" s="2553"/>
      <c r="AG24" s="2512"/>
      <c r="AH24" s="2545"/>
      <c r="AI24" s="2507"/>
      <c r="AJ24" s="2553"/>
      <c r="AK24" s="2507"/>
      <c r="AL24" s="2545"/>
      <c r="AM24" s="2507"/>
      <c r="AV24" s="2553"/>
      <c r="AW24" s="2512"/>
      <c r="AX24" s="2545"/>
      <c r="AY24" s="2507"/>
    </row>
    <row r="25" spans="1:51" s="4" customFormat="1">
      <c r="A25" s="1103" t="s">
        <v>199</v>
      </c>
      <c r="B25" s="1103"/>
      <c r="C25" s="1594">
        <f>SUM(C26:C31)</f>
        <v>162</v>
      </c>
      <c r="D25" s="2510">
        <f>SUM(D26:D31)</f>
        <v>156</v>
      </c>
      <c r="E25" s="2511">
        <f>D25/E26</f>
        <v>165.87341772151899</v>
      </c>
      <c r="F25" s="2510">
        <f>SUM(F26:F31)</f>
        <v>121</v>
      </c>
      <c r="G25" s="2511">
        <f t="shared" ref="G25:G31" si="20">F25/D25</f>
        <v>0.77564102564102566</v>
      </c>
      <c r="H25" s="2510">
        <f>SUM(H26:H31)</f>
        <v>130</v>
      </c>
      <c r="I25" s="2605">
        <f>H25/C25</f>
        <v>0.80246913580246915</v>
      </c>
      <c r="J25" s="2510">
        <f>SUM(J26:J31)</f>
        <v>103</v>
      </c>
      <c r="K25" s="2606">
        <f>J25/H25</f>
        <v>0.79230769230769227</v>
      </c>
      <c r="L25" s="2613">
        <f>SUM(L26:L28)</f>
        <v>87</v>
      </c>
      <c r="M25" s="2614">
        <f t="shared" ref="M25:M30" si="21">L25/C25</f>
        <v>0.53703703703703709</v>
      </c>
      <c r="N25" s="2613">
        <f>SUM(N26:N30)</f>
        <v>87</v>
      </c>
      <c r="O25" s="2614">
        <f t="shared" ref="O25:O30" si="22">N25/L25</f>
        <v>1</v>
      </c>
      <c r="P25" s="1594">
        <f>SUM(P26:P30)</f>
        <v>132</v>
      </c>
      <c r="Q25" s="1105">
        <f t="shared" ref="Q25:Q30" si="23">P25/C25</f>
        <v>0.81481481481481477</v>
      </c>
      <c r="R25" s="1594">
        <f>SUM(R26:R30)</f>
        <v>103</v>
      </c>
      <c r="S25" s="1105">
        <f t="shared" ref="S25:S30" si="24">R25/P25</f>
        <v>0.78030303030303028</v>
      </c>
      <c r="T25" s="2595">
        <f>SUM(T26:T31)</f>
        <v>92</v>
      </c>
      <c r="U25" s="2511">
        <f>T25/C25</f>
        <v>0.5679012345679012</v>
      </c>
      <c r="V25" s="2588">
        <f>SUM(V26:V31)</f>
        <v>86</v>
      </c>
      <c r="W25" s="2589">
        <f>V25/T25</f>
        <v>0.93478260869565222</v>
      </c>
      <c r="X25" s="2542">
        <f>SUM(X26:X31)</f>
        <v>107</v>
      </c>
      <c r="Y25" s="2513">
        <f>X25/C25</f>
        <v>0.66049382716049387</v>
      </c>
      <c r="Z25" s="2535">
        <f>SUM(Z26:Z31)</f>
        <v>117</v>
      </c>
      <c r="AA25" s="2513">
        <f>Z25/X25</f>
        <v>1.0934579439252337</v>
      </c>
      <c r="AB25" s="2577">
        <f>SUM(AB26:AB31)</f>
        <v>146</v>
      </c>
      <c r="AC25" s="2512">
        <f>AB25/C25</f>
        <v>0.90123456790123457</v>
      </c>
      <c r="AD25" s="2578">
        <f>SUM(AD26:AD31)</f>
        <v>112</v>
      </c>
      <c r="AE25" s="2512">
        <f>AD25/AB25</f>
        <v>0.76712328767123283</v>
      </c>
      <c r="AF25" s="2577">
        <f>SUM(AF26:AF31)</f>
        <v>146</v>
      </c>
      <c r="AG25" s="2512">
        <f t="shared" si="13"/>
        <v>0.90123456790123457</v>
      </c>
      <c r="AH25" s="2578">
        <f>SUM(AH26:AH31)</f>
        <v>134</v>
      </c>
      <c r="AI25" s="2512">
        <f>AH25/AF25</f>
        <v>0.9178082191780822</v>
      </c>
      <c r="AJ25" s="2577" t="e">
        <f>SUM(AJ26:AJ31)</f>
        <v>#REF!</v>
      </c>
      <c r="AK25" s="2512" t="e">
        <f>AJ25/K25</f>
        <v>#REF!</v>
      </c>
      <c r="AL25" s="2578" t="e">
        <f>SUM(AL26:AL31)</f>
        <v>#REF!</v>
      </c>
      <c r="AM25" s="2512" t="e">
        <f>AL25/AJ25</f>
        <v>#REF!</v>
      </c>
      <c r="AV25" s="2577">
        <f>SUM(AV26:AV31)</f>
        <v>146</v>
      </c>
      <c r="AW25" s="2512">
        <f t="shared" ref="AW25:AW31" si="25">AV25/S25</f>
        <v>187.10679611650485</v>
      </c>
      <c r="AX25" s="2578">
        <f>SUM(AX26:AX31)</f>
        <v>134</v>
      </c>
      <c r="AY25" s="2512">
        <f>AX25/AV25</f>
        <v>0.9178082191780822</v>
      </c>
    </row>
    <row r="26" spans="1:51">
      <c r="A26" s="1577"/>
      <c r="B26" s="1577" t="s">
        <v>330</v>
      </c>
      <c r="C26" s="1595">
        <f>[1]pH!B45+[1]pH!B77+[1]pH!B106</f>
        <v>84</v>
      </c>
      <c r="D26" s="2523">
        <f>[1]pH!K112</f>
        <v>79</v>
      </c>
      <c r="E26" s="2514">
        <f t="shared" ref="E26:E31" si="26">D26/C26</f>
        <v>0.94047619047619047</v>
      </c>
      <c r="F26" s="2523">
        <f>[1]pH!K111</f>
        <v>65</v>
      </c>
      <c r="G26" s="2514">
        <f t="shared" si="20"/>
        <v>0.82278481012658233</v>
      </c>
      <c r="H26" s="2523">
        <f>[1]pH!L112</f>
        <v>61</v>
      </c>
      <c r="I26" s="2603">
        <f t="shared" ref="I26:I31" si="27">H26/C26</f>
        <v>0.72619047619047616</v>
      </c>
      <c r="J26" s="2523">
        <f>[1]pH!L111</f>
        <v>45</v>
      </c>
      <c r="K26" s="2603">
        <f t="shared" ref="K26:K31" si="28">J26/H26</f>
        <v>0.73770491803278693</v>
      </c>
      <c r="L26" s="2616">
        <f>[1]pH!M112</f>
        <v>64</v>
      </c>
      <c r="M26" s="2518">
        <f t="shared" si="21"/>
        <v>0.76190476190476186</v>
      </c>
      <c r="N26" s="2616">
        <f>[1]pH!M111</f>
        <v>58</v>
      </c>
      <c r="O26" s="2518">
        <f t="shared" si="22"/>
        <v>0.90625</v>
      </c>
      <c r="P26" s="1597">
        <f>[1]pH!N112</f>
        <v>84</v>
      </c>
      <c r="Q26" s="1601">
        <f t="shared" si="23"/>
        <v>1</v>
      </c>
      <c r="R26" s="1597">
        <f>[1]pH!N111</f>
        <v>71</v>
      </c>
      <c r="S26" s="1596">
        <f t="shared" si="24"/>
        <v>0.84523809523809523</v>
      </c>
      <c r="T26" s="2596">
        <f>[1]pH!O112</f>
        <v>79</v>
      </c>
      <c r="U26" s="2514">
        <f>T26/C26</f>
        <v>0.94047619047619047</v>
      </c>
      <c r="V26" s="2592">
        <f>[1]pH!O111</f>
        <v>74</v>
      </c>
      <c r="W26" s="2590">
        <f>V26/T26</f>
        <v>0.93670886075949367</v>
      </c>
      <c r="X26" s="2543">
        <f>[1]pH!Q112</f>
        <v>79</v>
      </c>
      <c r="Y26" s="2516">
        <f>X26/C26</f>
        <v>0.94047619047619047</v>
      </c>
      <c r="Z26" s="2539">
        <f>[1]pH!Q111</f>
        <v>73</v>
      </c>
      <c r="AA26" s="2516">
        <f>Z26/X26</f>
        <v>0.92405063291139244</v>
      </c>
      <c r="AB26" s="2544">
        <f>pH!Q129</f>
        <v>79</v>
      </c>
      <c r="AC26" s="2515">
        <f>AB26/C26</f>
        <v>0.94047619047619047</v>
      </c>
      <c r="AD26" s="2545">
        <f>pH!Q128</f>
        <v>78</v>
      </c>
      <c r="AE26" s="2515">
        <f>AD26/AB26</f>
        <v>0.98734177215189878</v>
      </c>
      <c r="AF26" s="2544">
        <v>79</v>
      </c>
      <c r="AG26" s="2512">
        <f t="shared" si="13"/>
        <v>0.94047619047619047</v>
      </c>
      <c r="AH26" s="2545">
        <v>73</v>
      </c>
      <c r="AI26" s="2515">
        <f>AH26/AF26</f>
        <v>0.92405063291139244</v>
      </c>
      <c r="AJ26" s="2544">
        <f>pH!AC113</f>
        <v>0</v>
      </c>
      <c r="AK26" s="2515">
        <f>AJ26/K26</f>
        <v>0</v>
      </c>
      <c r="AL26" s="2545">
        <f>pH!AC112</f>
        <v>0</v>
      </c>
      <c r="AM26" s="2515" t="e">
        <f>AL26/AJ26</f>
        <v>#DIV/0!</v>
      </c>
      <c r="AV26" s="2544">
        <v>79</v>
      </c>
      <c r="AW26" s="2512">
        <f t="shared" si="25"/>
        <v>93.464788732394368</v>
      </c>
      <c r="AX26" s="2545">
        <v>73</v>
      </c>
      <c r="AY26" s="2515">
        <f>AX26/AV26</f>
        <v>0.92405063291139244</v>
      </c>
    </row>
    <row r="27" spans="1:51">
      <c r="A27" s="1577"/>
      <c r="B27" s="1577" t="s">
        <v>331</v>
      </c>
      <c r="C27" s="1597">
        <v>19</v>
      </c>
      <c r="D27" s="2523">
        <f>'[1]Bathing Beaches DO,pH'!J115</f>
        <v>19</v>
      </c>
      <c r="E27" s="2514">
        <f t="shared" si="26"/>
        <v>1</v>
      </c>
      <c r="F27" s="2523">
        <f>'[1]Bathing Beaches DO,pH'!J114</f>
        <v>16</v>
      </c>
      <c r="G27" s="2514">
        <f t="shared" si="20"/>
        <v>0.84210526315789469</v>
      </c>
      <c r="H27" s="2523">
        <f>'[1]Bathing Beaches DO,pH'!K115</f>
        <v>14</v>
      </c>
      <c r="I27" s="2603">
        <f t="shared" si="27"/>
        <v>0.73684210526315785</v>
      </c>
      <c r="J27" s="2523">
        <f>'[1]Bathing Beaches DO,pH'!K114</f>
        <v>12</v>
      </c>
      <c r="K27" s="2603">
        <f t="shared" si="28"/>
        <v>0.8571428571428571</v>
      </c>
      <c r="L27" s="2616">
        <f>'[1]Bathing Beaches DO,pH'!L115</f>
        <v>14</v>
      </c>
      <c r="M27" s="2518">
        <f t="shared" si="21"/>
        <v>0.73684210526315785</v>
      </c>
      <c r="N27" s="2616">
        <f>'[1]Bathing Beaches DO,pH'!L114</f>
        <v>14</v>
      </c>
      <c r="O27" s="2548">
        <f t="shared" si="22"/>
        <v>1</v>
      </c>
      <c r="P27" s="1597">
        <f>'[1]Bathing Beaches DO,pH'!M115</f>
        <v>19</v>
      </c>
      <c r="Q27" s="1601">
        <f t="shared" si="23"/>
        <v>1</v>
      </c>
      <c r="R27" s="1597">
        <f>'[1]Bathing Beaches DO,pH'!M114</f>
        <v>14</v>
      </c>
      <c r="S27" s="1596">
        <f t="shared" si="24"/>
        <v>0.73684210526315785</v>
      </c>
      <c r="T27" s="2597">
        <f>'[1]Bathing Beaches DO,pH'!N115</f>
        <v>13</v>
      </c>
      <c r="U27" s="2514">
        <f>T27/C27</f>
        <v>0.68421052631578949</v>
      </c>
      <c r="V27" s="2598">
        <f>'[1]Bathing Beaches DO,pH'!N114</f>
        <v>12</v>
      </c>
      <c r="W27" s="2590">
        <f>V27/T27</f>
        <v>0.92307692307692313</v>
      </c>
      <c r="X27" s="2527">
        <f>'[1]Bathing Beaches DO,pH'!P115</f>
        <v>19</v>
      </c>
      <c r="Y27" s="2516">
        <f>X27/C27</f>
        <v>1</v>
      </c>
      <c r="Z27" s="2509">
        <f>'[1]Bathing Beaches DO,pH'!P114</f>
        <v>19</v>
      </c>
      <c r="AA27" s="2516">
        <f>Z27/X27</f>
        <v>1</v>
      </c>
      <c r="AB27" s="2544">
        <f>'Bathing Beaches DO,pH'!Q115</f>
        <v>20</v>
      </c>
      <c r="AC27" s="2515">
        <f>AB27/C27</f>
        <v>1.0526315789473684</v>
      </c>
      <c r="AD27" s="2545">
        <f>'Bathing Beaches DO,pH'!Q114</f>
        <v>20</v>
      </c>
      <c r="AE27" s="2515">
        <f>AD27/AB27</f>
        <v>1</v>
      </c>
      <c r="AF27" s="2544">
        <v>14</v>
      </c>
      <c r="AG27" s="2512">
        <f t="shared" si="13"/>
        <v>0.73684210526315785</v>
      </c>
      <c r="AH27" s="2545">
        <v>14</v>
      </c>
      <c r="AI27" s="2515">
        <f>AH27/AF27</f>
        <v>1</v>
      </c>
      <c r="AJ27" s="2544">
        <f>'Bathing Beaches DO,pH'!AC115</f>
        <v>1</v>
      </c>
      <c r="AK27" s="2515">
        <f>AJ27/K27</f>
        <v>1.1666666666666667</v>
      </c>
      <c r="AL27" s="2545">
        <f>'Bathing Beaches DO,pH'!AC114</f>
        <v>1</v>
      </c>
      <c r="AM27" s="2515">
        <f>AL27/AJ27</f>
        <v>1</v>
      </c>
      <c r="AV27" s="2544">
        <v>14</v>
      </c>
      <c r="AW27" s="2512">
        <f t="shared" si="25"/>
        <v>19</v>
      </c>
      <c r="AX27" s="2545">
        <v>14</v>
      </c>
      <c r="AY27" s="2515">
        <f>AX27/AV27</f>
        <v>1</v>
      </c>
    </row>
    <row r="28" spans="1:51">
      <c r="A28" s="1577"/>
      <c r="B28" s="1577" t="s">
        <v>333</v>
      </c>
      <c r="C28" s="1595">
        <f>'[1]Offshore DO, pH, Phos. Sal. Con'!C97</f>
        <v>9</v>
      </c>
      <c r="D28" s="2505">
        <f>'[1]Offshore DO, pH, Phos. Sal. Con'!AF82</f>
        <v>9</v>
      </c>
      <c r="E28" s="2514">
        <f t="shared" si="26"/>
        <v>1</v>
      </c>
      <c r="F28" s="2505">
        <f>'[1]Offshore DO, pH, Phos. Sal. Con'!AF83</f>
        <v>0</v>
      </c>
      <c r="G28" s="2514">
        <f t="shared" si="20"/>
        <v>0</v>
      </c>
      <c r="H28" s="2505">
        <f>'[1]Offshore DO, pH, Phos. Sal. Con'!AG82</f>
        <v>9</v>
      </c>
      <c r="I28" s="2603">
        <f t="shared" si="27"/>
        <v>1</v>
      </c>
      <c r="J28" s="2505">
        <f>'[1]Offshore DO, pH, Phos. Sal. Con'!AG83</f>
        <v>0</v>
      </c>
      <c r="K28" s="2603">
        <f t="shared" si="28"/>
        <v>0</v>
      </c>
      <c r="L28" s="2615">
        <f>'[1]Offshore DO, pH, Phos. Sal. Con'!AH82</f>
        <v>9</v>
      </c>
      <c r="M28" s="2518">
        <f t="shared" si="21"/>
        <v>1</v>
      </c>
      <c r="N28" s="2615">
        <f>'[1]Offshore DO, pH, Phos. Sal. Con'!AH83</f>
        <v>0</v>
      </c>
      <c r="O28" s="2548">
        <f t="shared" si="22"/>
        <v>0</v>
      </c>
      <c r="P28" s="1595">
        <f>'[1]Offshore DO, pH, Phos. Sal. Con'!AI82</f>
        <v>6</v>
      </c>
      <c r="Q28" s="1601">
        <f t="shared" si="23"/>
        <v>0.66666666666666663</v>
      </c>
      <c r="R28" s="1595">
        <f>'[1]Offshore DO, pH, Phos. Sal. Con'!AI83</f>
        <v>0</v>
      </c>
      <c r="S28" s="1596">
        <f t="shared" si="24"/>
        <v>0</v>
      </c>
      <c r="T28" s="2505" t="s">
        <v>336</v>
      </c>
      <c r="U28" s="2505" t="s">
        <v>336</v>
      </c>
      <c r="V28" s="2505" t="s">
        <v>336</v>
      </c>
      <c r="W28" s="2591" t="s">
        <v>336</v>
      </c>
      <c r="X28" s="2536">
        <f>'[1]Offshore DO, pH, Phos. Sal. Con'!AK82</f>
        <v>0</v>
      </c>
      <c r="Y28" s="2516">
        <v>0</v>
      </c>
      <c r="Z28" s="2519">
        <v>0</v>
      </c>
      <c r="AA28" s="2516">
        <v>0</v>
      </c>
      <c r="AB28" s="2554">
        <f>'Offshore DO, pH, Phos. Sal. Con'!AW82</f>
        <v>9</v>
      </c>
      <c r="AC28" s="2515">
        <f>AB28/C28</f>
        <v>1</v>
      </c>
      <c r="AD28" s="2546">
        <f>'Offshore DO, pH, Phos. Sal. Con'!AW83</f>
        <v>0</v>
      </c>
      <c r="AE28" s="2515">
        <f>AD28/AB28</f>
        <v>0</v>
      </c>
      <c r="AF28" s="2554">
        <v>6</v>
      </c>
      <c r="AG28" s="2512">
        <f t="shared" si="13"/>
        <v>0.66666666666666663</v>
      </c>
      <c r="AH28" s="2546">
        <v>0</v>
      </c>
      <c r="AI28" s="2515">
        <f>AH28/AF28</f>
        <v>0</v>
      </c>
      <c r="AJ28" s="2554">
        <f>'Offshore DO, pH, Phos. Sal. Con'!BO82</f>
        <v>0</v>
      </c>
      <c r="AK28" s="2515" t="e">
        <f>AJ28/K28</f>
        <v>#DIV/0!</v>
      </c>
      <c r="AL28" s="2546">
        <f>'Offshore DO, pH, Phos. Sal. Con'!BO83</f>
        <v>0</v>
      </c>
      <c r="AM28" s="2515" t="e">
        <f>AL28/AJ28</f>
        <v>#DIV/0!</v>
      </c>
      <c r="AV28" s="2554">
        <v>6</v>
      </c>
      <c r="AW28" s="2512" t="e">
        <f t="shared" si="25"/>
        <v>#DIV/0!</v>
      </c>
      <c r="AX28" s="2546">
        <v>0</v>
      </c>
      <c r="AY28" s="2515">
        <f>AX28/AV28</f>
        <v>0</v>
      </c>
    </row>
    <row r="29" spans="1:51">
      <c r="A29" s="1577"/>
      <c r="B29" s="1577" t="s">
        <v>111</v>
      </c>
      <c r="C29" s="1595">
        <v>14</v>
      </c>
      <c r="D29" s="2505">
        <f>[1]pH!K187</f>
        <v>14</v>
      </c>
      <c r="E29" s="2514">
        <f t="shared" si="26"/>
        <v>1</v>
      </c>
      <c r="F29" s="2523">
        <f>[1]pH!K186</f>
        <v>14</v>
      </c>
      <c r="G29" s="2514">
        <f t="shared" si="20"/>
        <v>1</v>
      </c>
      <c r="H29" s="2505">
        <v>14</v>
      </c>
      <c r="I29" s="2603">
        <f t="shared" si="27"/>
        <v>1</v>
      </c>
      <c r="J29" s="2523">
        <f>[1]pH!L186</f>
        <v>14</v>
      </c>
      <c r="K29" s="2603">
        <f t="shared" si="28"/>
        <v>1</v>
      </c>
      <c r="L29" s="2615">
        <v>14</v>
      </c>
      <c r="M29" s="2518">
        <f t="shared" si="21"/>
        <v>1</v>
      </c>
      <c r="N29" s="2616">
        <f>[1]pH!M186</f>
        <v>14</v>
      </c>
      <c r="O29" s="2548">
        <f t="shared" si="22"/>
        <v>1</v>
      </c>
      <c r="P29" s="1595">
        <f>[1]pH!N187</f>
        <v>14</v>
      </c>
      <c r="Q29" s="1601">
        <f t="shared" si="23"/>
        <v>1</v>
      </c>
      <c r="R29" s="1597">
        <f>[1]pH!N186</f>
        <v>14</v>
      </c>
      <c r="S29" s="1596">
        <f t="shared" si="24"/>
        <v>1</v>
      </c>
      <c r="T29" s="2505" t="s">
        <v>336</v>
      </c>
      <c r="U29" s="2505" t="s">
        <v>336</v>
      </c>
      <c r="V29" s="2505" t="s">
        <v>336</v>
      </c>
      <c r="W29" s="2591" t="s">
        <v>336</v>
      </c>
      <c r="X29" s="2536">
        <f>[1]pH!Q187</f>
        <v>0</v>
      </c>
      <c r="Y29" s="2516">
        <v>0</v>
      </c>
      <c r="Z29" s="2547">
        <f>[1]pH!Q186</f>
        <v>0</v>
      </c>
      <c r="AA29" s="2516">
        <v>0</v>
      </c>
      <c r="AB29" s="2554">
        <f>pH!Q215</f>
        <v>14</v>
      </c>
      <c r="AC29" s="2515">
        <f>AB29/C29</f>
        <v>1</v>
      </c>
      <c r="AD29" s="2584">
        <f>pH!Q214</f>
        <v>14</v>
      </c>
      <c r="AE29" s="2515">
        <f>AD29/AB29</f>
        <v>1</v>
      </c>
      <c r="AF29" s="2554">
        <v>14</v>
      </c>
      <c r="AG29" s="2512">
        <f t="shared" si="13"/>
        <v>1</v>
      </c>
      <c r="AH29" s="2584">
        <v>14</v>
      </c>
      <c r="AI29" s="2515">
        <f>AH29/AF29</f>
        <v>1</v>
      </c>
      <c r="AJ29" s="2554">
        <f>pH!AC199</f>
        <v>0</v>
      </c>
      <c r="AK29" s="2515">
        <f>AJ29/K29</f>
        <v>0</v>
      </c>
      <c r="AL29" s="2584">
        <f>pH!AC198</f>
        <v>0</v>
      </c>
      <c r="AM29" s="2515" t="e">
        <f>AL29/AJ29</f>
        <v>#DIV/0!</v>
      </c>
      <c r="AV29" s="2554">
        <v>14</v>
      </c>
      <c r="AW29" s="2512">
        <f t="shared" si="25"/>
        <v>14</v>
      </c>
      <c r="AX29" s="2584">
        <v>14</v>
      </c>
      <c r="AY29" s="2515">
        <f>AX29/AV29</f>
        <v>1</v>
      </c>
    </row>
    <row r="30" spans="1:51">
      <c r="A30" s="1577"/>
      <c r="B30" s="1577" t="s">
        <v>332</v>
      </c>
      <c r="C30" s="1595">
        <v>9</v>
      </c>
      <c r="D30" s="2505">
        <f>[1]pH!K165</f>
        <v>9</v>
      </c>
      <c r="E30" s="2514">
        <f t="shared" si="26"/>
        <v>1</v>
      </c>
      <c r="F30" s="2523">
        <f>[1]pH!K164</f>
        <v>0</v>
      </c>
      <c r="G30" s="2514">
        <f t="shared" si="20"/>
        <v>0</v>
      </c>
      <c r="H30" s="2505">
        <f>[1]pH!L165</f>
        <v>9</v>
      </c>
      <c r="I30" s="2603">
        <f t="shared" si="27"/>
        <v>1</v>
      </c>
      <c r="J30" s="2523">
        <f>[1]pH!L164</f>
        <v>9</v>
      </c>
      <c r="K30" s="2603">
        <f t="shared" si="28"/>
        <v>1</v>
      </c>
      <c r="L30" s="2617">
        <f>[1]pH!M165</f>
        <v>9</v>
      </c>
      <c r="M30" s="2518">
        <f t="shared" si="21"/>
        <v>1</v>
      </c>
      <c r="N30" s="2618">
        <f>[1]pH!M164</f>
        <v>1</v>
      </c>
      <c r="O30" s="2548">
        <f t="shared" si="22"/>
        <v>0.1111111111111111</v>
      </c>
      <c r="P30" s="1595">
        <f>[1]pH!N165</f>
        <v>9</v>
      </c>
      <c r="Q30" s="1601">
        <f t="shared" si="23"/>
        <v>1</v>
      </c>
      <c r="R30" s="1597">
        <f>[1]pH!N164</f>
        <v>4</v>
      </c>
      <c r="S30" s="1596">
        <f t="shared" si="24"/>
        <v>0.44444444444444442</v>
      </c>
      <c r="T30" s="2505" t="s">
        <v>336</v>
      </c>
      <c r="U30" s="2505" t="s">
        <v>336</v>
      </c>
      <c r="V30" s="2505" t="s">
        <v>336</v>
      </c>
      <c r="W30" s="2591" t="s">
        <v>336</v>
      </c>
      <c r="X30" s="2536">
        <f>[1]pH!Q165</f>
        <v>9</v>
      </c>
      <c r="Y30" s="2516">
        <v>0</v>
      </c>
      <c r="Z30" s="2547">
        <f>[1]pH!Q187</f>
        <v>0</v>
      </c>
      <c r="AA30" s="2516">
        <v>0</v>
      </c>
      <c r="AB30" s="2554">
        <f>pH!R175</f>
        <v>24</v>
      </c>
      <c r="AC30" s="2515">
        <v>0</v>
      </c>
      <c r="AD30" s="2546">
        <f>[1]pH!U187</f>
        <v>0</v>
      </c>
      <c r="AE30" s="2515">
        <v>0</v>
      </c>
      <c r="AF30" s="2554">
        <v>9</v>
      </c>
      <c r="AG30" s="2512">
        <f t="shared" si="13"/>
        <v>1</v>
      </c>
      <c r="AH30" s="2546">
        <v>9</v>
      </c>
      <c r="AI30" s="2515">
        <v>1</v>
      </c>
      <c r="AJ30" s="2554">
        <f>pH!AD149</f>
        <v>0</v>
      </c>
      <c r="AK30" s="2515">
        <v>2</v>
      </c>
      <c r="AL30" s="2546" t="e">
        <f>[1]pH!AC187</f>
        <v>#REF!</v>
      </c>
      <c r="AM30" s="2515">
        <v>2</v>
      </c>
      <c r="AV30" s="2554">
        <v>9</v>
      </c>
      <c r="AW30" s="2512">
        <f t="shared" si="25"/>
        <v>20.25</v>
      </c>
      <c r="AX30" s="2546">
        <v>9</v>
      </c>
      <c r="AY30" s="2515">
        <v>1</v>
      </c>
    </row>
    <row r="31" spans="1:51">
      <c r="A31" s="1577"/>
      <c r="B31" s="1577" t="s">
        <v>344</v>
      </c>
      <c r="C31" s="1595">
        <v>27</v>
      </c>
      <c r="D31" s="2505">
        <f>[1]pH!K147</f>
        <v>26</v>
      </c>
      <c r="E31" s="2514">
        <f t="shared" si="26"/>
        <v>0.96296296296296291</v>
      </c>
      <c r="F31" s="2523">
        <f>[1]pH!K146</f>
        <v>26</v>
      </c>
      <c r="G31" s="2514">
        <f t="shared" si="20"/>
        <v>1</v>
      </c>
      <c r="H31" s="2505">
        <f>[1]pH!L147</f>
        <v>23</v>
      </c>
      <c r="I31" s="2603">
        <f t="shared" si="27"/>
        <v>0.85185185185185186</v>
      </c>
      <c r="J31" s="2523">
        <f>[1]pH!L146</f>
        <v>23</v>
      </c>
      <c r="K31" s="2603">
        <f t="shared" si="28"/>
        <v>1</v>
      </c>
      <c r="L31" s="2617" t="s">
        <v>336</v>
      </c>
      <c r="M31" s="2617" t="s">
        <v>336</v>
      </c>
      <c r="N31" s="2617" t="s">
        <v>336</v>
      </c>
      <c r="O31" s="2617" t="s">
        <v>336</v>
      </c>
      <c r="P31" s="1598" t="s">
        <v>336</v>
      </c>
      <c r="Q31" s="1598" t="s">
        <v>336</v>
      </c>
      <c r="R31" s="1598" t="s">
        <v>336</v>
      </c>
      <c r="S31" s="1598" t="s">
        <v>336</v>
      </c>
      <c r="T31" s="2505" t="s">
        <v>336</v>
      </c>
      <c r="U31" s="2505" t="s">
        <v>336</v>
      </c>
      <c r="V31" s="2505" t="s">
        <v>336</v>
      </c>
      <c r="W31" s="2591" t="s">
        <v>336</v>
      </c>
      <c r="X31" s="2536">
        <f>[1]pH!Q187</f>
        <v>0</v>
      </c>
      <c r="Y31" s="2516">
        <v>0</v>
      </c>
      <c r="Z31" s="2547">
        <f>[1]pH!Q146</f>
        <v>25</v>
      </c>
      <c r="AA31" s="2516">
        <v>0</v>
      </c>
      <c r="AB31" s="2554">
        <f>[1]pH!U187</f>
        <v>0</v>
      </c>
      <c r="AC31" s="2515">
        <v>0</v>
      </c>
      <c r="AD31" s="2546">
        <f>[1]pH!U146</f>
        <v>0</v>
      </c>
      <c r="AE31" s="2515">
        <v>0</v>
      </c>
      <c r="AF31" s="2554">
        <v>24</v>
      </c>
      <c r="AG31" s="2512">
        <f t="shared" si="13"/>
        <v>0.88888888888888884</v>
      </c>
      <c r="AH31" s="2546">
        <v>24</v>
      </c>
      <c r="AI31" s="2515">
        <v>1</v>
      </c>
      <c r="AJ31" s="2554" t="e">
        <f>[1]pH!AC187</f>
        <v>#REF!</v>
      </c>
      <c r="AK31" s="2515">
        <v>2</v>
      </c>
      <c r="AL31" s="2546" t="e">
        <f>[1]pH!AC146</f>
        <v>#REF!</v>
      </c>
      <c r="AM31" s="2515">
        <v>2</v>
      </c>
      <c r="AV31" s="2554">
        <v>24</v>
      </c>
      <c r="AW31" s="2512" t="e">
        <f t="shared" si="25"/>
        <v>#VALUE!</v>
      </c>
      <c r="AX31" s="2546">
        <v>24</v>
      </c>
      <c r="AY31" s="2515">
        <v>1</v>
      </c>
    </row>
    <row r="32" spans="1:51">
      <c r="A32" s="1577"/>
      <c r="B32" s="1577"/>
      <c r="C32" s="1595"/>
      <c r="D32" s="2505"/>
      <c r="E32" s="2505"/>
      <c r="F32" s="2505"/>
      <c r="G32" s="2505"/>
      <c r="H32" s="2505"/>
      <c r="I32" s="2505"/>
      <c r="J32" s="2505"/>
      <c r="K32" s="2505"/>
      <c r="L32" s="2617"/>
      <c r="M32" s="2518"/>
      <c r="N32" s="2617"/>
      <c r="O32" s="2518"/>
      <c r="P32" s="1595"/>
      <c r="Q32" s="1595"/>
      <c r="R32" s="1595"/>
      <c r="S32" s="1595"/>
      <c r="T32" s="2586"/>
      <c r="U32" s="2586"/>
      <c r="V32" s="2586"/>
      <c r="W32" s="2587"/>
      <c r="X32" s="2532"/>
      <c r="Y32" s="2533"/>
      <c r="Z32" s="2533"/>
      <c r="AA32" s="2533"/>
      <c r="AB32" s="2553"/>
      <c r="AC32" s="2507"/>
      <c r="AD32" s="2545"/>
      <c r="AE32" s="2507"/>
      <c r="AF32" s="2553"/>
      <c r="AG32" s="2512"/>
      <c r="AH32" s="2545"/>
      <c r="AI32" s="2507"/>
      <c r="AJ32" s="2553"/>
      <c r="AK32" s="2507"/>
      <c r="AL32" s="2545"/>
      <c r="AM32" s="2507"/>
      <c r="AV32" s="2553"/>
      <c r="AW32" s="2512"/>
      <c r="AX32" s="2545"/>
      <c r="AY32" s="2507"/>
    </row>
    <row r="33" spans="1:51" s="4" customFormat="1">
      <c r="A33" s="1103" t="s">
        <v>170</v>
      </c>
      <c r="B33" s="1103"/>
      <c r="C33" s="1594">
        <f>SUM(C34:C37)</f>
        <v>134</v>
      </c>
      <c r="D33" s="2510">
        <f>SUM(D34:D37)</f>
        <v>128</v>
      </c>
      <c r="E33" s="2511">
        <f>D33/C33</f>
        <v>0.95522388059701491</v>
      </c>
      <c r="F33" s="2510">
        <f>SUM(F34:F37)</f>
        <v>120</v>
      </c>
      <c r="G33" s="2511">
        <f>F33/D33</f>
        <v>0.9375</v>
      </c>
      <c r="H33" s="2510">
        <f>SUM(H34:H37)</f>
        <v>121</v>
      </c>
      <c r="I33" s="2606">
        <f>H33/C33</f>
        <v>0.90298507462686572</v>
      </c>
      <c r="J33" s="2510">
        <f>SUM(J34:J37)</f>
        <v>108</v>
      </c>
      <c r="K33" s="2606">
        <f>J33/H33</f>
        <v>0.8925619834710744</v>
      </c>
      <c r="L33" s="2613">
        <f>SUM(L34:L34)</f>
        <v>26</v>
      </c>
      <c r="M33" s="2614">
        <f>L33/C33</f>
        <v>0.19402985074626866</v>
      </c>
      <c r="N33" s="2613">
        <f>SUM(N34:N36)</f>
        <v>34</v>
      </c>
      <c r="O33" s="2614">
        <f>N33/L33</f>
        <v>1.3076923076923077</v>
      </c>
      <c r="P33" s="1594">
        <f>SUM(P34:P36)</f>
        <v>66</v>
      </c>
      <c r="Q33" s="1105">
        <f>P33/C33</f>
        <v>0.4925373134328358</v>
      </c>
      <c r="R33" s="1594">
        <f>SUM(R34:R36)</f>
        <v>54</v>
      </c>
      <c r="S33" s="1105">
        <f>R33/P33</f>
        <v>0.81818181818181823</v>
      </c>
      <c r="T33" s="2588">
        <f>SUM(T34:T37)</f>
        <v>26</v>
      </c>
      <c r="U33" s="2511">
        <f>T33/C33</f>
        <v>0.19402985074626866</v>
      </c>
      <c r="V33" s="2588">
        <f>SUM(V34:V37)</f>
        <v>20</v>
      </c>
      <c r="W33" s="2589">
        <f>V33/T33</f>
        <v>0.76923076923076927</v>
      </c>
      <c r="X33" s="2534">
        <f>SUM(X34:X37)</f>
        <v>126</v>
      </c>
      <c r="Y33" s="2513">
        <f>X33/C33</f>
        <v>0.94029850746268662</v>
      </c>
      <c r="Z33" s="2535">
        <f>SUM(Z34:Z37)</f>
        <v>67</v>
      </c>
      <c r="AA33" s="2513">
        <f>Z33/X33</f>
        <v>0.53174603174603174</v>
      </c>
      <c r="AB33" s="2576">
        <f>SUM(AB34:AB37)</f>
        <v>103</v>
      </c>
      <c r="AC33" s="2512">
        <f>AB33/C33</f>
        <v>0.76865671641791045</v>
      </c>
      <c r="AD33" s="2578">
        <f>SUM(AD34:AD37)</f>
        <v>102</v>
      </c>
      <c r="AE33" s="2512">
        <f>AD33/AB33</f>
        <v>0.99029126213592233</v>
      </c>
      <c r="AF33" s="2576">
        <f>SUM(AF34:AF37)</f>
        <v>69</v>
      </c>
      <c r="AG33" s="2512">
        <f t="shared" si="13"/>
        <v>0.5149253731343284</v>
      </c>
      <c r="AH33" s="2578">
        <f>SUM(AH34:AH37)</f>
        <v>67</v>
      </c>
      <c r="AI33" s="2512">
        <f>AH33/AF33</f>
        <v>0.97101449275362317</v>
      </c>
      <c r="AJ33" s="2576" t="e">
        <f>SUM(AJ34:AJ37)</f>
        <v>#REF!</v>
      </c>
      <c r="AK33" s="2512" t="e">
        <f>AJ33/K33</f>
        <v>#REF!</v>
      </c>
      <c r="AL33" s="2578" t="e">
        <f>SUM(AL34:AL37)</f>
        <v>#REF!</v>
      </c>
      <c r="AM33" s="2512" t="e">
        <f>AL33/AJ33</f>
        <v>#REF!</v>
      </c>
      <c r="AV33" s="2576">
        <f>SUM(AV34:AV37)</f>
        <v>69</v>
      </c>
      <c r="AW33" s="2512">
        <f t="shared" ref="AW33:AW35" si="29">AV33/S33</f>
        <v>84.333333333333329</v>
      </c>
      <c r="AX33" s="2578">
        <f>SUM(AX34:AX37)</f>
        <v>67</v>
      </c>
      <c r="AY33" s="2512">
        <f>AX33/AV33</f>
        <v>0.97101449275362317</v>
      </c>
    </row>
    <row r="34" spans="1:51">
      <c r="A34" s="1577"/>
      <c r="B34" s="1577" t="s">
        <v>330</v>
      </c>
      <c r="C34" s="1595">
        <v>84</v>
      </c>
      <c r="D34" s="2505">
        <f>[1]Nitrate!K113</f>
        <v>79</v>
      </c>
      <c r="E34" s="2514">
        <f>D34/C34</f>
        <v>0.94047619047619047</v>
      </c>
      <c r="F34" s="2505">
        <f>[1]Nitrate!K112</f>
        <v>71</v>
      </c>
      <c r="G34" s="2514">
        <f>F34/D34</f>
        <v>0.89873417721518989</v>
      </c>
      <c r="H34" s="2505">
        <f>[1]Nitrate!L113</f>
        <v>75</v>
      </c>
      <c r="I34" s="2603">
        <f>H34/C34</f>
        <v>0.8928571428571429</v>
      </c>
      <c r="J34" s="2505">
        <f>[1]Nitrate!L112</f>
        <v>64</v>
      </c>
      <c r="K34" s="2603">
        <f>J34/H34</f>
        <v>0.85333333333333339</v>
      </c>
      <c r="L34" s="2617">
        <f>[1]Nitrate!M113</f>
        <v>26</v>
      </c>
      <c r="M34" s="2518">
        <f>L34/C34</f>
        <v>0.30952380952380953</v>
      </c>
      <c r="N34" s="2617">
        <f>[1]Nitrate!M112</f>
        <v>14</v>
      </c>
      <c r="O34" s="2518">
        <f>N34/L34</f>
        <v>0.53846153846153844</v>
      </c>
      <c r="P34" s="1595">
        <f>[1]Nitrate!N113</f>
        <v>57</v>
      </c>
      <c r="Q34" s="1601">
        <f>P34/C34</f>
        <v>0.6785714285714286</v>
      </c>
      <c r="R34" s="1595">
        <f>[1]Nitrate!N112</f>
        <v>45</v>
      </c>
      <c r="S34" s="1596">
        <f>R34/P34</f>
        <v>0.78947368421052633</v>
      </c>
      <c r="T34" s="2586">
        <f>[1]Nitrate!O113</f>
        <v>26</v>
      </c>
      <c r="U34" s="2514">
        <f>T34/C34</f>
        <v>0.30952380952380953</v>
      </c>
      <c r="V34" s="2586">
        <f>[1]Nitrate!O112</f>
        <v>20</v>
      </c>
      <c r="W34" s="2590">
        <f>V34/T34</f>
        <v>0.76923076923076927</v>
      </c>
      <c r="X34" s="2532">
        <f>[1]Nitrate!Q113</f>
        <v>79</v>
      </c>
      <c r="Y34" s="2516">
        <f>X34/C34</f>
        <v>0.94047619047619047</v>
      </c>
      <c r="Z34" s="2539">
        <f>[1]Nitrate!Q107</f>
        <v>24</v>
      </c>
      <c r="AA34" s="2516">
        <f>Z34/X34</f>
        <v>0.30379746835443039</v>
      </c>
      <c r="AB34" s="2553">
        <f>Nitrate!Q129</f>
        <v>78</v>
      </c>
      <c r="AC34" s="2512">
        <f>AB34/C34</f>
        <v>0.9285714285714286</v>
      </c>
      <c r="AD34" s="2545">
        <f>Nitrate!Q128</f>
        <v>77</v>
      </c>
      <c r="AE34" s="2512">
        <f>AD34/AB34</f>
        <v>0.98717948717948723</v>
      </c>
      <c r="AF34" s="2553">
        <v>55</v>
      </c>
      <c r="AG34" s="2512">
        <f t="shared" si="13"/>
        <v>0.65476190476190477</v>
      </c>
      <c r="AH34" s="2545">
        <v>53</v>
      </c>
      <c r="AI34" s="2515">
        <f>AH34/AF34</f>
        <v>0.96363636363636362</v>
      </c>
      <c r="AJ34" s="2553">
        <f>Nitrate!AC113</f>
        <v>0</v>
      </c>
      <c r="AK34" s="2515">
        <f>AJ34/K34</f>
        <v>0</v>
      </c>
      <c r="AL34" s="2545">
        <f>Nitrate!AC112</f>
        <v>0</v>
      </c>
      <c r="AM34" s="2515" t="e">
        <f>AL34/AJ34</f>
        <v>#DIV/0!</v>
      </c>
      <c r="AV34" s="2553">
        <v>55</v>
      </c>
      <c r="AW34" s="2512">
        <f t="shared" si="29"/>
        <v>69.666666666666671</v>
      </c>
      <c r="AX34" s="2545">
        <v>53</v>
      </c>
      <c r="AY34" s="2515">
        <f>AX34/AV34</f>
        <v>0.96363636363636362</v>
      </c>
    </row>
    <row r="35" spans="1:51">
      <c r="A35" s="1577"/>
      <c r="B35" s="1577" t="s">
        <v>111</v>
      </c>
      <c r="C35" s="1595">
        <v>14</v>
      </c>
      <c r="D35" s="2505">
        <f>[1]Nitrate!K185</f>
        <v>14</v>
      </c>
      <c r="E35" s="2514">
        <f>D35/C35</f>
        <v>1</v>
      </c>
      <c r="F35" s="2523">
        <f>[1]Nitrate!K184</f>
        <v>14</v>
      </c>
      <c r="G35" s="2514">
        <f>F35/D35</f>
        <v>1</v>
      </c>
      <c r="H35" s="2505">
        <f>[1]Nitrate!L185</f>
        <v>14</v>
      </c>
      <c r="I35" s="2603">
        <f>H35/C35</f>
        <v>1</v>
      </c>
      <c r="J35" s="2523">
        <f>[1]Nitrate!L184</f>
        <v>12</v>
      </c>
      <c r="K35" s="2603">
        <f>J35/H35</f>
        <v>0.8571428571428571</v>
      </c>
      <c r="L35" s="2617">
        <f>[1]Nitrate!M185</f>
        <v>14</v>
      </c>
      <c r="M35" s="2518">
        <f>L35/C35</f>
        <v>1</v>
      </c>
      <c r="N35" s="2618">
        <f>[1]Nitrate!M184</f>
        <v>11</v>
      </c>
      <c r="O35" s="2518">
        <f>N35/L35</f>
        <v>0.7857142857142857</v>
      </c>
      <c r="P35" s="1595" t="s">
        <v>66</v>
      </c>
      <c r="Q35" s="1601" t="s">
        <v>345</v>
      </c>
      <c r="R35" s="1595" t="s">
        <v>66</v>
      </c>
      <c r="S35" s="1596" t="s">
        <v>345</v>
      </c>
      <c r="T35" s="2505" t="s">
        <v>336</v>
      </c>
      <c r="U35" s="2505" t="s">
        <v>336</v>
      </c>
      <c r="V35" s="2505" t="s">
        <v>336</v>
      </c>
      <c r="W35" s="2590" t="s">
        <v>336</v>
      </c>
      <c r="X35" s="2536">
        <f>[1]Nitrate!Q185</f>
        <v>14</v>
      </c>
      <c r="Y35" s="2548">
        <f>X35/C35</f>
        <v>1</v>
      </c>
      <c r="Z35" s="2547">
        <f>[1]Nitrate!Q184</f>
        <v>10</v>
      </c>
      <c r="AA35" s="2516">
        <f>Z35/X35</f>
        <v>0.7142857142857143</v>
      </c>
      <c r="AB35" s="2554">
        <f>[1]Nitrate!U185</f>
        <v>0</v>
      </c>
      <c r="AC35" s="2512">
        <f>AB35/C35</f>
        <v>0</v>
      </c>
      <c r="AD35" s="2546">
        <f>[1]Nitrate!U184</f>
        <v>0</v>
      </c>
      <c r="AE35" s="2512" t="e">
        <f>AD35/AB35</f>
        <v>#DIV/0!</v>
      </c>
      <c r="AF35" s="2554">
        <v>14</v>
      </c>
      <c r="AG35" s="2512">
        <f t="shared" si="13"/>
        <v>1</v>
      </c>
      <c r="AH35" s="2546">
        <v>14</v>
      </c>
      <c r="AI35" s="2515">
        <f>AH35/AF35</f>
        <v>1</v>
      </c>
      <c r="AJ35" s="2554" t="e">
        <f>[1]Nitrate!AC185</f>
        <v>#REF!</v>
      </c>
      <c r="AK35" s="2549" t="e">
        <f>AJ35/O35</f>
        <v>#REF!</v>
      </c>
      <c r="AL35" s="2546" t="e">
        <f>[1]Nitrate!AC184</f>
        <v>#REF!</v>
      </c>
      <c r="AM35" s="2515" t="e">
        <f>AL35/AJ35</f>
        <v>#REF!</v>
      </c>
      <c r="AV35" s="2554">
        <v>14</v>
      </c>
      <c r="AW35" s="2512" t="e">
        <f t="shared" si="29"/>
        <v>#VALUE!</v>
      </c>
      <c r="AX35" s="2546">
        <v>14</v>
      </c>
      <c r="AY35" s="2515">
        <f>AX35/AV35</f>
        <v>1</v>
      </c>
    </row>
    <row r="36" spans="1:51">
      <c r="A36" s="1577"/>
      <c r="B36" s="1577" t="s">
        <v>332</v>
      </c>
      <c r="C36" s="1595">
        <v>9</v>
      </c>
      <c r="D36" s="2505">
        <f>[1]Nitrate!K164</f>
        <v>9</v>
      </c>
      <c r="E36" s="2514">
        <f>D36/C36</f>
        <v>1</v>
      </c>
      <c r="F36" s="2523">
        <f>[1]Nitrate!K163</f>
        <v>9</v>
      </c>
      <c r="G36" s="2514">
        <f>F36/D36</f>
        <v>1</v>
      </c>
      <c r="H36" s="2505">
        <f>[1]Nitrate!L164</f>
        <v>9</v>
      </c>
      <c r="I36" s="2603">
        <f>H36/C36</f>
        <v>1</v>
      </c>
      <c r="J36" s="2523">
        <f>[1]Nitrate!L163</f>
        <v>9</v>
      </c>
      <c r="K36" s="2603">
        <f>J36/H36</f>
        <v>1</v>
      </c>
      <c r="L36" s="2617">
        <f>[1]Nitrate!M164</f>
        <v>9</v>
      </c>
      <c r="M36" s="2518">
        <f>L36/C36</f>
        <v>1</v>
      </c>
      <c r="N36" s="2618">
        <f>[1]Nitrate!M163</f>
        <v>9</v>
      </c>
      <c r="O36" s="2518">
        <f>N36/L36</f>
        <v>1</v>
      </c>
      <c r="P36" s="1595">
        <f>[1]Nitrate!N164</f>
        <v>9</v>
      </c>
      <c r="Q36" s="1601">
        <f>P36/C36</f>
        <v>1</v>
      </c>
      <c r="R36" s="1595">
        <v>9</v>
      </c>
      <c r="S36" s="1596">
        <f>R36/P36</f>
        <v>1</v>
      </c>
      <c r="T36" s="2505" t="s">
        <v>336</v>
      </c>
      <c r="U36" s="2505" t="s">
        <v>336</v>
      </c>
      <c r="V36" s="2505" t="s">
        <v>336</v>
      </c>
      <c r="W36" s="2590" t="s">
        <v>336</v>
      </c>
      <c r="X36" s="2536">
        <f>[1]Nitrate!Q164</f>
        <v>9</v>
      </c>
      <c r="Y36" s="2516">
        <v>0</v>
      </c>
      <c r="Z36" s="2547">
        <f>[1]Nitrate!Q163</f>
        <v>9</v>
      </c>
      <c r="AA36" s="2516">
        <v>0</v>
      </c>
      <c r="AB36" s="2554">
        <f>[1]Nitrate!U164</f>
        <v>0</v>
      </c>
      <c r="AC36" s="2512">
        <f>AB36/C36</f>
        <v>0</v>
      </c>
      <c r="AD36" s="2546">
        <f>[1]Nitrate!U163</f>
        <v>0</v>
      </c>
      <c r="AE36" s="2512" t="e">
        <f>AD36/AB36</f>
        <v>#DIV/0!</v>
      </c>
      <c r="AF36" s="2554" t="s">
        <v>109</v>
      </c>
      <c r="AG36" s="2512" t="s">
        <v>109</v>
      </c>
      <c r="AH36" s="2546" t="s">
        <v>109</v>
      </c>
      <c r="AI36" s="2515" t="s">
        <v>109</v>
      </c>
      <c r="AJ36" s="2554" t="e">
        <f>[1]Nitrate!AC164</f>
        <v>#REF!</v>
      </c>
      <c r="AK36" s="2515">
        <v>2</v>
      </c>
      <c r="AL36" s="2546" t="e">
        <f>[1]Nitrate!AC163</f>
        <v>#REF!</v>
      </c>
      <c r="AM36" s="2515">
        <v>2</v>
      </c>
      <c r="AV36" s="2554" t="s">
        <v>109</v>
      </c>
      <c r="AW36" s="2512" t="s">
        <v>109</v>
      </c>
      <c r="AX36" s="2546" t="s">
        <v>109</v>
      </c>
      <c r="AY36" s="2515" t="s">
        <v>109</v>
      </c>
    </row>
    <row r="37" spans="1:51">
      <c r="A37" s="1577"/>
      <c r="B37" s="1577" t="s">
        <v>344</v>
      </c>
      <c r="C37" s="1595">
        <v>27</v>
      </c>
      <c r="D37" s="2505">
        <f>[1]Nitrate!K148</f>
        <v>26</v>
      </c>
      <c r="E37" s="2514">
        <f>D37/C37</f>
        <v>0.96296296296296291</v>
      </c>
      <c r="F37" s="2523">
        <f>[1]Nitrate!K147</f>
        <v>26</v>
      </c>
      <c r="G37" s="2514">
        <f>F37/D37</f>
        <v>1</v>
      </c>
      <c r="H37" s="2505">
        <f>[1]Nitrate!L148</f>
        <v>23</v>
      </c>
      <c r="I37" s="2603">
        <f>H37/C37</f>
        <v>0.85185185185185186</v>
      </c>
      <c r="J37" s="2523">
        <f>[1]Nitrate!L147</f>
        <v>23</v>
      </c>
      <c r="K37" s="2603">
        <f>J37/H37</f>
        <v>1</v>
      </c>
      <c r="L37" s="2617" t="s">
        <v>336</v>
      </c>
      <c r="M37" s="2617" t="s">
        <v>336</v>
      </c>
      <c r="N37" s="2617" t="s">
        <v>336</v>
      </c>
      <c r="O37" s="2617" t="s">
        <v>336</v>
      </c>
      <c r="P37" s="1598" t="s">
        <v>336</v>
      </c>
      <c r="Q37" s="1598" t="s">
        <v>336</v>
      </c>
      <c r="R37" s="1598" t="s">
        <v>336</v>
      </c>
      <c r="S37" s="1598" t="s">
        <v>336</v>
      </c>
      <c r="T37" s="2505" t="s">
        <v>336</v>
      </c>
      <c r="U37" s="2505" t="s">
        <v>336</v>
      </c>
      <c r="V37" s="2505" t="s">
        <v>336</v>
      </c>
      <c r="W37" s="2590" t="s">
        <v>336</v>
      </c>
      <c r="X37" s="2536">
        <f>[1]Nitrate!Q148</f>
        <v>24</v>
      </c>
      <c r="Y37" s="2516">
        <v>0</v>
      </c>
      <c r="Z37" s="2547">
        <f>[1]Nitrate!Q147</f>
        <v>24</v>
      </c>
      <c r="AA37" s="2516">
        <v>0</v>
      </c>
      <c r="AB37" s="2554">
        <v>25</v>
      </c>
      <c r="AC37" s="2512">
        <f>AB37/C37</f>
        <v>0.92592592592592593</v>
      </c>
      <c r="AD37" s="2546">
        <v>25</v>
      </c>
      <c r="AE37" s="2512">
        <f>AD37/AB37</f>
        <v>1</v>
      </c>
      <c r="AF37" s="2554" t="s">
        <v>109</v>
      </c>
      <c r="AG37" s="2512" t="s">
        <v>109</v>
      </c>
      <c r="AH37" s="2546" t="s">
        <v>109</v>
      </c>
      <c r="AI37" s="2515" t="s">
        <v>109</v>
      </c>
      <c r="AJ37" s="2554">
        <v>-20</v>
      </c>
      <c r="AK37" s="2515">
        <v>-25</v>
      </c>
      <c r="AL37" s="2546">
        <v>-30</v>
      </c>
      <c r="AM37" s="2515">
        <v>-35</v>
      </c>
      <c r="AV37" s="2554" t="s">
        <v>109</v>
      </c>
      <c r="AW37" s="2512" t="s">
        <v>109</v>
      </c>
      <c r="AX37" s="2546" t="s">
        <v>109</v>
      </c>
      <c r="AY37" s="2515" t="s">
        <v>109</v>
      </c>
    </row>
    <row r="38" spans="1:51">
      <c r="A38" s="1577"/>
      <c r="B38" s="1577"/>
      <c r="C38" s="1595"/>
      <c r="D38" s="2505"/>
      <c r="E38" s="2505"/>
      <c r="F38" s="2505"/>
      <c r="G38" s="2505"/>
      <c r="H38" s="2505"/>
      <c r="I38" s="2505"/>
      <c r="J38" s="2505"/>
      <c r="K38" s="2505"/>
      <c r="L38" s="2617"/>
      <c r="M38" s="2518"/>
      <c r="N38" s="2617"/>
      <c r="O38" s="2518"/>
      <c r="P38" s="1595"/>
      <c r="Q38" s="1595"/>
      <c r="R38" s="1595"/>
      <c r="S38" s="1595"/>
      <c r="T38" s="2586"/>
      <c r="U38" s="2586"/>
      <c r="V38" s="2586"/>
      <c r="W38" s="2587"/>
      <c r="X38" s="2532"/>
      <c r="Y38" s="2533"/>
      <c r="Z38" s="2533"/>
      <c r="AA38" s="2533"/>
      <c r="AB38" s="2553"/>
      <c r="AC38" s="2507"/>
      <c r="AD38" s="2545"/>
      <c r="AE38" s="2507"/>
      <c r="AF38" s="2553"/>
      <c r="AG38" s="2512"/>
      <c r="AH38" s="2545"/>
      <c r="AI38" s="2507"/>
      <c r="AJ38" s="2553"/>
      <c r="AK38" s="2507"/>
      <c r="AL38" s="2545"/>
      <c r="AM38" s="2507"/>
      <c r="AV38" s="2553"/>
      <c r="AW38" s="2512"/>
      <c r="AX38" s="2545"/>
      <c r="AY38" s="2507"/>
    </row>
    <row r="39" spans="1:51" s="4" customFormat="1">
      <c r="A39" s="1103" t="s">
        <v>169</v>
      </c>
      <c r="B39" s="1103"/>
      <c r="C39" s="1594">
        <f>SUM(C40:C43)</f>
        <v>134</v>
      </c>
      <c r="D39" s="2510">
        <f>SUM(D40:D43)</f>
        <v>128</v>
      </c>
      <c r="E39" s="2511">
        <f>D39/C39</f>
        <v>0.95522388059701491</v>
      </c>
      <c r="F39" s="2510">
        <f>SUM(F40:F43)</f>
        <v>38</v>
      </c>
      <c r="G39" s="2511">
        <f>F39/D39</f>
        <v>0.296875</v>
      </c>
      <c r="H39" s="2510">
        <f>SUM(H40:H43)</f>
        <v>126</v>
      </c>
      <c r="I39" s="2606">
        <f>H39/C39</f>
        <v>0.94029850746268662</v>
      </c>
      <c r="J39" s="2510">
        <f>SUM(J40:J43)</f>
        <v>33</v>
      </c>
      <c r="K39" s="2606">
        <f>J39/H39</f>
        <v>0.26190476190476192</v>
      </c>
      <c r="L39" s="2613">
        <f>SUM(L40:L43)</f>
        <v>73</v>
      </c>
      <c r="M39" s="2614">
        <f>L39/C39</f>
        <v>0.54477611940298509</v>
      </c>
      <c r="N39" s="2613">
        <f>SUM(N40:N43)</f>
        <v>14</v>
      </c>
      <c r="O39" s="2614">
        <f>N39/L39</f>
        <v>0.19178082191780821</v>
      </c>
      <c r="P39" s="1594">
        <f>SUM(P40:P43)</f>
        <v>104</v>
      </c>
      <c r="Q39" s="1105">
        <f>P39/C39</f>
        <v>0.77611940298507465</v>
      </c>
      <c r="R39" s="1594">
        <f>SUM(R40:R43)</f>
        <v>26</v>
      </c>
      <c r="S39" s="1105">
        <f>R39/P39</f>
        <v>0.25</v>
      </c>
      <c r="T39" s="2588">
        <f>SUM(T40:T43)</f>
        <v>26</v>
      </c>
      <c r="U39" s="2511">
        <f>T39/C39</f>
        <v>0.19402985074626866</v>
      </c>
      <c r="V39" s="2588">
        <f>SUM(V40:V43)</f>
        <v>0</v>
      </c>
      <c r="W39" s="2599"/>
      <c r="X39" s="2534">
        <f>SUM(X40:X43)</f>
        <v>57</v>
      </c>
      <c r="Y39" s="2513">
        <f>X39/C39</f>
        <v>0.42537313432835822</v>
      </c>
      <c r="Z39" s="2535">
        <f>SUM(Z40:Z43)</f>
        <v>20</v>
      </c>
      <c r="AA39" s="2528">
        <f>Z39/X39</f>
        <v>0.35087719298245612</v>
      </c>
      <c r="AB39" s="2576">
        <f>SUM(AB40:AB43)</f>
        <v>112</v>
      </c>
      <c r="AC39" s="2512">
        <f>AB39/C39</f>
        <v>0.83582089552238803</v>
      </c>
      <c r="AD39" s="2578">
        <f>SUM(AD40:AD43)</f>
        <v>24</v>
      </c>
      <c r="AE39" s="2550">
        <f>AD39/AB39</f>
        <v>0.21428571428571427</v>
      </c>
      <c r="AF39" s="2576">
        <f>SUM(AF40:AF43)</f>
        <v>93</v>
      </c>
      <c r="AG39" s="2512">
        <f t="shared" si="13"/>
        <v>0.69402985074626866</v>
      </c>
      <c r="AH39" s="2578">
        <f>SUM(AH40:AH43)</f>
        <v>17</v>
      </c>
      <c r="AI39" s="2550">
        <f>AH39/AF39</f>
        <v>0.18279569892473119</v>
      </c>
      <c r="AJ39" s="2576" t="e">
        <f>SUM(AJ40:AJ43)</f>
        <v>#REF!</v>
      </c>
      <c r="AK39" s="2512" t="e">
        <f>AJ39/K39</f>
        <v>#REF!</v>
      </c>
      <c r="AL39" s="2578" t="e">
        <f>SUM(AL40:AL43)</f>
        <v>#REF!</v>
      </c>
      <c r="AM39" s="2550" t="e">
        <f>AL39/AJ39</f>
        <v>#REF!</v>
      </c>
      <c r="AV39" s="2576">
        <f>SUM(AV40:AV43)</f>
        <v>93</v>
      </c>
      <c r="AW39" s="2512">
        <f t="shared" ref="AW39:AW41" si="30">AV39/S39</f>
        <v>372</v>
      </c>
      <c r="AX39" s="2578">
        <f>SUM(AX40:AX43)</f>
        <v>17</v>
      </c>
      <c r="AY39" s="2550">
        <f>AX39/AV39</f>
        <v>0.18279569892473119</v>
      </c>
    </row>
    <row r="40" spans="1:51">
      <c r="A40" s="1577"/>
      <c r="B40" s="1577" t="s">
        <v>330</v>
      </c>
      <c r="C40" s="1595">
        <v>84</v>
      </c>
      <c r="D40" s="2505">
        <f>[1]Phosphate!K118</f>
        <v>79</v>
      </c>
      <c r="E40" s="2514">
        <f>D40/C40</f>
        <v>0.94047619047619047</v>
      </c>
      <c r="F40" s="2505">
        <f>[1]Phosphate!K117</f>
        <v>15</v>
      </c>
      <c r="G40" s="2514">
        <f>F40/D40</f>
        <v>0.189873417721519</v>
      </c>
      <c r="H40" s="2505">
        <f>[1]Phosphate!L118</f>
        <v>80</v>
      </c>
      <c r="I40" s="2603">
        <f>H40/C40</f>
        <v>0.95238095238095233</v>
      </c>
      <c r="J40" s="2505">
        <f>[1]Phosphate!L117</f>
        <v>14</v>
      </c>
      <c r="K40" s="2603">
        <f>J40/H40</f>
        <v>0.17499999999999999</v>
      </c>
      <c r="L40" s="2617">
        <f>[1]Phosphate!M118</f>
        <v>50</v>
      </c>
      <c r="M40" s="2518">
        <f>L40/C40</f>
        <v>0.59523809523809523</v>
      </c>
      <c r="N40" s="2617">
        <f>[1]Phosphate!M117</f>
        <v>5</v>
      </c>
      <c r="O40" s="2518">
        <f>N40/L40</f>
        <v>0.1</v>
      </c>
      <c r="P40" s="1595">
        <f>[1]Phosphate!N118</f>
        <v>81</v>
      </c>
      <c r="Q40" s="1601">
        <f>P40/C40</f>
        <v>0.9642857142857143</v>
      </c>
      <c r="R40" s="1595">
        <f>[1]Phosphate!N117</f>
        <v>17</v>
      </c>
      <c r="S40" s="1596">
        <f>R40/P40</f>
        <v>0.20987654320987653</v>
      </c>
      <c r="T40" s="2586">
        <f>[1]Phosphate!O118</f>
        <v>26</v>
      </c>
      <c r="U40" s="2514"/>
      <c r="V40" s="2586">
        <f>[1]Phosphate!O117</f>
        <v>0</v>
      </c>
      <c r="W40" s="2587"/>
      <c r="X40" s="2532">
        <f>[1]Phosphate!Q113</f>
        <v>24</v>
      </c>
      <c r="Y40" s="2516">
        <f>X40/C40</f>
        <v>0.2857142857142857</v>
      </c>
      <c r="Z40" s="2539">
        <f>[1]Phosphate!Q112</f>
        <v>2</v>
      </c>
      <c r="AA40" s="2529">
        <f>Z40/X40</f>
        <v>8.3333333333333329E-2</v>
      </c>
      <c r="AB40" s="2553">
        <f>Phosphate!Q134</f>
        <v>78</v>
      </c>
      <c r="AC40" s="2515">
        <f>AB40/C40</f>
        <v>0.9285714285714286</v>
      </c>
      <c r="AD40" s="2545">
        <f>Phosphate!Q133</f>
        <v>6</v>
      </c>
      <c r="AE40" s="2551">
        <f>AD40/AB40</f>
        <v>7.6923076923076927E-2</v>
      </c>
      <c r="AF40" s="2553">
        <v>79</v>
      </c>
      <c r="AG40" s="2512">
        <f t="shared" si="13"/>
        <v>0.94047619047619047</v>
      </c>
      <c r="AH40" s="2545">
        <v>12</v>
      </c>
      <c r="AI40" s="2551">
        <f>AH40/AF40</f>
        <v>0.15189873417721519</v>
      </c>
      <c r="AJ40" s="2553">
        <f>Phosphate!AC118</f>
        <v>0</v>
      </c>
      <c r="AK40" s="2515">
        <f>AJ40/K40</f>
        <v>0</v>
      </c>
      <c r="AL40" s="2545">
        <f>Phosphate!AC117</f>
        <v>0</v>
      </c>
      <c r="AM40" s="2551" t="e">
        <f>AL40/AJ40</f>
        <v>#DIV/0!</v>
      </c>
      <c r="AV40" s="2553">
        <v>79</v>
      </c>
      <c r="AW40" s="2512">
        <f t="shared" si="30"/>
        <v>376.41176470588238</v>
      </c>
      <c r="AX40" s="2545">
        <v>12</v>
      </c>
      <c r="AY40" s="2551">
        <f>AX40/AV40</f>
        <v>0.15189873417721519</v>
      </c>
    </row>
    <row r="41" spans="1:51">
      <c r="A41" s="1577"/>
      <c r="B41" s="1577" t="s">
        <v>111</v>
      </c>
      <c r="C41" s="1595">
        <v>14</v>
      </c>
      <c r="D41" s="2505">
        <f>[1]Phosphate!K189</f>
        <v>14</v>
      </c>
      <c r="E41" s="2514">
        <f>D41/C41</f>
        <v>1</v>
      </c>
      <c r="F41" s="2523">
        <f>[1]Phosphate!K188</f>
        <v>0</v>
      </c>
      <c r="G41" s="2514">
        <f>F41/D41</f>
        <v>0</v>
      </c>
      <c r="H41" s="2505">
        <f>[1]Phosphate!L189</f>
        <v>14</v>
      </c>
      <c r="I41" s="2603">
        <f>H41/C41</f>
        <v>1</v>
      </c>
      <c r="J41" s="2523">
        <f>[1]Phosphate!L188</f>
        <v>0</v>
      </c>
      <c r="K41" s="2603">
        <f>J41/H41</f>
        <v>0</v>
      </c>
      <c r="L41" s="2617">
        <f>[1]Phosphate!M189</f>
        <v>14</v>
      </c>
      <c r="M41" s="2518">
        <f>L41/C41</f>
        <v>1</v>
      </c>
      <c r="N41" s="2618">
        <f>[1]Phosphate!M188</f>
        <v>0</v>
      </c>
      <c r="O41" s="2518">
        <f>N41/L41</f>
        <v>0</v>
      </c>
      <c r="P41" s="1595">
        <f>[1]Phosphate!N189</f>
        <v>14</v>
      </c>
      <c r="Q41" s="1601">
        <f>P41/C41</f>
        <v>1</v>
      </c>
      <c r="R41" s="1597">
        <f>[1]Phosphate!N188</f>
        <v>0</v>
      </c>
      <c r="S41" s="1596">
        <f>R41/P41</f>
        <v>0</v>
      </c>
      <c r="T41" s="2505" t="s">
        <v>336</v>
      </c>
      <c r="U41" s="2505" t="s">
        <v>336</v>
      </c>
      <c r="V41" s="2586"/>
      <c r="W41" s="2587"/>
      <c r="X41" s="2536">
        <f>[1]Phosphate!Q189</f>
        <v>0</v>
      </c>
      <c r="Y41" s="2516">
        <v>0</v>
      </c>
      <c r="Z41" s="2552">
        <f>[1]Phosphate!Q188</f>
        <v>0</v>
      </c>
      <c r="AA41" s="2516">
        <v>0</v>
      </c>
      <c r="AB41" s="2554">
        <f>[1]Phosphate!U189</f>
        <v>0</v>
      </c>
      <c r="AC41" s="2515">
        <v>0</v>
      </c>
      <c r="AD41" s="2541">
        <f>[1]Phosphate!U188</f>
        <v>0</v>
      </c>
      <c r="AE41" s="2515">
        <v>0</v>
      </c>
      <c r="AF41" s="2554">
        <v>14</v>
      </c>
      <c r="AG41" s="2512">
        <f t="shared" si="13"/>
        <v>1</v>
      </c>
      <c r="AH41" s="2541">
        <v>5</v>
      </c>
      <c r="AI41" s="2515">
        <v>1</v>
      </c>
      <c r="AJ41" s="2554" t="e">
        <f>[1]Phosphate!AC189</f>
        <v>#REF!</v>
      </c>
      <c r="AK41" s="2515">
        <v>2</v>
      </c>
      <c r="AL41" s="2541" t="e">
        <f>[1]Phosphate!AC188</f>
        <v>#REF!</v>
      </c>
      <c r="AM41" s="2515">
        <v>2</v>
      </c>
      <c r="AV41" s="2554">
        <v>14</v>
      </c>
      <c r="AW41" s="2512" t="e">
        <f t="shared" si="30"/>
        <v>#DIV/0!</v>
      </c>
      <c r="AX41" s="2541">
        <v>5</v>
      </c>
      <c r="AY41" s="2515">
        <v>1</v>
      </c>
    </row>
    <row r="42" spans="1:51">
      <c r="A42" s="1577"/>
      <c r="B42" s="1577" t="s">
        <v>332</v>
      </c>
      <c r="C42" s="1595">
        <v>9</v>
      </c>
      <c r="D42" s="2505">
        <f>[1]Phosphate!K168</f>
        <v>9</v>
      </c>
      <c r="E42" s="2514">
        <f>D42/C42</f>
        <v>1</v>
      </c>
      <c r="F42" s="2523">
        <f>[1]Phosphate!K167</f>
        <v>9</v>
      </c>
      <c r="G42" s="2514">
        <f>F42/D42</f>
        <v>1</v>
      </c>
      <c r="H42" s="2505">
        <f>[1]Phosphate!L168</f>
        <v>9</v>
      </c>
      <c r="I42" s="2603">
        <f>H42/C42</f>
        <v>1</v>
      </c>
      <c r="J42" s="2523">
        <f>[1]Phosphate!L167</f>
        <v>9</v>
      </c>
      <c r="K42" s="2603">
        <f>J42/H42</f>
        <v>1</v>
      </c>
      <c r="L42" s="2617">
        <f>[1]Phosphate!M168</f>
        <v>9</v>
      </c>
      <c r="M42" s="2518">
        <f>L42/C42</f>
        <v>1</v>
      </c>
      <c r="N42" s="2617">
        <v>9</v>
      </c>
      <c r="O42" s="2518">
        <f>N42/L42</f>
        <v>1</v>
      </c>
      <c r="P42" s="1595">
        <f>[1]Phosphate!N168</f>
        <v>9</v>
      </c>
      <c r="Q42" s="1601">
        <f>P42/C42</f>
        <v>1</v>
      </c>
      <c r="R42" s="1597">
        <f>[1]Phosphate!N167</f>
        <v>9</v>
      </c>
      <c r="S42" s="1596">
        <f>R42/P42</f>
        <v>1</v>
      </c>
      <c r="T42" s="2505" t="s">
        <v>336</v>
      </c>
      <c r="U42" s="2505" t="s">
        <v>336</v>
      </c>
      <c r="V42" s="2586"/>
      <c r="W42" s="2587"/>
      <c r="X42" s="2536">
        <f>[1]Phosphate!Q168</f>
        <v>9</v>
      </c>
      <c r="Y42" s="2516">
        <v>0</v>
      </c>
      <c r="Z42" s="2552">
        <f>[1]Phosphate!Q167</f>
        <v>9</v>
      </c>
      <c r="AA42" s="2516">
        <v>0</v>
      </c>
      <c r="AB42" s="2554">
        <v>9</v>
      </c>
      <c r="AC42" s="2515">
        <v>0</v>
      </c>
      <c r="AD42" s="2541">
        <v>9</v>
      </c>
      <c r="AE42" s="2515">
        <v>0</v>
      </c>
      <c r="AF42" s="2554" t="s">
        <v>109</v>
      </c>
      <c r="AG42" s="2512" t="s">
        <v>109</v>
      </c>
      <c r="AH42" s="2541" t="s">
        <v>109</v>
      </c>
      <c r="AI42" s="2515" t="s">
        <v>109</v>
      </c>
      <c r="AJ42" s="2554">
        <v>-7.2</v>
      </c>
      <c r="AK42" s="2515">
        <v>-9</v>
      </c>
      <c r="AL42" s="2541">
        <v>-10.8</v>
      </c>
      <c r="AM42" s="2515">
        <v>-12.6</v>
      </c>
      <c r="AV42" s="2554" t="s">
        <v>109</v>
      </c>
      <c r="AW42" s="2512" t="s">
        <v>109</v>
      </c>
      <c r="AX42" s="2541" t="s">
        <v>109</v>
      </c>
      <c r="AY42" s="2515" t="s">
        <v>109</v>
      </c>
    </row>
    <row r="43" spans="1:51">
      <c r="A43" s="1577"/>
      <c r="B43" s="1577" t="s">
        <v>344</v>
      </c>
      <c r="C43" s="1595">
        <v>27</v>
      </c>
      <c r="D43" s="2505">
        <f>[1]Phosphate!K152</f>
        <v>26</v>
      </c>
      <c r="E43" s="2514">
        <f>D43/C43</f>
        <v>0.96296296296296291</v>
      </c>
      <c r="F43" s="2523">
        <f>[1]Phosphate!K151</f>
        <v>14</v>
      </c>
      <c r="G43" s="2514">
        <f>F43/D43</f>
        <v>0.53846153846153844</v>
      </c>
      <c r="H43" s="2505">
        <f>[1]Phosphate!L152</f>
        <v>23</v>
      </c>
      <c r="I43" s="2603">
        <f>H43/C43</f>
        <v>0.85185185185185186</v>
      </c>
      <c r="J43" s="2523">
        <f>[1]Phosphate!L151</f>
        <v>10</v>
      </c>
      <c r="K43" s="2603">
        <f>J43/H43</f>
        <v>0.43478260869565216</v>
      </c>
      <c r="L43" s="2617" t="s">
        <v>336</v>
      </c>
      <c r="M43" s="2617" t="s">
        <v>336</v>
      </c>
      <c r="N43" s="2617" t="s">
        <v>336</v>
      </c>
      <c r="O43" s="2617" t="s">
        <v>336</v>
      </c>
      <c r="P43" s="1598" t="s">
        <v>336</v>
      </c>
      <c r="Q43" s="1598" t="s">
        <v>336</v>
      </c>
      <c r="R43" s="1598" t="s">
        <v>336</v>
      </c>
      <c r="S43" s="1598" t="s">
        <v>336</v>
      </c>
      <c r="T43" s="2505" t="s">
        <v>336</v>
      </c>
      <c r="U43" s="2505" t="s">
        <v>336</v>
      </c>
      <c r="V43" s="2586"/>
      <c r="W43" s="2587"/>
      <c r="X43" s="2536">
        <f>[1]Phosphate!Q152</f>
        <v>24</v>
      </c>
      <c r="Y43" s="2516">
        <v>0</v>
      </c>
      <c r="Z43" s="2552">
        <f>[1]Phosphate!Q151</f>
        <v>9</v>
      </c>
      <c r="AA43" s="2516">
        <v>0</v>
      </c>
      <c r="AB43" s="2554">
        <v>25</v>
      </c>
      <c r="AC43" s="2515">
        <v>0</v>
      </c>
      <c r="AD43" s="2541">
        <v>9</v>
      </c>
      <c r="AE43" s="2515">
        <v>0</v>
      </c>
      <c r="AF43" s="2554" t="s">
        <v>109</v>
      </c>
      <c r="AG43" s="2512" t="s">
        <v>109</v>
      </c>
      <c r="AH43" s="2541" t="s">
        <v>109</v>
      </c>
      <c r="AI43" s="2515" t="s">
        <v>109</v>
      </c>
      <c r="AJ43" s="2554">
        <v>-34.4</v>
      </c>
      <c r="AK43" s="2515">
        <v>-41</v>
      </c>
      <c r="AL43" s="2541">
        <v>-47.6</v>
      </c>
      <c r="AM43" s="2515">
        <v>-54.2</v>
      </c>
      <c r="AV43" s="2554" t="s">
        <v>109</v>
      </c>
      <c r="AW43" s="2512" t="s">
        <v>109</v>
      </c>
      <c r="AX43" s="2541" t="s">
        <v>109</v>
      </c>
      <c r="AY43" s="2515" t="s">
        <v>109</v>
      </c>
    </row>
    <row r="44" spans="1:51">
      <c r="A44" s="1577"/>
      <c r="B44" s="1577"/>
      <c r="C44" s="1595"/>
      <c r="D44" s="2505"/>
      <c r="E44" s="2505"/>
      <c r="F44" s="2505"/>
      <c r="G44" s="2505"/>
      <c r="H44" s="2505"/>
      <c r="I44" s="2505"/>
      <c r="J44" s="2505"/>
      <c r="K44" s="2505"/>
      <c r="L44" s="2617"/>
      <c r="M44" s="2518"/>
      <c r="N44" s="2617"/>
      <c r="O44" s="2617"/>
      <c r="P44" s="1595"/>
      <c r="Q44" s="1595"/>
      <c r="R44" s="1595"/>
      <c r="S44" s="1595"/>
      <c r="T44" s="2586"/>
      <c r="U44" s="2586"/>
      <c r="V44" s="2586"/>
      <c r="W44" s="2587"/>
      <c r="X44" s="2532"/>
      <c r="Y44" s="2533"/>
      <c r="Z44" s="2533"/>
      <c r="AA44" s="2533"/>
      <c r="AB44" s="2553"/>
      <c r="AC44" s="2507"/>
      <c r="AD44" s="2545"/>
      <c r="AE44" s="2507"/>
      <c r="AF44" s="2553"/>
      <c r="AG44" s="2512"/>
      <c r="AH44" s="2545"/>
      <c r="AI44" s="2507"/>
      <c r="AJ44" s="2553"/>
      <c r="AK44" s="2507"/>
      <c r="AL44" s="2545"/>
      <c r="AM44" s="2507"/>
      <c r="AV44" s="2553"/>
      <c r="AW44" s="2512"/>
      <c r="AX44" s="2545"/>
      <c r="AY44" s="2507"/>
    </row>
    <row r="45" spans="1:51" s="4" customFormat="1">
      <c r="A45" s="1103" t="s">
        <v>206</v>
      </c>
      <c r="B45" s="1103"/>
      <c r="C45" s="1594">
        <f>SUM(C46:C49)</f>
        <v>69</v>
      </c>
      <c r="D45" s="2510">
        <f>SUM(D46:D49)</f>
        <v>62</v>
      </c>
      <c r="E45" s="2511">
        <f>D45/C45</f>
        <v>0.89855072463768115</v>
      </c>
      <c r="F45" s="2510">
        <f>SUM(F46:F49)</f>
        <v>16</v>
      </c>
      <c r="G45" s="2511">
        <f>F45/D45</f>
        <v>0.25806451612903225</v>
      </c>
      <c r="H45" s="2510">
        <f>SUM(H46:H49)</f>
        <v>33</v>
      </c>
      <c r="I45" s="2606">
        <f>H45/C45</f>
        <v>0.47826086956521741</v>
      </c>
      <c r="J45" s="2510">
        <f>SUM(J46:J49)</f>
        <v>3</v>
      </c>
      <c r="K45" s="2606">
        <f>J45/H45</f>
        <v>9.0909090909090912E-2</v>
      </c>
      <c r="L45" s="2613">
        <f>SUM(L46:L49)</f>
        <v>33</v>
      </c>
      <c r="M45" s="2614">
        <f>L45/C45</f>
        <v>0.47826086956521741</v>
      </c>
      <c r="N45" s="2613">
        <f>SUM(N46:N49)</f>
        <v>5</v>
      </c>
      <c r="O45" s="2619">
        <f>N45/L45</f>
        <v>0.15151515151515152</v>
      </c>
      <c r="P45" s="1594">
        <f>SUM(P46:P49)</f>
        <v>36</v>
      </c>
      <c r="Q45" s="1105">
        <f>P45/C45</f>
        <v>0.52173913043478259</v>
      </c>
      <c r="R45" s="1594">
        <f>SUM(R46:R49)</f>
        <v>10</v>
      </c>
      <c r="S45" s="1105">
        <f>R45/P45</f>
        <v>0.27777777777777779</v>
      </c>
      <c r="T45" s="2588">
        <f>SUM(T46:T49)</f>
        <v>39</v>
      </c>
      <c r="U45" s="2511">
        <f>T45/C45</f>
        <v>0.56521739130434778</v>
      </c>
      <c r="V45" s="2588">
        <f>SUM(V46:V49)</f>
        <v>10</v>
      </c>
      <c r="W45" s="2589">
        <f>V45/T45</f>
        <v>0.25641025641025639</v>
      </c>
      <c r="X45" s="2534">
        <f>SUM(X46:X49)</f>
        <v>48</v>
      </c>
      <c r="Y45" s="2513">
        <f>X45/C45</f>
        <v>0.69565217391304346</v>
      </c>
      <c r="Z45" s="2535">
        <f>SUM(Z46:Z49)</f>
        <v>15</v>
      </c>
      <c r="AA45" s="2513">
        <f>Z45/X45</f>
        <v>0.3125</v>
      </c>
      <c r="AB45" s="2576" t="e">
        <f>SUM(AB46:AB49)</f>
        <v>#REF!</v>
      </c>
      <c r="AC45" s="2512" t="e">
        <f>AB45/C45</f>
        <v>#REF!</v>
      </c>
      <c r="AD45" s="2578">
        <f>SUM(AD46:AD49)</f>
        <v>16</v>
      </c>
      <c r="AE45" s="2512" t="e">
        <f>AD45/AB45</f>
        <v>#REF!</v>
      </c>
      <c r="AF45" s="2576">
        <f>SUM(AF46:AF49)</f>
        <v>33</v>
      </c>
      <c r="AG45" s="2512">
        <f t="shared" si="13"/>
        <v>0.47826086956521741</v>
      </c>
      <c r="AH45" s="2578">
        <f>SUM(AH46:AH49)</f>
        <v>1</v>
      </c>
      <c r="AI45" s="2512">
        <f>AH45/AF45</f>
        <v>3.0303030303030304E-2</v>
      </c>
      <c r="AJ45" s="2576" t="e">
        <f>SUM(AJ46:AJ49)</f>
        <v>#REF!</v>
      </c>
      <c r="AK45" s="2512" t="e">
        <f>AJ45/K45</f>
        <v>#REF!</v>
      </c>
      <c r="AL45" s="2578">
        <f>SUM(AL46:AL49)</f>
        <v>16</v>
      </c>
      <c r="AM45" s="2512" t="e">
        <f>AL45/AJ45</f>
        <v>#REF!</v>
      </c>
      <c r="AV45" s="2576">
        <f>SUM(AV46:AV49)</f>
        <v>33</v>
      </c>
      <c r="AW45" s="2512">
        <f t="shared" ref="AW45:AW47" si="31">AV45/S45</f>
        <v>118.8</v>
      </c>
      <c r="AX45" s="2578">
        <f>SUM(AX46:AX49)</f>
        <v>1</v>
      </c>
      <c r="AY45" s="2512">
        <f>AX45/AV45</f>
        <v>3.0303030303030304E-2</v>
      </c>
    </row>
    <row r="46" spans="1:51">
      <c r="A46" s="1577"/>
      <c r="B46" s="1577" t="s">
        <v>331</v>
      </c>
      <c r="C46" s="1595">
        <v>19</v>
      </c>
      <c r="D46" s="2530">
        <f>'[1]Total Coliform'!J57</f>
        <v>14</v>
      </c>
      <c r="E46" s="2514">
        <f>D46/C46</f>
        <v>0.73684210526315785</v>
      </c>
      <c r="F46" s="2530">
        <f>'[1]Total Coliform'!J56</f>
        <v>7</v>
      </c>
      <c r="G46" s="2514">
        <f>F46/D46</f>
        <v>0.5</v>
      </c>
      <c r="H46" s="2607">
        <f>'[1]Total Coliform'!L20+'[1]Total Coliform'!L35+'[1]Total Coliform'!L53</f>
        <v>19</v>
      </c>
      <c r="I46" s="2608">
        <f>H46/C46</f>
        <v>1</v>
      </c>
      <c r="J46" s="2607">
        <f>'[1]Total Coliform'!L56</f>
        <v>3</v>
      </c>
      <c r="K46" s="2608">
        <f>J46/H46</f>
        <v>0.15789473684210525</v>
      </c>
      <c r="L46" s="2620">
        <f>'[1]Total Coliform'!M57</f>
        <v>19</v>
      </c>
      <c r="M46" s="2548">
        <f>L46/C46</f>
        <v>1</v>
      </c>
      <c r="N46" s="2620">
        <f>'[1]Total Coliform'!M56</f>
        <v>5</v>
      </c>
      <c r="O46" s="2621">
        <f>N46/L46</f>
        <v>0.26315789473684209</v>
      </c>
      <c r="P46" s="1595">
        <f>'[1]Total Coliform'!N57</f>
        <v>13</v>
      </c>
      <c r="Q46" s="1601">
        <f>P46/C46</f>
        <v>0.68421052631578949</v>
      </c>
      <c r="R46" s="1595">
        <f>'[1]Total Coliform'!N56</f>
        <v>1</v>
      </c>
      <c r="S46" s="1596">
        <f>R46/P46</f>
        <v>7.6923076923076927E-2</v>
      </c>
      <c r="T46" s="2600">
        <f>'[1]Total Coliform'!O57</f>
        <v>9</v>
      </c>
      <c r="U46" s="2514">
        <f>T46/C46</f>
        <v>0.47368421052631576</v>
      </c>
      <c r="V46" s="2600">
        <f>'[1]Total Coliform'!O56</f>
        <v>1</v>
      </c>
      <c r="W46" s="2590">
        <f>V46/T46</f>
        <v>0.1111111111111111</v>
      </c>
      <c r="X46" s="2508">
        <v>14</v>
      </c>
      <c r="Y46" s="2516">
        <f>X46/C46</f>
        <v>0.73684210526315785</v>
      </c>
      <c r="Z46" s="2509">
        <v>6</v>
      </c>
      <c r="AA46" s="2516">
        <f>Z46/X46</f>
        <v>0.42857142857142855</v>
      </c>
      <c r="AB46" s="2553">
        <f>'Total Coliform'!R57</f>
        <v>19</v>
      </c>
      <c r="AC46" s="2515">
        <f>AB46/C46</f>
        <v>1</v>
      </c>
      <c r="AD46" s="2545">
        <f>'Total Coliform'!R56</f>
        <v>7</v>
      </c>
      <c r="AE46" s="2515">
        <f>AD46/AB46</f>
        <v>0.36842105263157893</v>
      </c>
      <c r="AF46" s="2553">
        <v>19</v>
      </c>
      <c r="AG46" s="2512">
        <f t="shared" si="13"/>
        <v>1</v>
      </c>
      <c r="AH46" s="2545">
        <v>1</v>
      </c>
      <c r="AI46" s="2515">
        <f>AH46/AF46</f>
        <v>5.2631578947368418E-2</v>
      </c>
      <c r="AJ46" s="2553">
        <f>'Total Coliform'!Z57</f>
        <v>19</v>
      </c>
      <c r="AK46" s="2515">
        <f>AJ46/K46</f>
        <v>120.33333333333334</v>
      </c>
      <c r="AL46" s="2545">
        <f>'Total Coliform'!Z56</f>
        <v>5</v>
      </c>
      <c r="AM46" s="2515">
        <f>AL46/AJ46</f>
        <v>0.26315789473684209</v>
      </c>
      <c r="AV46" s="2553">
        <v>19</v>
      </c>
      <c r="AW46" s="2512">
        <f t="shared" si="31"/>
        <v>247</v>
      </c>
      <c r="AX46" s="2545">
        <v>1</v>
      </c>
      <c r="AY46" s="2515">
        <f>AX46/AV46</f>
        <v>5.2631578947368418E-2</v>
      </c>
    </row>
    <row r="47" spans="1:51">
      <c r="A47" s="1577">
        <v>0</v>
      </c>
      <c r="B47" s="1577" t="s">
        <v>111</v>
      </c>
      <c r="C47" s="1595">
        <v>14</v>
      </c>
      <c r="D47" s="2530">
        <f>'[1]Total Coliform'!J130</f>
        <v>13</v>
      </c>
      <c r="E47" s="2514">
        <f>D47/C47</f>
        <v>0.9285714285714286</v>
      </c>
      <c r="F47" s="2530">
        <f>'[1]Total Coliform'!J129</f>
        <v>0</v>
      </c>
      <c r="G47" s="2514">
        <f>F47/D47</f>
        <v>0</v>
      </c>
      <c r="H47" s="2607">
        <f>'[1]Total Coliform'!L130</f>
        <v>14</v>
      </c>
      <c r="I47" s="2608">
        <f>H47/C47</f>
        <v>1</v>
      </c>
      <c r="J47" s="2607">
        <f>'[1]Total Coliform'!L129</f>
        <v>0</v>
      </c>
      <c r="K47" s="2608">
        <f>J47/H47</f>
        <v>0</v>
      </c>
      <c r="L47" s="2620">
        <f>'[1]Total Coliform'!M130</f>
        <v>14</v>
      </c>
      <c r="M47" s="2548">
        <f>L47/C47</f>
        <v>1</v>
      </c>
      <c r="N47" s="2620">
        <f>'[1]Total Coliform'!M129</f>
        <v>0</v>
      </c>
      <c r="O47" s="2621">
        <f>N47/L47</f>
        <v>0</v>
      </c>
      <c r="P47" s="1595">
        <f>'[1]Total Coliform'!N130</f>
        <v>14</v>
      </c>
      <c r="Q47" s="1601">
        <f>P47/C47</f>
        <v>1</v>
      </c>
      <c r="R47" s="1595">
        <v>0</v>
      </c>
      <c r="S47" s="1596">
        <f>R47/P47</f>
        <v>0</v>
      </c>
      <c r="T47" s="2505" t="s">
        <v>336</v>
      </c>
      <c r="U47" s="2505" t="s">
        <v>336</v>
      </c>
      <c r="V47" s="2505" t="s">
        <v>336</v>
      </c>
      <c r="W47" s="2590" t="s">
        <v>336</v>
      </c>
      <c r="X47" s="2517">
        <v>0</v>
      </c>
      <c r="Y47" s="2518">
        <f>X47/C47</f>
        <v>0</v>
      </c>
      <c r="Z47" s="2519">
        <v>0</v>
      </c>
      <c r="AA47" s="2516">
        <v>0</v>
      </c>
      <c r="AB47" s="2554" t="e">
        <f>'[1]Total Coliform'!U130</f>
        <v>#REF!</v>
      </c>
      <c r="AC47" s="2538">
        <v>0</v>
      </c>
      <c r="AD47" s="2546">
        <v>0</v>
      </c>
      <c r="AE47" s="2515">
        <v>0</v>
      </c>
      <c r="AF47" s="2554">
        <v>14</v>
      </c>
      <c r="AG47" s="2512">
        <f t="shared" si="13"/>
        <v>1</v>
      </c>
      <c r="AH47" s="2546">
        <v>0</v>
      </c>
      <c r="AI47" s="2515">
        <v>0</v>
      </c>
      <c r="AJ47" s="2554" t="e">
        <f>'[1]Total Coliform'!AC130</f>
        <v>#REF!</v>
      </c>
      <c r="AK47" s="2538">
        <v>0</v>
      </c>
      <c r="AL47" s="2546">
        <v>0</v>
      </c>
      <c r="AM47" s="2515">
        <v>0</v>
      </c>
      <c r="AV47" s="2554">
        <v>14</v>
      </c>
      <c r="AW47" s="2512" t="e">
        <f t="shared" si="31"/>
        <v>#DIV/0!</v>
      </c>
      <c r="AX47" s="2546">
        <v>0</v>
      </c>
      <c r="AY47" s="2515">
        <v>0</v>
      </c>
    </row>
    <row r="48" spans="1:51">
      <c r="A48" s="1577"/>
      <c r="B48" s="1577" t="s">
        <v>332</v>
      </c>
      <c r="C48" s="1595">
        <v>9</v>
      </c>
      <c r="D48" s="2530">
        <f>'[1]Total Coliform'!J73</f>
        <v>9</v>
      </c>
      <c r="E48" s="2514">
        <f>D48/C48</f>
        <v>1</v>
      </c>
      <c r="F48" s="2530">
        <f>'[1]Total Coliform'!J72</f>
        <v>9</v>
      </c>
      <c r="G48" s="2514">
        <f>F48/D48</f>
        <v>1</v>
      </c>
      <c r="H48" s="2607"/>
      <c r="I48" s="2608">
        <f>H48/C48</f>
        <v>0</v>
      </c>
      <c r="J48" s="2607"/>
      <c r="K48" s="2608" t="e">
        <f>J48/H48</f>
        <v>#DIV/0!</v>
      </c>
      <c r="L48" s="2617"/>
      <c r="M48" s="2518">
        <f>L48/C48</f>
        <v>0</v>
      </c>
      <c r="N48" s="2617"/>
      <c r="O48" s="2621" t="e">
        <f>N48/L48</f>
        <v>#DIV/0!</v>
      </c>
      <c r="P48" s="1595">
        <f>'[1]Total Coliform'!N73</f>
        <v>9</v>
      </c>
      <c r="Q48" s="1601">
        <f>P48/C48</f>
        <v>1</v>
      </c>
      <c r="R48" s="1595">
        <f>'[1]Total Coliform'!N72</f>
        <v>9</v>
      </c>
      <c r="S48" s="1596">
        <f>R48/P48</f>
        <v>1</v>
      </c>
      <c r="T48" s="2600">
        <f>'[1]Total Coliform'!O73</f>
        <v>9</v>
      </c>
      <c r="U48" s="2514">
        <f>T48/C48</f>
        <v>1</v>
      </c>
      <c r="V48" s="2600">
        <f>'[1]Total Coliform'!O72</f>
        <v>9</v>
      </c>
      <c r="W48" s="2590">
        <f>V48/T48</f>
        <v>1</v>
      </c>
      <c r="X48" s="2531">
        <f>'[1]Total Coliform'!Q73</f>
        <v>9</v>
      </c>
      <c r="Y48" s="2516">
        <f>X48/C48</f>
        <v>1</v>
      </c>
      <c r="Z48" s="2519">
        <v>9</v>
      </c>
      <c r="AA48" s="2516">
        <v>0</v>
      </c>
      <c r="AB48" s="2555">
        <f>'Total Coliform'!R73</f>
        <v>9</v>
      </c>
      <c r="AC48" s="2515">
        <f>AB48/C48</f>
        <v>1</v>
      </c>
      <c r="AD48" s="2546">
        <f>'Total Coliform'!R72</f>
        <v>9</v>
      </c>
      <c r="AE48" s="2515">
        <f>AD48/AB48</f>
        <v>1</v>
      </c>
      <c r="AF48" s="2555" t="s">
        <v>109</v>
      </c>
      <c r="AG48" s="2555" t="s">
        <v>109</v>
      </c>
      <c r="AH48" s="2555" t="s">
        <v>109</v>
      </c>
      <c r="AI48" s="2555" t="s">
        <v>109</v>
      </c>
      <c r="AJ48" s="2555">
        <f>'Total Coliform'!Z73</f>
        <v>9</v>
      </c>
      <c r="AK48" s="2515" t="e">
        <f>AJ48/K48</f>
        <v>#DIV/0!</v>
      </c>
      <c r="AL48" s="2546">
        <f>'Total Coliform'!Z72</f>
        <v>9</v>
      </c>
      <c r="AM48" s="2515">
        <f>AL48/AJ48</f>
        <v>1</v>
      </c>
      <c r="AV48" s="2555" t="s">
        <v>109</v>
      </c>
      <c r="AW48" s="2555" t="s">
        <v>109</v>
      </c>
      <c r="AX48" s="2555" t="s">
        <v>109</v>
      </c>
      <c r="AY48" s="2555" t="s">
        <v>109</v>
      </c>
    </row>
    <row r="49" spans="1:51">
      <c r="A49" s="1577"/>
      <c r="B49" s="1577" t="s">
        <v>344</v>
      </c>
      <c r="C49" s="1595">
        <v>27</v>
      </c>
      <c r="D49" s="2530">
        <f>'[1]Total Coliform'!J108</f>
        <v>26</v>
      </c>
      <c r="E49" s="2514">
        <f>D49/C49</f>
        <v>0.96296296296296291</v>
      </c>
      <c r="F49" s="2530">
        <f>'[1]Total Coliform'!J107</f>
        <v>0</v>
      </c>
      <c r="G49" s="2514">
        <f>F49/D49</f>
        <v>0</v>
      </c>
      <c r="H49" s="2607"/>
      <c r="I49" s="2608">
        <f>H49/C49</f>
        <v>0</v>
      </c>
      <c r="J49" s="2607"/>
      <c r="K49" s="2608" t="e">
        <f>J49/H49</f>
        <v>#DIV/0!</v>
      </c>
      <c r="L49" s="2617"/>
      <c r="M49" s="2617" t="s">
        <v>336</v>
      </c>
      <c r="N49" s="2617"/>
      <c r="O49" s="2617" t="s">
        <v>336</v>
      </c>
      <c r="P49" s="1598" t="s">
        <v>336</v>
      </c>
      <c r="Q49" s="1598" t="s">
        <v>336</v>
      </c>
      <c r="R49" s="1598" t="s">
        <v>336</v>
      </c>
      <c r="S49" s="1598" t="s">
        <v>336</v>
      </c>
      <c r="T49" s="2600">
        <f>'[1]Total Coliform'!O108</f>
        <v>21</v>
      </c>
      <c r="U49" s="2514">
        <f>T49/C49</f>
        <v>0.77777777777777779</v>
      </c>
      <c r="V49" s="2600">
        <f>'[1]Total Coliform'!O107</f>
        <v>0</v>
      </c>
      <c r="W49" s="2590">
        <f>V49/T49</f>
        <v>0</v>
      </c>
      <c r="X49" s="2531">
        <v>25</v>
      </c>
      <c r="Y49" s="2516">
        <v>0</v>
      </c>
      <c r="Z49" s="2519">
        <v>0</v>
      </c>
      <c r="AA49" s="2516">
        <v>0</v>
      </c>
      <c r="AB49" s="2555">
        <f>'Total Coliform'!R119</f>
        <v>20</v>
      </c>
      <c r="AC49" s="2515">
        <f>AB49/C49</f>
        <v>0.7407407407407407</v>
      </c>
      <c r="AD49" s="2585">
        <v>0</v>
      </c>
      <c r="AE49" s="2515">
        <f>AD49/AB49</f>
        <v>0</v>
      </c>
      <c r="AF49" s="2555" t="s">
        <v>109</v>
      </c>
      <c r="AG49" s="2555" t="s">
        <v>109</v>
      </c>
      <c r="AH49" s="2555" t="s">
        <v>109</v>
      </c>
      <c r="AI49" s="2555" t="s">
        <v>109</v>
      </c>
      <c r="AJ49" s="2555">
        <f>'Total Coliform'!Z119</f>
        <v>27</v>
      </c>
      <c r="AK49" s="2515" t="e">
        <f>AJ49/K49</f>
        <v>#DIV/0!</v>
      </c>
      <c r="AL49" s="2585">
        <v>2</v>
      </c>
      <c r="AM49" s="2515">
        <f>AL49/AJ49</f>
        <v>7.407407407407407E-2</v>
      </c>
      <c r="AV49" s="2555" t="s">
        <v>109</v>
      </c>
      <c r="AW49" s="2555" t="s">
        <v>109</v>
      </c>
      <c r="AX49" s="2555" t="s">
        <v>109</v>
      </c>
      <c r="AY49" s="2555" t="s">
        <v>109</v>
      </c>
    </row>
    <row r="50" spans="1:51">
      <c r="A50" s="1577"/>
      <c r="B50" s="1577"/>
      <c r="C50" s="1595"/>
      <c r="D50" s="1595"/>
      <c r="E50" s="1595"/>
      <c r="F50" s="1595"/>
      <c r="G50" s="1595"/>
      <c r="H50" s="2505"/>
      <c r="I50" s="2505"/>
      <c r="J50" s="2505"/>
      <c r="K50" s="2505"/>
      <c r="L50" s="2617"/>
      <c r="M50" s="2518"/>
      <c r="N50" s="2617"/>
      <c r="O50" s="2617"/>
      <c r="P50" s="1577"/>
      <c r="Q50" s="1577"/>
      <c r="R50" s="1577"/>
      <c r="S50" s="1577"/>
    </row>
    <row r="51" spans="1:51">
      <c r="A51" s="1577"/>
      <c r="B51" s="1577"/>
      <c r="C51" s="1595"/>
      <c r="D51" s="1595"/>
      <c r="E51" s="1595"/>
      <c r="F51" s="1595"/>
      <c r="G51" s="1595"/>
      <c r="H51" s="2505"/>
      <c r="I51" s="2505"/>
      <c r="J51" s="2505"/>
      <c r="K51" s="2505"/>
      <c r="L51" s="2617"/>
      <c r="M51" s="2518"/>
      <c r="N51" s="2617"/>
      <c r="O51" s="2617"/>
      <c r="P51" s="1577"/>
      <c r="Q51" s="1577"/>
      <c r="R51" s="1577"/>
      <c r="S51" s="1577"/>
    </row>
    <row r="52" spans="1:51">
      <c r="A52" s="1577"/>
      <c r="B52" s="1577"/>
      <c r="C52" s="1595"/>
      <c r="D52" s="1595"/>
      <c r="E52" s="1595"/>
      <c r="F52" s="1595"/>
      <c r="G52" s="1595"/>
      <c r="H52" s="2505"/>
      <c r="I52" s="2505"/>
      <c r="J52" s="2505"/>
      <c r="K52" s="2505"/>
      <c r="L52" s="2617"/>
      <c r="M52" s="2518"/>
      <c r="N52" s="2617"/>
      <c r="O52" s="2617"/>
      <c r="P52" s="1577"/>
      <c r="Q52" s="1577"/>
      <c r="R52" s="1577"/>
      <c r="S52" s="1577"/>
    </row>
    <row r="53" spans="1:51">
      <c r="A53" s="1577"/>
      <c r="B53" s="1577"/>
      <c r="C53" s="1595"/>
      <c r="D53" s="1595"/>
      <c r="E53" s="1595"/>
      <c r="F53" s="1595"/>
      <c r="G53" s="1595"/>
      <c r="H53" s="2505"/>
      <c r="I53" s="2505"/>
      <c r="J53" s="2505"/>
      <c r="K53" s="2505"/>
      <c r="L53" s="2617"/>
      <c r="M53" s="2518"/>
      <c r="N53" s="2617"/>
      <c r="O53" s="2617"/>
      <c r="P53" s="1577"/>
      <c r="Q53" s="1577"/>
      <c r="R53" s="1577"/>
      <c r="S53" s="1577"/>
    </row>
    <row r="54" spans="1:51">
      <c r="A54" s="1577"/>
      <c r="B54" s="1577"/>
      <c r="C54" s="1595"/>
      <c r="D54" s="1595"/>
      <c r="E54" s="1595"/>
      <c r="F54" s="1595"/>
      <c r="G54" s="1595"/>
      <c r="H54" s="2505"/>
      <c r="I54" s="2505"/>
      <c r="J54" s="2505"/>
      <c r="K54" s="2505"/>
      <c r="L54" s="2617"/>
      <c r="M54" s="2518"/>
      <c r="N54" s="2617"/>
      <c r="O54" s="2617"/>
      <c r="P54" s="1577"/>
      <c r="Q54" s="1577"/>
      <c r="R54" s="1577"/>
      <c r="S54" s="1577"/>
    </row>
    <row r="55" spans="1:51">
      <c r="A55" s="1577"/>
      <c r="B55" s="1577"/>
      <c r="C55" s="1595"/>
      <c r="D55" s="1595"/>
      <c r="E55" s="1595"/>
      <c r="F55" s="1595"/>
      <c r="G55" s="1595"/>
      <c r="H55" s="2505"/>
      <c r="I55" s="2505"/>
      <c r="J55" s="2505"/>
      <c r="K55" s="2505"/>
      <c r="L55" s="2617"/>
      <c r="M55" s="2518"/>
      <c r="N55" s="2617"/>
      <c r="O55" s="2617"/>
      <c r="P55" s="1577"/>
      <c r="Q55" s="1577"/>
      <c r="R55" s="1577"/>
      <c r="S55" s="1577"/>
    </row>
    <row r="56" spans="1:51">
      <c r="A56" s="1577"/>
      <c r="B56" s="1577"/>
      <c r="C56" s="1595"/>
      <c r="D56" s="1595"/>
      <c r="E56" s="1595"/>
      <c r="F56" s="1595"/>
      <c r="G56" s="1595"/>
      <c r="H56" s="2505"/>
      <c r="I56" s="2505"/>
      <c r="J56" s="2505"/>
      <c r="K56" s="2505"/>
      <c r="L56" s="2617"/>
      <c r="M56" s="2518"/>
      <c r="N56" s="2617"/>
      <c r="O56" s="2617"/>
      <c r="P56" s="1577"/>
      <c r="Q56" s="1577"/>
      <c r="R56" s="1577"/>
      <c r="S56" s="1577"/>
    </row>
    <row r="57" spans="1:51">
      <c r="A57" s="1577"/>
      <c r="B57" s="1577"/>
      <c r="C57" s="1595"/>
      <c r="D57" s="1595"/>
      <c r="E57" s="1595"/>
      <c r="F57" s="1595"/>
      <c r="G57" s="1595"/>
      <c r="H57" s="2505"/>
      <c r="I57" s="2505"/>
      <c r="J57" s="2505"/>
      <c r="K57" s="2505"/>
      <c r="L57" s="2617"/>
      <c r="M57" s="2518"/>
      <c r="N57" s="2617"/>
      <c r="O57" s="2617"/>
      <c r="P57" s="1577"/>
      <c r="Q57" s="1577"/>
      <c r="R57" s="1577"/>
      <c r="S57" s="1577"/>
    </row>
    <row r="58" spans="1:51">
      <c r="A58" s="1577"/>
      <c r="B58" s="1577"/>
      <c r="C58" s="1595"/>
      <c r="D58" s="1595"/>
      <c r="E58" s="1595"/>
      <c r="F58" s="1595"/>
      <c r="G58" s="1595"/>
      <c r="H58" s="2505"/>
      <c r="I58" s="2505"/>
      <c r="J58" s="2505"/>
      <c r="K58" s="2505"/>
      <c r="L58" s="2617"/>
      <c r="M58" s="2518"/>
      <c r="N58" s="2617"/>
      <c r="O58" s="2617"/>
      <c r="P58" s="1577"/>
      <c r="Q58" s="1577"/>
      <c r="R58" s="1577"/>
      <c r="S58" s="1577"/>
    </row>
    <row r="59" spans="1:51">
      <c r="A59" s="1577"/>
      <c r="B59" s="1577"/>
      <c r="C59" s="1595"/>
      <c r="D59" s="1595"/>
      <c r="E59" s="1595"/>
      <c r="F59" s="1595"/>
      <c r="G59" s="1595"/>
      <c r="H59" s="2505"/>
      <c r="I59" s="2505"/>
      <c r="J59" s="2505"/>
      <c r="K59" s="2505"/>
      <c r="L59" s="2617"/>
      <c r="M59" s="2518"/>
      <c r="N59" s="2617"/>
      <c r="O59" s="2617"/>
      <c r="P59" s="1577"/>
      <c r="Q59" s="1577"/>
      <c r="R59" s="1577"/>
      <c r="S59" s="1577"/>
    </row>
    <row r="60" spans="1:51">
      <c r="A60" s="1577"/>
      <c r="B60" s="1577"/>
      <c r="C60" s="1595"/>
      <c r="D60" s="1595"/>
      <c r="E60" s="1595"/>
      <c r="F60" s="1595"/>
      <c r="G60" s="1595"/>
      <c r="H60" s="2505"/>
      <c r="I60" s="2505"/>
      <c r="J60" s="2505"/>
      <c r="K60" s="2505"/>
      <c r="L60" s="2617"/>
      <c r="M60" s="2518"/>
      <c r="N60" s="2617"/>
      <c r="O60" s="2617"/>
      <c r="P60" s="1577"/>
      <c r="Q60" s="1577"/>
      <c r="R60" s="1577"/>
      <c r="S60" s="1577"/>
    </row>
    <row r="61" spans="1:51">
      <c r="A61" s="1577"/>
      <c r="B61" s="1577"/>
      <c r="C61" s="1595"/>
      <c r="D61" s="1595"/>
      <c r="E61" s="1595"/>
      <c r="F61" s="1595"/>
      <c r="G61" s="1595"/>
      <c r="H61" s="2505"/>
      <c r="I61" s="2505"/>
      <c r="J61" s="2505"/>
      <c r="K61" s="2505"/>
      <c r="L61" s="2617"/>
      <c r="M61" s="2518"/>
      <c r="N61" s="2617"/>
      <c r="O61" s="2617"/>
      <c r="P61" s="1577"/>
      <c r="Q61" s="1577"/>
      <c r="R61" s="1577"/>
      <c r="S61" s="1577"/>
    </row>
    <row r="62" spans="1:51">
      <c r="A62" s="1577"/>
      <c r="B62" s="1577"/>
      <c r="C62" s="1595"/>
      <c r="D62" s="1595"/>
      <c r="E62" s="1595"/>
      <c r="F62" s="1595"/>
      <c r="G62" s="1595"/>
      <c r="H62" s="2505"/>
      <c r="I62" s="2505"/>
      <c r="J62" s="2505"/>
      <c r="K62" s="2505"/>
      <c r="L62" s="2617"/>
      <c r="M62" s="2518"/>
      <c r="N62" s="2617"/>
      <c r="O62" s="2617"/>
      <c r="P62" s="1577"/>
      <c r="Q62" s="1577"/>
      <c r="R62" s="1577"/>
      <c r="S62" s="1577"/>
    </row>
    <row r="63" spans="1:51">
      <c r="A63" s="1577"/>
      <c r="B63" s="1577"/>
      <c r="C63" s="1595"/>
      <c r="D63" s="1595"/>
      <c r="E63" s="1595"/>
      <c r="F63" s="1595"/>
      <c r="G63" s="1595"/>
      <c r="H63" s="2505"/>
      <c r="I63" s="2505"/>
      <c r="J63" s="2505"/>
      <c r="K63" s="2505"/>
      <c r="L63" s="2617"/>
      <c r="M63" s="2518"/>
      <c r="N63" s="2617"/>
      <c r="O63" s="2617"/>
      <c r="P63" s="1577"/>
      <c r="Q63" s="1577"/>
      <c r="R63" s="1577"/>
      <c r="S63" s="1577"/>
    </row>
    <row r="64" spans="1:51">
      <c r="A64" s="1577"/>
      <c r="B64" s="1577"/>
      <c r="C64" s="1595"/>
      <c r="D64" s="1595"/>
      <c r="E64" s="1595"/>
      <c r="F64" s="1595"/>
      <c r="G64" s="1595"/>
      <c r="H64" s="2505"/>
      <c r="I64" s="2505"/>
      <c r="J64" s="2505"/>
      <c r="K64" s="2505"/>
      <c r="L64" s="2617"/>
      <c r="M64" s="2518"/>
      <c r="N64" s="2617"/>
      <c r="O64" s="2617"/>
      <c r="P64" s="1577"/>
      <c r="Q64" s="1577"/>
      <c r="R64" s="1577"/>
      <c r="S64" s="1577"/>
    </row>
    <row r="65" spans="1:19">
      <c r="A65" s="1577"/>
      <c r="B65" s="1577"/>
      <c r="C65" s="1595"/>
      <c r="D65" s="1595"/>
      <c r="E65" s="1595"/>
      <c r="F65" s="1595"/>
      <c r="G65" s="1595"/>
      <c r="H65" s="2505"/>
      <c r="I65" s="2505"/>
      <c r="J65" s="2505"/>
      <c r="K65" s="2505"/>
      <c r="L65" s="2615"/>
      <c r="M65" s="2518"/>
      <c r="N65" s="2615"/>
      <c r="O65" s="2518"/>
      <c r="P65" s="1577"/>
      <c r="Q65" s="1577"/>
      <c r="R65" s="1577"/>
      <c r="S65" s="1577"/>
    </row>
  </sheetData>
  <mergeCells count="63">
    <mergeCell ref="AV2:AY2"/>
    <mergeCell ref="AV3:AV4"/>
    <mergeCell ref="AW3:AW4"/>
    <mergeCell ref="AX3:AX4"/>
    <mergeCell ref="AY3:AY4"/>
    <mergeCell ref="AN2:AQ2"/>
    <mergeCell ref="AR2:AU2"/>
    <mergeCell ref="AN3:AN4"/>
    <mergeCell ref="AO3:AO4"/>
    <mergeCell ref="AP3:AP4"/>
    <mergeCell ref="AQ3:AQ4"/>
    <mergeCell ref="AR3:AR4"/>
    <mergeCell ref="AS3:AS4"/>
    <mergeCell ref="AT3:AT4"/>
    <mergeCell ref="AU3:AU4"/>
    <mergeCell ref="B2:B4"/>
    <mergeCell ref="A2:A4"/>
    <mergeCell ref="H3:H4"/>
    <mergeCell ref="I3:I4"/>
    <mergeCell ref="C2:C4"/>
    <mergeCell ref="H2:K2"/>
    <mergeCell ref="D2:G2"/>
    <mergeCell ref="D3:D4"/>
    <mergeCell ref="E3:E4"/>
    <mergeCell ref="F3:F4"/>
    <mergeCell ref="G3:G4"/>
    <mergeCell ref="J3:J4"/>
    <mergeCell ref="K3:K4"/>
    <mergeCell ref="L2:O2"/>
    <mergeCell ref="L3:L4"/>
    <mergeCell ref="M3:M4"/>
    <mergeCell ref="N3:N4"/>
    <mergeCell ref="O3:O4"/>
    <mergeCell ref="P2:S2"/>
    <mergeCell ref="P3:P4"/>
    <mergeCell ref="Q3:Q4"/>
    <mergeCell ref="R3:R4"/>
    <mergeCell ref="S3:S4"/>
    <mergeCell ref="T2:W2"/>
    <mergeCell ref="X2:AA2"/>
    <mergeCell ref="AB2:AE2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C3:AC4"/>
    <mergeCell ref="AD3:AD4"/>
    <mergeCell ref="AE3:AE4"/>
    <mergeCell ref="AF2:AI2"/>
    <mergeCell ref="AJ2:AM2"/>
    <mergeCell ref="AF3:AF4"/>
    <mergeCell ref="AG3:AG4"/>
    <mergeCell ref="AH3:AH4"/>
    <mergeCell ref="AI3:AI4"/>
    <mergeCell ref="AJ3:AJ4"/>
    <mergeCell ref="AK3:AK4"/>
    <mergeCell ref="AL3:AL4"/>
    <mergeCell ref="AM3:AM4"/>
  </mergeCells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A954"/>
  <sheetViews>
    <sheetView zoomScale="87" zoomScaleNormal="87" workbookViewId="0">
      <pane xSplit="2" ySplit="4" topLeftCell="L5" activePane="bottomRight" state="frozen"/>
      <selection pane="topRight" activeCell="C1" sqref="C1"/>
      <selection pane="bottomLeft" activeCell="A4" sqref="A4"/>
      <selection pane="bottomRight" activeCell="AA8" sqref="AA8"/>
    </sheetView>
  </sheetViews>
  <sheetFormatPr defaultRowHeight="15"/>
  <cols>
    <col min="1" max="1" width="26.5703125" style="2557" customWidth="1"/>
    <col min="2" max="2" width="24.28515625" style="2730" customWidth="1"/>
    <col min="3" max="3" width="18.7109375" style="11" hidden="1" customWidth="1"/>
    <col min="4" max="4" width="15.7109375" style="2745" hidden="1" customWidth="1"/>
    <col min="5" max="5" width="25.28515625" style="2622" hidden="1" customWidth="1"/>
    <col min="6" max="6" width="15.7109375" style="2623" hidden="1" customWidth="1"/>
    <col min="7" max="7" width="15.85546875" style="2622" hidden="1" customWidth="1"/>
    <col min="8" max="8" width="15.85546875" style="2630" hidden="1" customWidth="1"/>
    <col min="9" max="9" width="29.140625" style="2631" hidden="1" customWidth="1"/>
    <col min="10" max="10" width="15.7109375" style="2631" hidden="1" customWidth="1"/>
    <col min="11" max="11" width="17.28515625" style="2632" hidden="1" customWidth="1"/>
    <col min="12" max="12" width="14.5703125" style="2754" customWidth="1"/>
    <col min="13" max="13" width="23.28515625" style="2754" hidden="1" customWidth="1"/>
    <col min="14" max="14" width="11.42578125" style="2754" bestFit="1" customWidth="1"/>
    <col min="15" max="15" width="14" style="2754" bestFit="1" customWidth="1"/>
    <col min="16" max="16" width="13.140625" style="2633" customWidth="1"/>
    <col min="17" max="17" width="26.85546875" style="2633" hidden="1" customWidth="1"/>
    <col min="18" max="18" width="11.42578125" style="2633" bestFit="1" customWidth="1"/>
    <col min="19" max="19" width="14" style="2633" bestFit="1" customWidth="1"/>
    <col min="20" max="20" width="12.7109375" style="2754" customWidth="1"/>
    <col min="21" max="21" width="11.42578125" style="2754" hidden="1" customWidth="1"/>
    <col min="22" max="22" width="11.42578125" style="2754" bestFit="1" customWidth="1"/>
    <col min="23" max="23" width="14" style="2754" bestFit="1" customWidth="1"/>
    <col min="28" max="16384" width="9.140625" style="2557"/>
  </cols>
  <sheetData>
    <row r="1" spans="1:23" ht="15.75" thickBot="1">
      <c r="B1" s="2727"/>
      <c r="C1" s="2624"/>
      <c r="D1" s="2742"/>
      <c r="E1" s="2625"/>
      <c r="F1" s="2626"/>
      <c r="G1" s="2625"/>
      <c r="H1" s="2627"/>
      <c r="I1" s="2628"/>
      <c r="J1" s="2628"/>
      <c r="K1" s="2629"/>
    </row>
    <row r="2" spans="1:23" ht="15.75" customHeight="1" thickBot="1">
      <c r="A2" s="3851" t="s">
        <v>239</v>
      </c>
      <c r="B2" s="3819" t="s">
        <v>329</v>
      </c>
      <c r="C2" s="3858" t="s">
        <v>346</v>
      </c>
      <c r="D2" s="3861" t="s">
        <v>340</v>
      </c>
      <c r="E2" s="3804"/>
      <c r="F2" s="3804"/>
      <c r="G2" s="3862"/>
      <c r="H2" s="3843" t="s">
        <v>360</v>
      </c>
      <c r="I2" s="3844"/>
      <c r="J2" s="3844"/>
      <c r="K2" s="3845"/>
      <c r="L2" s="3851" t="s">
        <v>347</v>
      </c>
      <c r="M2" s="3852"/>
      <c r="N2" s="3852"/>
      <c r="O2" s="3853"/>
      <c r="P2" s="3803" t="s">
        <v>361</v>
      </c>
      <c r="Q2" s="3804"/>
      <c r="R2" s="3804"/>
      <c r="S2" s="3804"/>
      <c r="T2" s="3792" t="s">
        <v>362</v>
      </c>
      <c r="U2" s="3793"/>
      <c r="V2" s="3793"/>
      <c r="W2" s="3793"/>
    </row>
    <row r="3" spans="1:23" ht="15.75" customHeight="1" thickBot="1">
      <c r="A3" s="3851"/>
      <c r="B3" s="3819"/>
      <c r="C3" s="3859"/>
      <c r="D3" s="3825" t="s">
        <v>334</v>
      </c>
      <c r="E3" s="3863" t="s">
        <v>321</v>
      </c>
      <c r="F3" s="3804" t="s">
        <v>322</v>
      </c>
      <c r="G3" s="3865" t="s">
        <v>323</v>
      </c>
      <c r="H3" s="3846" t="s">
        <v>334</v>
      </c>
      <c r="I3" s="3848" t="s">
        <v>321</v>
      </c>
      <c r="J3" s="3844" t="s">
        <v>322</v>
      </c>
      <c r="K3" s="3837" t="s">
        <v>323</v>
      </c>
      <c r="L3" s="3820" t="s">
        <v>334</v>
      </c>
      <c r="M3" s="3822" t="s">
        <v>321</v>
      </c>
      <c r="N3" s="3854" t="s">
        <v>322</v>
      </c>
      <c r="O3" s="3856" t="s">
        <v>323</v>
      </c>
      <c r="P3" s="3839" t="s">
        <v>334</v>
      </c>
      <c r="Q3" s="3814" t="s">
        <v>321</v>
      </c>
      <c r="R3" s="3841" t="s">
        <v>322</v>
      </c>
      <c r="S3" s="3817" t="s">
        <v>323</v>
      </c>
      <c r="T3" s="3834" t="s">
        <v>334</v>
      </c>
      <c r="U3" s="3796" t="s">
        <v>321</v>
      </c>
      <c r="V3" s="3793" t="s">
        <v>322</v>
      </c>
      <c r="W3" s="3799" t="s">
        <v>323</v>
      </c>
    </row>
    <row r="4" spans="1:23" ht="48.75" customHeight="1" thickBot="1">
      <c r="A4" s="3851"/>
      <c r="B4" s="3819"/>
      <c r="C4" s="3860"/>
      <c r="D4" s="3826"/>
      <c r="E4" s="3864"/>
      <c r="F4" s="3804"/>
      <c r="G4" s="3865"/>
      <c r="H4" s="3847"/>
      <c r="I4" s="3849"/>
      <c r="J4" s="3850"/>
      <c r="K4" s="3838"/>
      <c r="L4" s="3821"/>
      <c r="M4" s="3823"/>
      <c r="N4" s="3855"/>
      <c r="O4" s="3857"/>
      <c r="P4" s="3840"/>
      <c r="Q4" s="3827"/>
      <c r="R4" s="3842"/>
      <c r="S4" s="3818"/>
      <c r="T4" s="3835"/>
      <c r="U4" s="3836"/>
      <c r="V4" s="3793"/>
      <c r="W4" s="3799"/>
    </row>
    <row r="5" spans="1:23" s="2655" customFormat="1" ht="15.75" thickBot="1">
      <c r="A5" s="2714"/>
      <c r="B5" s="2728"/>
      <c r="C5" s="2715"/>
      <c r="D5" s="2743"/>
      <c r="E5" s="2732"/>
      <c r="F5" s="2649"/>
      <c r="G5" s="2650"/>
      <c r="H5" s="2651"/>
      <c r="I5" s="2652"/>
      <c r="J5" s="2652"/>
      <c r="K5" s="2653"/>
      <c r="L5" s="1181"/>
      <c r="M5" s="1181"/>
      <c r="N5" s="1181"/>
      <c r="O5" s="1181"/>
      <c r="P5" s="2654"/>
      <c r="Q5" s="2649"/>
      <c r="R5" s="2649"/>
      <c r="S5" s="2649"/>
      <c r="T5" s="2757"/>
      <c r="U5" s="2758"/>
      <c r="V5" s="2758"/>
      <c r="W5" s="2758"/>
    </row>
    <row r="6" spans="1:23" s="2655" customFormat="1" ht="15.75" thickBot="1">
      <c r="A6" s="2721" t="s">
        <v>324</v>
      </c>
      <c r="B6" s="2729"/>
      <c r="C6" s="2723">
        <f>SUM(C7:C12)</f>
        <v>162</v>
      </c>
      <c r="D6" s="2744">
        <f>SUM(D7:D12)</f>
        <v>153</v>
      </c>
      <c r="E6" s="2733">
        <f t="shared" ref="E6:E11" si="0">D6/C6</f>
        <v>0.94444444444444442</v>
      </c>
      <c r="F6" s="2656">
        <f>SUM(F7:F12)</f>
        <v>58</v>
      </c>
      <c r="G6" s="2657">
        <f t="shared" ref="G6:G12" si="1">F6/D6</f>
        <v>0.37908496732026142</v>
      </c>
      <c r="H6" s="2658">
        <f>SUM(H7:H12)</f>
        <v>155</v>
      </c>
      <c r="I6" s="2659">
        <f t="shared" ref="I6:I12" si="2">H6/C6</f>
        <v>0.95679012345679015</v>
      </c>
      <c r="J6" s="2660">
        <f>SUM(J7:J12)</f>
        <v>54</v>
      </c>
      <c r="K6" s="2799">
        <f t="shared" ref="K6:K12" si="3">J6/H6</f>
        <v>0.34838709677419355</v>
      </c>
      <c r="L6" s="2808">
        <v>131</v>
      </c>
      <c r="M6" s="2809">
        <v>0.80864197530864201</v>
      </c>
      <c r="N6" s="2810">
        <v>58</v>
      </c>
      <c r="O6" s="2811">
        <v>0.44274809160305345</v>
      </c>
      <c r="P6" s="2661">
        <f>SUM(P7:P12)</f>
        <v>153</v>
      </c>
      <c r="Q6" s="2662">
        <f t="shared" ref="Q6:Q12" si="4">P6/C6</f>
        <v>0.94444444444444442</v>
      </c>
      <c r="R6" s="2663">
        <f>SUM(R7:R12)</f>
        <v>53</v>
      </c>
      <c r="S6" s="2756">
        <f t="shared" ref="S6:S12" si="5">R6/P6</f>
        <v>0.34640522875816993</v>
      </c>
      <c r="T6" s="2759">
        <f>SUM(T7:T12)</f>
        <v>146</v>
      </c>
      <c r="U6" s="2760" t="e">
        <f>T6/#REF!</f>
        <v>#REF!</v>
      </c>
      <c r="V6" s="2761">
        <f>SUM(V7:V12)</f>
        <v>58</v>
      </c>
      <c r="W6" s="2762">
        <f t="shared" ref="W6:W12" si="6">V6/T6</f>
        <v>0.39726027397260272</v>
      </c>
    </row>
    <row r="7" spans="1:23" s="2655" customFormat="1" ht="15.75" thickBot="1">
      <c r="A7" s="2714"/>
      <c r="B7" s="2728" t="s">
        <v>330</v>
      </c>
      <c r="C7" s="2715">
        <f>[1]DO!M119</f>
        <v>84</v>
      </c>
      <c r="D7" s="2743">
        <v>84</v>
      </c>
      <c r="E7" s="2732">
        <f t="shared" si="0"/>
        <v>1</v>
      </c>
      <c r="F7" s="2649">
        <f>[1]DO!M118</f>
        <v>23</v>
      </c>
      <c r="G7" s="2650">
        <f t="shared" si="1"/>
        <v>0.27380952380952384</v>
      </c>
      <c r="H7" s="2651">
        <f>[1]DO!Q119</f>
        <v>79</v>
      </c>
      <c r="I7" s="2664">
        <f t="shared" si="2"/>
        <v>0.94047619047619047</v>
      </c>
      <c r="J7" s="2652">
        <f>[1]DO!Q118</f>
        <v>16</v>
      </c>
      <c r="K7" s="2800">
        <f t="shared" si="3"/>
        <v>0.20253164556962025</v>
      </c>
      <c r="L7" s="2812">
        <v>84</v>
      </c>
      <c r="M7" s="1601">
        <v>1</v>
      </c>
      <c r="N7" s="1595">
        <v>28</v>
      </c>
      <c r="O7" s="2813">
        <v>0.33333333333333331</v>
      </c>
      <c r="P7" s="2665">
        <f>DO!R136</f>
        <v>79</v>
      </c>
      <c r="Q7" s="2666">
        <f t="shared" si="4"/>
        <v>0.94047619047619047</v>
      </c>
      <c r="R7" s="2667">
        <f>DO!R135</f>
        <v>15</v>
      </c>
      <c r="S7" s="2763">
        <f t="shared" si="5"/>
        <v>0.189873417721519</v>
      </c>
      <c r="T7" s="2783">
        <v>79</v>
      </c>
      <c r="U7" s="2764" t="e">
        <f>T7/#REF!</f>
        <v>#REF!</v>
      </c>
      <c r="V7" s="2784">
        <v>22</v>
      </c>
      <c r="W7" s="2785">
        <f t="shared" si="6"/>
        <v>0.27848101265822783</v>
      </c>
    </row>
    <row r="8" spans="1:23" s="2655" customFormat="1" ht="15.75" thickBot="1">
      <c r="A8" s="2714"/>
      <c r="B8" s="2728" t="s">
        <v>331</v>
      </c>
      <c r="C8" s="2715">
        <f>'[1]Bathing Beaches DO,pH'!L59</f>
        <v>19</v>
      </c>
      <c r="D8" s="2743">
        <v>19</v>
      </c>
      <c r="E8" s="2732">
        <f t="shared" si="0"/>
        <v>1</v>
      </c>
      <c r="F8" s="2649">
        <f>'[1]Bathing Beaches DO,pH'!L58</f>
        <v>13</v>
      </c>
      <c r="G8" s="2650">
        <f t="shared" si="1"/>
        <v>0.68421052631578949</v>
      </c>
      <c r="H8" s="2651">
        <f>'[1]Bathing Beaches DO,pH'!P59</f>
        <v>19</v>
      </c>
      <c r="I8" s="2664">
        <f t="shared" si="2"/>
        <v>1</v>
      </c>
      <c r="J8" s="2652">
        <f>'[1]Bathing Beaches DO,pH'!P58</f>
        <v>11</v>
      </c>
      <c r="K8" s="2800">
        <f t="shared" si="3"/>
        <v>0.57894736842105265</v>
      </c>
      <c r="L8" s="2812">
        <v>19</v>
      </c>
      <c r="M8" s="1601">
        <v>1</v>
      </c>
      <c r="N8" s="1595">
        <v>15</v>
      </c>
      <c r="O8" s="2813">
        <v>0.78947368421052633</v>
      </c>
      <c r="P8" s="2665">
        <f>'Bathing Beaches DO,pH'!Q59</f>
        <v>19</v>
      </c>
      <c r="Q8" s="2666">
        <f t="shared" si="4"/>
        <v>1</v>
      </c>
      <c r="R8" s="2667">
        <f>'Bathing Beaches DO,pH'!Q58</f>
        <v>15</v>
      </c>
      <c r="S8" s="2763">
        <f t="shared" si="5"/>
        <v>0.78947368421052633</v>
      </c>
      <c r="T8" s="2759">
        <v>19</v>
      </c>
      <c r="U8" s="2760" t="e">
        <f>T8/#REF!</f>
        <v>#REF!</v>
      </c>
      <c r="V8" s="2761">
        <v>9</v>
      </c>
      <c r="W8" s="2762">
        <f t="shared" si="6"/>
        <v>0.47368421052631576</v>
      </c>
    </row>
    <row r="9" spans="1:23" ht="15.75" thickBot="1">
      <c r="A9" s="323"/>
      <c r="B9" s="2730" t="s">
        <v>333</v>
      </c>
      <c r="C9" s="2634">
        <v>9</v>
      </c>
      <c r="D9" s="2745">
        <f>'[1]Offshore DO, pH, Phos. Sal. Con'!M82</f>
        <v>9</v>
      </c>
      <c r="E9" s="2734">
        <f t="shared" si="0"/>
        <v>1</v>
      </c>
      <c r="F9" s="2669">
        <f>'[1]Offshore DO, pH, Phos. Sal. Con'!M83</f>
        <v>9</v>
      </c>
      <c r="G9" s="2670">
        <f t="shared" si="1"/>
        <v>1</v>
      </c>
      <c r="H9" s="2671">
        <v>9</v>
      </c>
      <c r="I9" s="2672">
        <f t="shared" si="2"/>
        <v>1</v>
      </c>
      <c r="J9" s="2673">
        <v>9</v>
      </c>
      <c r="K9" s="2801">
        <f t="shared" si="3"/>
        <v>1</v>
      </c>
      <c r="L9" s="2812">
        <v>5</v>
      </c>
      <c r="M9" s="1601">
        <v>0.55555555555555558</v>
      </c>
      <c r="N9" s="1595">
        <v>5</v>
      </c>
      <c r="O9" s="2813">
        <v>1</v>
      </c>
      <c r="P9" s="2674">
        <f>'Offshore DO, pH, Phos. Sal. Con'!Q82</f>
        <v>9</v>
      </c>
      <c r="Q9" s="2668">
        <f t="shared" si="4"/>
        <v>1</v>
      </c>
      <c r="R9" s="2675">
        <f>'Offshore DO, pH, Phos. Sal. Con'!Q83</f>
        <v>7</v>
      </c>
      <c r="S9" s="2770">
        <f t="shared" si="5"/>
        <v>0.77777777777777779</v>
      </c>
      <c r="T9" s="2776" t="s">
        <v>109</v>
      </c>
      <c r="U9" s="2764" t="s">
        <v>66</v>
      </c>
      <c r="V9" s="2769" t="s">
        <v>109</v>
      </c>
      <c r="W9" s="2775" t="s">
        <v>109</v>
      </c>
    </row>
    <row r="10" spans="1:23" s="2655" customFormat="1" ht="15.75" thickBot="1">
      <c r="A10" s="2714"/>
      <c r="B10" s="2728" t="s">
        <v>111</v>
      </c>
      <c r="C10" s="2715">
        <v>14</v>
      </c>
      <c r="D10" s="2743">
        <f>[1]DO!M143</f>
        <v>14</v>
      </c>
      <c r="E10" s="2732">
        <f t="shared" si="0"/>
        <v>1</v>
      </c>
      <c r="F10" s="2677">
        <f>[1]DO!M142</f>
        <v>1</v>
      </c>
      <c r="G10" s="2650">
        <f t="shared" si="1"/>
        <v>7.1428571428571425E-2</v>
      </c>
      <c r="H10" s="2651">
        <f>[1]DO!Q143</f>
        <v>14</v>
      </c>
      <c r="I10" s="2664">
        <f t="shared" si="2"/>
        <v>1</v>
      </c>
      <c r="J10" s="2678">
        <f>[1]DO!Q142</f>
        <v>1</v>
      </c>
      <c r="K10" s="2800">
        <f t="shared" si="3"/>
        <v>7.1428571428571425E-2</v>
      </c>
      <c r="L10" s="2812">
        <v>14</v>
      </c>
      <c r="M10" s="1601">
        <v>1</v>
      </c>
      <c r="N10" s="1597">
        <v>1</v>
      </c>
      <c r="O10" s="2813">
        <v>7.1428571428571425E-2</v>
      </c>
      <c r="P10" s="2665">
        <f>DO!R160</f>
        <v>13</v>
      </c>
      <c r="Q10" s="2666">
        <f t="shared" si="4"/>
        <v>0.9285714285714286</v>
      </c>
      <c r="R10" s="2677">
        <f>DO!R159</f>
        <v>0</v>
      </c>
      <c r="S10" s="2763">
        <f t="shared" si="5"/>
        <v>0</v>
      </c>
      <c r="T10" s="2759">
        <v>14</v>
      </c>
      <c r="U10" s="2760" t="e">
        <f>T10/#REF!</f>
        <v>#REF!</v>
      </c>
      <c r="V10" s="2834">
        <v>5</v>
      </c>
      <c r="W10" s="2762">
        <f t="shared" si="6"/>
        <v>0.35714285714285715</v>
      </c>
    </row>
    <row r="11" spans="1:23" ht="15.75" thickBot="1">
      <c r="A11" s="323"/>
      <c r="B11" s="2730" t="s">
        <v>332</v>
      </c>
      <c r="C11" s="2634">
        <v>9</v>
      </c>
      <c r="D11" s="2746">
        <f>[1]DO!M193</f>
        <v>9</v>
      </c>
      <c r="E11" s="2734">
        <f t="shared" si="0"/>
        <v>1</v>
      </c>
      <c r="F11" s="2679">
        <v>9</v>
      </c>
      <c r="G11" s="2670">
        <f t="shared" si="1"/>
        <v>1</v>
      </c>
      <c r="H11" s="2671">
        <f>[1]DO!Q193</f>
        <v>9</v>
      </c>
      <c r="I11" s="2672">
        <f t="shared" si="2"/>
        <v>1</v>
      </c>
      <c r="J11" s="2680">
        <v>9</v>
      </c>
      <c r="K11" s="2801">
        <f t="shared" si="3"/>
        <v>1</v>
      </c>
      <c r="L11" s="2812">
        <v>9</v>
      </c>
      <c r="M11" s="1601">
        <v>1</v>
      </c>
      <c r="N11" s="1597">
        <v>9</v>
      </c>
      <c r="O11" s="2813">
        <v>1</v>
      </c>
      <c r="P11" s="2674">
        <f>DO!R221</f>
        <v>9</v>
      </c>
      <c r="Q11" s="2676">
        <f t="shared" si="4"/>
        <v>1</v>
      </c>
      <c r="R11" s="2681">
        <f>DO!R220</f>
        <v>9</v>
      </c>
      <c r="S11" s="2770">
        <f t="shared" si="5"/>
        <v>1</v>
      </c>
      <c r="T11" s="2783">
        <v>9</v>
      </c>
      <c r="U11" s="2764" t="e">
        <f>T11/#REF!</f>
        <v>#REF!</v>
      </c>
      <c r="V11" s="2835">
        <v>9</v>
      </c>
      <c r="W11" s="2785">
        <f t="shared" si="6"/>
        <v>1</v>
      </c>
    </row>
    <row r="12" spans="1:23" s="2655" customFormat="1" ht="15.75" thickBot="1">
      <c r="A12" s="2714"/>
      <c r="B12" s="2728" t="s">
        <v>344</v>
      </c>
      <c r="C12" s="2715">
        <v>27</v>
      </c>
      <c r="D12" s="2747">
        <v>18</v>
      </c>
      <c r="E12" s="2735" t="s">
        <v>336</v>
      </c>
      <c r="F12" s="2682">
        <v>3</v>
      </c>
      <c r="G12" s="2650">
        <f t="shared" si="1"/>
        <v>0.16666666666666666</v>
      </c>
      <c r="H12" s="2651">
        <f>[1]DO!Q177</f>
        <v>25</v>
      </c>
      <c r="I12" s="2664">
        <f t="shared" si="2"/>
        <v>0.92592592592592593</v>
      </c>
      <c r="J12" s="2678">
        <v>8</v>
      </c>
      <c r="K12" s="2800">
        <f t="shared" si="3"/>
        <v>0.32</v>
      </c>
      <c r="L12" s="2814" t="s">
        <v>336</v>
      </c>
      <c r="M12" s="1598" t="s">
        <v>336</v>
      </c>
      <c r="N12" s="1598" t="s">
        <v>336</v>
      </c>
      <c r="O12" s="2815" t="s">
        <v>336</v>
      </c>
      <c r="P12" s="2665">
        <f>DO!R205</f>
        <v>24</v>
      </c>
      <c r="Q12" s="2666">
        <f t="shared" si="4"/>
        <v>0.88888888888888884</v>
      </c>
      <c r="R12" s="2677">
        <f>DO!R204</f>
        <v>7</v>
      </c>
      <c r="S12" s="2763">
        <f t="shared" si="5"/>
        <v>0.29166666666666669</v>
      </c>
      <c r="T12" s="2759">
        <v>25</v>
      </c>
      <c r="U12" s="2760" t="e">
        <f>T12/#REF!</f>
        <v>#REF!</v>
      </c>
      <c r="V12" s="2834">
        <v>13</v>
      </c>
      <c r="W12" s="2762">
        <f t="shared" si="6"/>
        <v>0.52</v>
      </c>
    </row>
    <row r="13" spans="1:23" ht="15.75" thickBot="1">
      <c r="A13" s="323"/>
      <c r="C13" s="2634"/>
      <c r="E13" s="2734"/>
      <c r="F13" s="2669"/>
      <c r="G13" s="2670"/>
      <c r="H13" s="2671"/>
      <c r="I13" s="2673"/>
      <c r="J13" s="2673"/>
      <c r="K13" s="2802"/>
      <c r="L13" s="2812"/>
      <c r="M13" s="1595"/>
      <c r="N13" s="1595"/>
      <c r="O13" s="2816"/>
      <c r="P13" s="2674"/>
      <c r="Q13" s="2669"/>
      <c r="R13" s="2675"/>
      <c r="S13" s="2771"/>
      <c r="T13" s="2774"/>
      <c r="U13" s="2764"/>
      <c r="V13" s="2765"/>
      <c r="W13" s="2795"/>
    </row>
    <row r="14" spans="1:23" s="2683" customFormat="1" ht="15.75" thickBot="1">
      <c r="A14" s="2721" t="s">
        <v>335</v>
      </c>
      <c r="B14" s="2729"/>
      <c r="C14" s="2723">
        <f>SUM(C15:C18)</f>
        <v>134</v>
      </c>
      <c r="D14" s="2744">
        <f>SUM(D15:D18)</f>
        <v>125</v>
      </c>
      <c r="E14" s="2733">
        <f>D14/C14</f>
        <v>0.93283582089552242</v>
      </c>
      <c r="F14" s="2656">
        <f>SUM(F15:F18)</f>
        <v>52</v>
      </c>
      <c r="G14" s="2657">
        <f>F14/D14</f>
        <v>0.41599999999999998</v>
      </c>
      <c r="H14" s="2658">
        <f>SUM(H15:H18)</f>
        <v>124</v>
      </c>
      <c r="I14" s="2659">
        <f>H14/C14</f>
        <v>0.92537313432835822</v>
      </c>
      <c r="J14" s="2660">
        <f>SUM(J15:J18)</f>
        <v>46</v>
      </c>
      <c r="K14" s="2799">
        <f>J14/H14</f>
        <v>0.37096774193548387</v>
      </c>
      <c r="L14" s="2817">
        <v>107</v>
      </c>
      <c r="M14" s="1105">
        <v>0.79850746268656714</v>
      </c>
      <c r="N14" s="1594">
        <v>59</v>
      </c>
      <c r="O14" s="2818">
        <v>0.55140186915887845</v>
      </c>
      <c r="P14" s="2661">
        <f>SUM(P15:P18)</f>
        <v>111</v>
      </c>
      <c r="Q14" s="2662">
        <f>P14/C14</f>
        <v>0.82835820895522383</v>
      </c>
      <c r="R14" s="2663">
        <f>SUM(R15:R18)</f>
        <v>46</v>
      </c>
      <c r="S14" s="2756">
        <f>R14/P14</f>
        <v>0.4144144144144144</v>
      </c>
      <c r="T14" s="2759">
        <f>SUM(T15:T18)</f>
        <v>93</v>
      </c>
      <c r="U14" s="2760" t="e">
        <f>T14/#REF!</f>
        <v>#REF!</v>
      </c>
      <c r="V14" s="2761">
        <f>SUM(V15:V18)</f>
        <v>32</v>
      </c>
      <c r="W14" s="2762">
        <f>V14/T14</f>
        <v>0.34408602150537637</v>
      </c>
    </row>
    <row r="15" spans="1:23" ht="15.75" thickBot="1">
      <c r="A15" s="323"/>
      <c r="B15" s="2730" t="s">
        <v>330</v>
      </c>
      <c r="C15" s="2724">
        <f>[1]BOD!D117</f>
        <v>84</v>
      </c>
      <c r="D15" s="2745">
        <f>[1]BOD!M115</f>
        <v>84</v>
      </c>
      <c r="E15" s="2734">
        <f>D15/C15</f>
        <v>1</v>
      </c>
      <c r="F15" s="2669">
        <f>[1]BOD!M114</f>
        <v>34</v>
      </c>
      <c r="G15" s="2670">
        <f>F15/D15</f>
        <v>0.40476190476190477</v>
      </c>
      <c r="H15" s="2671">
        <f>[1]BOD!Q115</f>
        <v>76</v>
      </c>
      <c r="I15" s="2672">
        <f>H15/C15</f>
        <v>0.90476190476190477</v>
      </c>
      <c r="J15" s="2673">
        <f>[1]BOD!Q114</f>
        <v>23</v>
      </c>
      <c r="K15" s="2801">
        <f>J15/H15</f>
        <v>0.30263157894736842</v>
      </c>
      <c r="L15" s="2812">
        <v>84</v>
      </c>
      <c r="M15" s="1601">
        <v>1</v>
      </c>
      <c r="N15" s="1595">
        <v>47</v>
      </c>
      <c r="O15" s="2813">
        <v>0.55952380952380953</v>
      </c>
      <c r="P15" s="2674">
        <f>BOD!Q131</f>
        <v>78</v>
      </c>
      <c r="Q15" s="2676">
        <f>P15/C15</f>
        <v>0.9285714285714286</v>
      </c>
      <c r="R15" s="2675">
        <f>BOD!Q130</f>
        <v>26</v>
      </c>
      <c r="S15" s="2770">
        <f>R15/P15</f>
        <v>0.33333333333333331</v>
      </c>
      <c r="T15" s="2783">
        <v>79</v>
      </c>
      <c r="U15" s="2764" t="e">
        <f>T15/#REF!</f>
        <v>#REF!</v>
      </c>
      <c r="V15" s="2784">
        <v>27</v>
      </c>
      <c r="W15" s="2785">
        <f>V15/T15</f>
        <v>0.34177215189873417</v>
      </c>
    </row>
    <row r="16" spans="1:23" s="2655" customFormat="1" ht="15.75" thickBot="1">
      <c r="A16" s="2714"/>
      <c r="B16" s="2728" t="s">
        <v>111</v>
      </c>
      <c r="C16" s="2725">
        <f>[1]BOD!D140</f>
        <v>14</v>
      </c>
      <c r="D16" s="2743">
        <f>[1]BOD!M138</f>
        <v>14</v>
      </c>
      <c r="E16" s="2732">
        <f>D16/C16</f>
        <v>1</v>
      </c>
      <c r="F16" s="2677">
        <f>[1]BOD!M137</f>
        <v>1</v>
      </c>
      <c r="G16" s="2650">
        <f>F16/D16</f>
        <v>7.1428571428571425E-2</v>
      </c>
      <c r="H16" s="2651">
        <f>[1]BOD!Q138</f>
        <v>14</v>
      </c>
      <c r="I16" s="2664">
        <f>H16/C16</f>
        <v>1</v>
      </c>
      <c r="J16" s="2678">
        <f>[1]BOD!Q137</f>
        <v>1</v>
      </c>
      <c r="K16" s="2800">
        <f>J16/H16</f>
        <v>7.1428571428571425E-2</v>
      </c>
      <c r="L16" s="2812">
        <v>14</v>
      </c>
      <c r="M16" s="1601">
        <v>1</v>
      </c>
      <c r="N16" s="1597">
        <v>3</v>
      </c>
      <c r="O16" s="2813">
        <v>0.21428571428571427</v>
      </c>
      <c r="P16" s="2665">
        <f>[1]BOD!U138</f>
        <v>0</v>
      </c>
      <c r="Q16" s="2666">
        <f>P16/C16</f>
        <v>0</v>
      </c>
      <c r="R16" s="2667">
        <f>[1]BOD!U137</f>
        <v>0</v>
      </c>
      <c r="S16" s="2763">
        <v>0</v>
      </c>
      <c r="T16" s="2759">
        <v>14</v>
      </c>
      <c r="U16" s="2760" t="e">
        <f>T16/#REF!</f>
        <v>#REF!</v>
      </c>
      <c r="V16" s="2761">
        <v>5</v>
      </c>
      <c r="W16" s="2762">
        <v>1</v>
      </c>
    </row>
    <row r="17" spans="1:23" ht="15.75" thickBot="1">
      <c r="A17" s="323"/>
      <c r="B17" s="2730" t="s">
        <v>332</v>
      </c>
      <c r="C17" s="2634">
        <v>9</v>
      </c>
      <c r="D17" s="2746">
        <v>9</v>
      </c>
      <c r="E17" s="2736" t="s">
        <v>336</v>
      </c>
      <c r="F17" s="2679">
        <v>9</v>
      </c>
      <c r="G17" s="2670">
        <f>F17/D17</f>
        <v>1</v>
      </c>
      <c r="H17" s="2671">
        <f>[1]BOD!Q188</f>
        <v>9</v>
      </c>
      <c r="I17" s="2672">
        <f>H17/C17</f>
        <v>1</v>
      </c>
      <c r="J17" s="2680">
        <f>[1]BOD!Q187</f>
        <v>9</v>
      </c>
      <c r="K17" s="2801">
        <v>1</v>
      </c>
      <c r="L17" s="2812">
        <v>9</v>
      </c>
      <c r="M17" s="1601">
        <v>1</v>
      </c>
      <c r="N17" s="1597">
        <v>9</v>
      </c>
      <c r="O17" s="2813">
        <v>1</v>
      </c>
      <c r="P17" s="2674">
        <f>BOD!Q215</f>
        <v>9</v>
      </c>
      <c r="Q17" s="2676">
        <f>P17/C17</f>
        <v>1</v>
      </c>
      <c r="R17" s="2681">
        <f>BOD!Q214</f>
        <v>9</v>
      </c>
      <c r="S17" s="2770">
        <f>R17/P17</f>
        <v>1</v>
      </c>
      <c r="T17" s="2797" t="s">
        <v>109</v>
      </c>
      <c r="U17" s="2787" t="s">
        <v>66</v>
      </c>
      <c r="V17" s="2798" t="s">
        <v>109</v>
      </c>
      <c r="W17" s="2788" t="s">
        <v>109</v>
      </c>
    </row>
    <row r="18" spans="1:23" s="2655" customFormat="1" ht="15.75" thickBot="1">
      <c r="A18" s="2714"/>
      <c r="B18" s="2728" t="s">
        <v>344</v>
      </c>
      <c r="C18" s="2715">
        <v>27</v>
      </c>
      <c r="D18" s="2747">
        <v>18</v>
      </c>
      <c r="E18" s="2735" t="s">
        <v>336</v>
      </c>
      <c r="F18" s="2682">
        <v>8</v>
      </c>
      <c r="G18" s="2650">
        <f>F18/D18</f>
        <v>0.44444444444444442</v>
      </c>
      <c r="H18" s="2651">
        <v>25</v>
      </c>
      <c r="I18" s="2664">
        <f>H18/C18</f>
        <v>0.92592592592592593</v>
      </c>
      <c r="J18" s="2678">
        <v>13</v>
      </c>
      <c r="K18" s="2800">
        <v>0</v>
      </c>
      <c r="L18" s="2814" t="s">
        <v>336</v>
      </c>
      <c r="M18" s="1598" t="s">
        <v>336</v>
      </c>
      <c r="N18" s="1598" t="s">
        <v>336</v>
      </c>
      <c r="O18" s="2815" t="s">
        <v>336</v>
      </c>
      <c r="P18" s="2665">
        <f>BOD!Q199</f>
        <v>24</v>
      </c>
      <c r="Q18" s="2666">
        <f>P18/C18</f>
        <v>0.88888888888888884</v>
      </c>
      <c r="R18" s="2677">
        <f>BOD!Q198</f>
        <v>11</v>
      </c>
      <c r="S18" s="2763">
        <f>R18/P18</f>
        <v>0.45833333333333331</v>
      </c>
      <c r="T18" s="2780" t="s">
        <v>109</v>
      </c>
      <c r="U18" s="2790" t="s">
        <v>66</v>
      </c>
      <c r="V18" s="2796" t="s">
        <v>109</v>
      </c>
      <c r="W18" s="2792" t="s">
        <v>109</v>
      </c>
    </row>
    <row r="19" spans="1:23" ht="15.75" thickBot="1">
      <c r="A19" s="323"/>
      <c r="C19" s="2634"/>
      <c r="E19" s="2734"/>
      <c r="F19" s="2669"/>
      <c r="G19" s="2670"/>
      <c r="H19" s="2671"/>
      <c r="I19" s="2673"/>
      <c r="J19" s="2673"/>
      <c r="K19" s="2802"/>
      <c r="L19" s="2812"/>
      <c r="M19" s="1595"/>
      <c r="N19" s="1595"/>
      <c r="O19" s="2816"/>
      <c r="P19" s="2674"/>
      <c r="Q19" s="2669"/>
      <c r="R19" s="2675"/>
      <c r="S19" s="2771"/>
      <c r="T19" s="2774"/>
      <c r="U19" s="2764"/>
      <c r="V19" s="2765"/>
      <c r="W19" s="2795"/>
    </row>
    <row r="20" spans="1:23" s="2683" customFormat="1" ht="15.75" thickBot="1">
      <c r="A20" s="2721" t="s">
        <v>337</v>
      </c>
      <c r="B20" s="2729"/>
      <c r="C20" s="2723">
        <f>SUM(C21:C23)</f>
        <v>117</v>
      </c>
      <c r="D20" s="2744">
        <f>SUM(D21:D23)</f>
        <v>113</v>
      </c>
      <c r="E20" s="2733">
        <f>D20/C20</f>
        <v>0.96581196581196582</v>
      </c>
      <c r="F20" s="2656">
        <f>SUM(F21:F23)</f>
        <v>95</v>
      </c>
      <c r="G20" s="2657">
        <f>F20/D20</f>
        <v>0.84070796460176989</v>
      </c>
      <c r="H20" s="2658">
        <f>SUM(H21:H23)</f>
        <v>94</v>
      </c>
      <c r="I20" s="2659">
        <f>H20/C20</f>
        <v>0.80341880341880345</v>
      </c>
      <c r="J20" s="2660">
        <f>SUM(J21:J23)</f>
        <v>76</v>
      </c>
      <c r="K20" s="2799">
        <f>J20/H20</f>
        <v>0.80851063829787229</v>
      </c>
      <c r="L20" s="2817">
        <v>113</v>
      </c>
      <c r="M20" s="1105">
        <v>0.96581196581196582</v>
      </c>
      <c r="N20" s="1594">
        <v>85</v>
      </c>
      <c r="O20" s="2818">
        <v>0.75221238938053092</v>
      </c>
      <c r="P20" s="2661">
        <f>SUM(P21:P23)</f>
        <v>85</v>
      </c>
      <c r="Q20" s="2662">
        <f>P20/C20</f>
        <v>0.72649572649572647</v>
      </c>
      <c r="R20" s="2663">
        <f>SUM(R21:R23)</f>
        <v>66</v>
      </c>
      <c r="S20" s="2756">
        <f>R20/P20</f>
        <v>0.77647058823529413</v>
      </c>
      <c r="T20" s="2759">
        <f>SUM(T21:T23)</f>
        <v>93</v>
      </c>
      <c r="U20" s="2760" t="e">
        <f>T20/#REF!</f>
        <v>#REF!</v>
      </c>
      <c r="V20" s="2761">
        <f>SUM(V21:V23)</f>
        <v>74</v>
      </c>
      <c r="W20" s="2762">
        <f>V20/T20</f>
        <v>0.79569892473118276</v>
      </c>
    </row>
    <row r="21" spans="1:23" ht="15.75" thickBot="1">
      <c r="A21" s="323"/>
      <c r="B21" s="2730" t="s">
        <v>330</v>
      </c>
      <c r="C21" s="2724">
        <f>[1]TSS!D117</f>
        <v>84</v>
      </c>
      <c r="D21" s="2748">
        <f>[1]TSS!M115</f>
        <v>84</v>
      </c>
      <c r="E21" s="2734">
        <f>D21/C21</f>
        <v>1</v>
      </c>
      <c r="F21" s="2681">
        <f>[1]TSS!M114</f>
        <v>72</v>
      </c>
      <c r="G21" s="2670">
        <f>F21/D21</f>
        <v>0.8571428571428571</v>
      </c>
      <c r="H21" s="2684">
        <f>[1]TSS!Q115</f>
        <v>79</v>
      </c>
      <c r="I21" s="2672">
        <f>H21/C21</f>
        <v>0.94047619047619047</v>
      </c>
      <c r="J21" s="2680">
        <f>[1]TSS!Q114</f>
        <v>66</v>
      </c>
      <c r="K21" s="2803">
        <f>J21/H21</f>
        <v>0.83544303797468356</v>
      </c>
      <c r="L21" s="2819">
        <v>84</v>
      </c>
      <c r="M21" s="1601">
        <v>1</v>
      </c>
      <c r="N21" s="1597">
        <v>63</v>
      </c>
      <c r="O21" s="2813">
        <v>0.75</v>
      </c>
      <c r="P21" s="2674">
        <f>TSS!Q131</f>
        <v>70</v>
      </c>
      <c r="Q21" s="2676">
        <f>P21/C21</f>
        <v>0.83333333333333337</v>
      </c>
      <c r="R21" s="2675">
        <f>TSS!Q130</f>
        <v>58</v>
      </c>
      <c r="S21" s="2770">
        <f>R21/P21</f>
        <v>0.82857142857142863</v>
      </c>
      <c r="T21" s="2783">
        <v>79</v>
      </c>
      <c r="U21" s="2764" t="e">
        <f>T21/#REF!</f>
        <v>#REF!</v>
      </c>
      <c r="V21" s="2784">
        <v>65</v>
      </c>
      <c r="W21" s="2785">
        <f>V21/T21</f>
        <v>0.82278481012658233</v>
      </c>
    </row>
    <row r="22" spans="1:23" s="2655" customFormat="1" ht="15.75" thickBot="1">
      <c r="A22" s="2714"/>
      <c r="B22" s="2728" t="s">
        <v>331</v>
      </c>
      <c r="C22" s="2725">
        <f>'[1]Bathing Beaches DO,pH'!C171</f>
        <v>19</v>
      </c>
      <c r="D22" s="2749">
        <f>'[1]Bathing Beaches DO,pH'!L168</f>
        <v>15</v>
      </c>
      <c r="E22" s="2732">
        <f>D22/C22</f>
        <v>0.78947368421052633</v>
      </c>
      <c r="F22" s="2677">
        <f>'[1]Bathing Beaches DO,pH'!L167</f>
        <v>10</v>
      </c>
      <c r="G22" s="2650">
        <f>F22/D22</f>
        <v>0.66666666666666663</v>
      </c>
      <c r="H22" s="2651">
        <f>'[1]Bathing Beaches DO,pH'!P168</f>
        <v>15</v>
      </c>
      <c r="I22" s="2664">
        <f>H22/C22</f>
        <v>0.78947368421052633</v>
      </c>
      <c r="J22" s="2652">
        <f>'[1]Bathing Beaches DO,pH'!P167</f>
        <v>10</v>
      </c>
      <c r="K22" s="2799">
        <f>J22/H22</f>
        <v>0.66666666666666663</v>
      </c>
      <c r="L22" s="2819">
        <v>15</v>
      </c>
      <c r="M22" s="1601">
        <v>0.78947368421052633</v>
      </c>
      <c r="N22" s="1597">
        <v>8</v>
      </c>
      <c r="O22" s="2813">
        <v>0.53333333333333333</v>
      </c>
      <c r="P22" s="2665">
        <f>'Bathing Beaches DO,pH'!Q168</f>
        <v>15</v>
      </c>
      <c r="Q22" s="2666">
        <f>P22/C22</f>
        <v>0.78947368421052633</v>
      </c>
      <c r="R22" s="2667">
        <f>'Bathing Beaches DO,pH'!Q167</f>
        <v>8</v>
      </c>
      <c r="S22" s="2763">
        <f>R22/P22</f>
        <v>0.53333333333333333</v>
      </c>
      <c r="T22" s="2789" t="s">
        <v>109</v>
      </c>
      <c r="U22" s="2760" t="s">
        <v>66</v>
      </c>
      <c r="V22" s="2791" t="s">
        <v>109</v>
      </c>
      <c r="W22" s="2792" t="s">
        <v>109</v>
      </c>
    </row>
    <row r="23" spans="1:23" ht="15.75" thickBot="1">
      <c r="A23" s="323"/>
      <c r="B23" s="2730" t="s">
        <v>111</v>
      </c>
      <c r="C23" s="2724">
        <f>[1]TSS!D140</f>
        <v>14</v>
      </c>
      <c r="D23" s="2745">
        <f>[1]TSS!M138</f>
        <v>14</v>
      </c>
      <c r="E23" s="2734">
        <f>D23/C23</f>
        <v>1</v>
      </c>
      <c r="F23" s="2681">
        <f>[1]TSS!M137</f>
        <v>13</v>
      </c>
      <c r="G23" s="2670">
        <f>F23/D23</f>
        <v>0.9285714285714286</v>
      </c>
      <c r="H23" s="2671">
        <f>[1]TSS!Q138</f>
        <v>0</v>
      </c>
      <c r="I23" s="2672">
        <f>H23/C23</f>
        <v>0</v>
      </c>
      <c r="J23" s="2685">
        <f>[1]TSS!Q137</f>
        <v>0</v>
      </c>
      <c r="K23" s="2803">
        <v>0</v>
      </c>
      <c r="L23" s="2812">
        <v>14</v>
      </c>
      <c r="M23" s="1601">
        <v>1</v>
      </c>
      <c r="N23" s="1597">
        <v>14</v>
      </c>
      <c r="O23" s="2813">
        <v>1</v>
      </c>
      <c r="P23" s="2674"/>
      <c r="Q23" s="2676">
        <f>P23/C23</f>
        <v>0</v>
      </c>
      <c r="R23" s="2675"/>
      <c r="S23" s="2770"/>
      <c r="T23" s="2826">
        <v>14</v>
      </c>
      <c r="U23" s="2764" t="e">
        <f>T23/#REF!</f>
        <v>#REF!</v>
      </c>
      <c r="V23" s="2827">
        <v>9</v>
      </c>
      <c r="W23" s="2785">
        <f>V23/T23</f>
        <v>0.6428571428571429</v>
      </c>
    </row>
    <row r="24" spans="1:23" s="2655" customFormat="1" ht="15.75" thickBot="1">
      <c r="A24" s="2714"/>
      <c r="B24" s="2728"/>
      <c r="C24" s="2715"/>
      <c r="D24" s="2743"/>
      <c r="E24" s="2732"/>
      <c r="F24" s="2649"/>
      <c r="G24" s="2650"/>
      <c r="H24" s="2651"/>
      <c r="I24" s="2652"/>
      <c r="J24" s="2652"/>
      <c r="K24" s="2799"/>
      <c r="L24" s="2812"/>
      <c r="M24" s="1595"/>
      <c r="N24" s="1595"/>
      <c r="O24" s="2816"/>
      <c r="P24" s="2665"/>
      <c r="Q24" s="2649"/>
      <c r="R24" s="2667"/>
      <c r="S24" s="2772"/>
      <c r="T24" s="2766"/>
      <c r="U24" s="2760"/>
      <c r="V24" s="2767"/>
      <c r="W24" s="2786"/>
    </row>
    <row r="25" spans="1:23" s="4" customFormat="1" ht="15.75" thickBot="1">
      <c r="A25" s="2722" t="s">
        <v>199</v>
      </c>
      <c r="B25" s="2731"/>
      <c r="C25" s="2726">
        <f>SUM(C26:C31)</f>
        <v>162</v>
      </c>
      <c r="D25" s="2750">
        <f>SUM(D26:D28)</f>
        <v>87</v>
      </c>
      <c r="E25" s="2737">
        <f t="shared" ref="E25:E30" si="7">D25/C25</f>
        <v>0.53703703703703709</v>
      </c>
      <c r="F25" s="2686">
        <f>SUM(F26:F30)</f>
        <v>87</v>
      </c>
      <c r="G25" s="2687">
        <f t="shared" ref="G25:G30" si="8">F25/D25</f>
        <v>1</v>
      </c>
      <c r="H25" s="2688">
        <f>SUM(H26:H31)</f>
        <v>132</v>
      </c>
      <c r="I25" s="2689">
        <f t="shared" ref="I25:I31" si="9">H25/C25</f>
        <v>0.81481481481481477</v>
      </c>
      <c r="J25" s="2690">
        <f>SUM(J26:J31)</f>
        <v>117</v>
      </c>
      <c r="K25" s="2803">
        <f>J25/H25</f>
        <v>0.88636363636363635</v>
      </c>
      <c r="L25" s="2817">
        <v>132</v>
      </c>
      <c r="M25" s="1105">
        <v>0.81481481481481477</v>
      </c>
      <c r="N25" s="1594">
        <v>103</v>
      </c>
      <c r="O25" s="2818">
        <v>0.78030303030303028</v>
      </c>
      <c r="P25" s="2823">
        <f>SUM(P26:P31)</f>
        <v>170</v>
      </c>
      <c r="Q25" s="2662">
        <f t="shared" ref="Q25:Q31" si="10">P25/C25</f>
        <v>1.0493827160493827</v>
      </c>
      <c r="R25" s="2663">
        <f>SUM(R26:R31)</f>
        <v>128</v>
      </c>
      <c r="S25" s="2824">
        <f>R25/P25</f>
        <v>0.75294117647058822</v>
      </c>
      <c r="T25" s="2794">
        <f>SUM(T26:T31)</f>
        <v>146</v>
      </c>
      <c r="U25" s="2764" t="e">
        <f>T25/#REF!</f>
        <v>#REF!</v>
      </c>
      <c r="V25" s="2784">
        <f>SUM(V26:V31)</f>
        <v>134</v>
      </c>
      <c r="W25" s="2785">
        <f>V25/T25</f>
        <v>0.9178082191780822</v>
      </c>
    </row>
    <row r="26" spans="1:23" s="2655" customFormat="1" ht="15.75" thickBot="1">
      <c r="A26" s="2714"/>
      <c r="B26" s="2728" t="s">
        <v>330</v>
      </c>
      <c r="C26" s="2715">
        <f>[1]pH!B45+[1]pH!B77+[1]pH!B106</f>
        <v>84</v>
      </c>
      <c r="D26" s="2749">
        <f>[1]pH!M112</f>
        <v>64</v>
      </c>
      <c r="E26" s="2732">
        <f t="shared" si="7"/>
        <v>0.76190476190476186</v>
      </c>
      <c r="F26" s="2677">
        <f>[1]pH!M111</f>
        <v>58</v>
      </c>
      <c r="G26" s="2650">
        <f t="shared" si="8"/>
        <v>0.90625</v>
      </c>
      <c r="H26" s="2694">
        <f>[1]pH!Q112</f>
        <v>79</v>
      </c>
      <c r="I26" s="2664">
        <f t="shared" si="9"/>
        <v>0.94047619047619047</v>
      </c>
      <c r="J26" s="2678">
        <f>[1]pH!Q111</f>
        <v>73</v>
      </c>
      <c r="K26" s="2800">
        <f>J26/H26</f>
        <v>0.92405063291139244</v>
      </c>
      <c r="L26" s="2819">
        <v>84</v>
      </c>
      <c r="M26" s="1601">
        <v>1</v>
      </c>
      <c r="N26" s="1597">
        <v>71</v>
      </c>
      <c r="O26" s="2813">
        <v>0.84523809523809523</v>
      </c>
      <c r="P26" s="2674">
        <f>pH!Q129</f>
        <v>79</v>
      </c>
      <c r="Q26" s="2676">
        <f t="shared" si="10"/>
        <v>0.94047619047619047</v>
      </c>
      <c r="R26" s="2675">
        <f>pH!Q128</f>
        <v>78</v>
      </c>
      <c r="S26" s="2773">
        <f t="shared" ref="S26:S31" si="11">R26/P26</f>
        <v>0.98734177215189878</v>
      </c>
      <c r="T26" s="2828">
        <v>79</v>
      </c>
      <c r="U26" s="2760" t="e">
        <f>T26/#REF!</f>
        <v>#REF!</v>
      </c>
      <c r="V26" s="2761">
        <v>73</v>
      </c>
      <c r="W26" s="2762">
        <f>V26/T26</f>
        <v>0.92405063291139244</v>
      </c>
    </row>
    <row r="27" spans="1:23" ht="15.75" thickBot="1">
      <c r="A27" s="323"/>
      <c r="B27" s="2730" t="s">
        <v>331</v>
      </c>
      <c r="C27" s="2724">
        <v>19</v>
      </c>
      <c r="D27" s="2748">
        <f>'[1]Bathing Beaches DO,pH'!L115</f>
        <v>14</v>
      </c>
      <c r="E27" s="2734">
        <f t="shared" si="7"/>
        <v>0.73684210526315785</v>
      </c>
      <c r="F27" s="2681">
        <f>'[1]Bathing Beaches DO,pH'!L114</f>
        <v>14</v>
      </c>
      <c r="G27" s="2695">
        <f t="shared" si="8"/>
        <v>1</v>
      </c>
      <c r="H27" s="2696">
        <f>'[1]Bathing Beaches DO,pH'!P115</f>
        <v>19</v>
      </c>
      <c r="I27" s="2672">
        <f t="shared" si="9"/>
        <v>1</v>
      </c>
      <c r="J27" s="2685">
        <f>'[1]Bathing Beaches DO,pH'!P114</f>
        <v>19</v>
      </c>
      <c r="K27" s="2801">
        <f>J27/H27</f>
        <v>1</v>
      </c>
      <c r="L27" s="2819">
        <v>19</v>
      </c>
      <c r="M27" s="1601">
        <v>1</v>
      </c>
      <c r="N27" s="1597">
        <v>14</v>
      </c>
      <c r="O27" s="2813">
        <v>0.73684210526315785</v>
      </c>
      <c r="P27" s="2825">
        <f>'Bathing Beaches DO,pH'!Q115</f>
        <v>20</v>
      </c>
      <c r="Q27" s="2666">
        <f t="shared" si="10"/>
        <v>1.0526315789473684</v>
      </c>
      <c r="R27" s="2667">
        <f>'Bathing Beaches DO,pH'!Q114</f>
        <v>20</v>
      </c>
      <c r="S27" s="2824">
        <f t="shared" si="11"/>
        <v>1</v>
      </c>
      <c r="T27" s="2794">
        <v>14</v>
      </c>
      <c r="U27" s="2764" t="e">
        <f>T27/#REF!</f>
        <v>#REF!</v>
      </c>
      <c r="V27" s="2784">
        <v>14</v>
      </c>
      <c r="W27" s="2785">
        <f>V27/T27</f>
        <v>1</v>
      </c>
    </row>
    <row r="28" spans="1:23" s="2655" customFormat="1" ht="15.75" thickBot="1">
      <c r="A28" s="2714"/>
      <c r="B28" s="2728" t="s">
        <v>333</v>
      </c>
      <c r="C28" s="2715">
        <f>'[1]Offshore DO, pH, Phos. Sal. Con'!C97</f>
        <v>9</v>
      </c>
      <c r="D28" s="2743">
        <f>'[1]Offshore DO, pH, Phos. Sal. Con'!AH82</f>
        <v>9</v>
      </c>
      <c r="E28" s="2732">
        <f t="shared" si="7"/>
        <v>1</v>
      </c>
      <c r="F28" s="2649">
        <f>'[1]Offshore DO, pH, Phos. Sal. Con'!AH83</f>
        <v>0</v>
      </c>
      <c r="G28" s="2697">
        <f t="shared" si="8"/>
        <v>0</v>
      </c>
      <c r="H28" s="2651">
        <f>'[1]Offshore DO, pH, Phos. Sal. Con'!AK82</f>
        <v>0</v>
      </c>
      <c r="I28" s="2664">
        <f t="shared" si="9"/>
        <v>0</v>
      </c>
      <c r="J28" s="2698">
        <v>0</v>
      </c>
      <c r="K28" s="2800">
        <v>0</v>
      </c>
      <c r="L28" s="2812">
        <v>6</v>
      </c>
      <c r="M28" s="1601">
        <v>0.66666666666666663</v>
      </c>
      <c r="N28" s="1595">
        <v>0</v>
      </c>
      <c r="O28" s="2813">
        <v>0</v>
      </c>
      <c r="P28" s="2674">
        <f>'Offshore DO, pH, Phos. Sal. Con'!AW82</f>
        <v>9</v>
      </c>
      <c r="Q28" s="2676">
        <f t="shared" si="10"/>
        <v>1</v>
      </c>
      <c r="R28" s="2675">
        <f>'Offshore DO, pH, Phos. Sal. Con'!AW83</f>
        <v>0</v>
      </c>
      <c r="S28" s="2773">
        <f t="shared" si="11"/>
        <v>0</v>
      </c>
      <c r="T28" s="2829">
        <v>6</v>
      </c>
      <c r="U28" s="2760" t="e">
        <f>T28/#REF!</f>
        <v>#REF!</v>
      </c>
      <c r="V28" s="2830">
        <v>0</v>
      </c>
      <c r="W28" s="2762">
        <f>V28/T28</f>
        <v>0</v>
      </c>
    </row>
    <row r="29" spans="1:23" ht="15.75" thickBot="1">
      <c r="A29" s="323"/>
      <c r="B29" s="2730" t="s">
        <v>111</v>
      </c>
      <c r="C29" s="2634">
        <v>14</v>
      </c>
      <c r="D29" s="2745">
        <v>14</v>
      </c>
      <c r="E29" s="2734">
        <f t="shared" si="7"/>
        <v>1</v>
      </c>
      <c r="F29" s="2681">
        <f>[1]pH!M186</f>
        <v>14</v>
      </c>
      <c r="G29" s="2695">
        <f t="shared" si="8"/>
        <v>1</v>
      </c>
      <c r="H29" s="2671">
        <f>[1]pH!Q187</f>
        <v>0</v>
      </c>
      <c r="I29" s="2672">
        <f t="shared" si="9"/>
        <v>0</v>
      </c>
      <c r="J29" s="2680">
        <f>[1]pH!Q186</f>
        <v>0</v>
      </c>
      <c r="K29" s="2801">
        <v>0</v>
      </c>
      <c r="L29" s="2812">
        <v>14</v>
      </c>
      <c r="M29" s="1601">
        <v>1</v>
      </c>
      <c r="N29" s="1597">
        <v>14</v>
      </c>
      <c r="O29" s="2813">
        <v>1</v>
      </c>
      <c r="P29" s="2825">
        <f>pH!Q215</f>
        <v>14</v>
      </c>
      <c r="Q29" s="2666">
        <f t="shared" si="10"/>
        <v>1</v>
      </c>
      <c r="R29" s="2677">
        <f>pH!Q214</f>
        <v>14</v>
      </c>
      <c r="S29" s="2824">
        <f t="shared" si="11"/>
        <v>1</v>
      </c>
      <c r="T29" s="2826">
        <f>pH!E215</f>
        <v>14</v>
      </c>
      <c r="U29" s="2764" t="e">
        <f>T29/#REF!</f>
        <v>#REF!</v>
      </c>
      <c r="V29" s="2831">
        <f>pH!E214</f>
        <v>14</v>
      </c>
      <c r="W29" s="2785">
        <f>V29/T29</f>
        <v>1</v>
      </c>
    </row>
    <row r="30" spans="1:23" s="2655" customFormat="1" ht="15.75" thickBot="1">
      <c r="A30" s="2714"/>
      <c r="B30" s="2728" t="s">
        <v>332</v>
      </c>
      <c r="C30" s="2715">
        <v>9</v>
      </c>
      <c r="D30" s="2747">
        <f>[1]pH!M165</f>
        <v>9</v>
      </c>
      <c r="E30" s="2732">
        <f t="shared" si="7"/>
        <v>1</v>
      </c>
      <c r="F30" s="2699">
        <f>[1]pH!M164</f>
        <v>1</v>
      </c>
      <c r="G30" s="2697">
        <f t="shared" si="8"/>
        <v>0.1111111111111111</v>
      </c>
      <c r="H30" s="2651">
        <f>[1]pH!Q165</f>
        <v>9</v>
      </c>
      <c r="I30" s="2664">
        <f t="shared" si="9"/>
        <v>1</v>
      </c>
      <c r="J30" s="2678">
        <f>[1]pH!Q187</f>
        <v>0</v>
      </c>
      <c r="K30" s="2800">
        <v>0</v>
      </c>
      <c r="L30" s="2812">
        <v>9</v>
      </c>
      <c r="M30" s="1601">
        <v>1</v>
      </c>
      <c r="N30" s="1597">
        <v>4</v>
      </c>
      <c r="O30" s="2813">
        <v>0.44444444444444442</v>
      </c>
      <c r="P30" s="2674">
        <f>pH!R175</f>
        <v>24</v>
      </c>
      <c r="Q30" s="2676">
        <f t="shared" si="10"/>
        <v>2.6666666666666665</v>
      </c>
      <c r="R30" s="2675">
        <f>[1]pH!U187</f>
        <v>0</v>
      </c>
      <c r="S30" s="2773">
        <f t="shared" si="11"/>
        <v>0</v>
      </c>
      <c r="T30" s="2829">
        <v>9</v>
      </c>
      <c r="U30" s="2760" t="e">
        <f>T30/#REF!</f>
        <v>#REF!</v>
      </c>
      <c r="V30" s="2830">
        <v>9</v>
      </c>
      <c r="W30" s="2762">
        <v>1</v>
      </c>
    </row>
    <row r="31" spans="1:23" ht="15.75" thickBot="1">
      <c r="A31" s="323"/>
      <c r="B31" s="2730" t="s">
        <v>344</v>
      </c>
      <c r="C31" s="2634">
        <v>27</v>
      </c>
      <c r="D31" s="2746" t="s">
        <v>336</v>
      </c>
      <c r="E31" s="2736" t="s">
        <v>336</v>
      </c>
      <c r="F31" s="2679" t="s">
        <v>336</v>
      </c>
      <c r="G31" s="2700" t="s">
        <v>336</v>
      </c>
      <c r="H31" s="2671">
        <v>25</v>
      </c>
      <c r="I31" s="2672">
        <f t="shared" si="9"/>
        <v>0.92592592592592593</v>
      </c>
      <c r="J31" s="2680">
        <f>[1]pH!Q146</f>
        <v>25</v>
      </c>
      <c r="K31" s="2801">
        <v>0</v>
      </c>
      <c r="L31" s="2814" t="s">
        <v>336</v>
      </c>
      <c r="M31" s="1598" t="s">
        <v>336</v>
      </c>
      <c r="N31" s="1598" t="s">
        <v>336</v>
      </c>
      <c r="O31" s="2815" t="s">
        <v>336</v>
      </c>
      <c r="P31" s="2825">
        <v>24</v>
      </c>
      <c r="Q31" s="2666">
        <f t="shared" si="10"/>
        <v>0.88888888888888884</v>
      </c>
      <c r="R31" s="2667">
        <v>16</v>
      </c>
      <c r="S31" s="2824">
        <f t="shared" si="11"/>
        <v>0.66666666666666663</v>
      </c>
      <c r="T31" s="2826">
        <v>24</v>
      </c>
      <c r="U31" s="2764" t="e">
        <f>T31/#REF!</f>
        <v>#REF!</v>
      </c>
      <c r="V31" s="2832">
        <v>24</v>
      </c>
      <c r="W31" s="2785">
        <v>1</v>
      </c>
    </row>
    <row r="32" spans="1:23" s="2655" customFormat="1" ht="15.75" thickBot="1">
      <c r="A32" s="2714"/>
      <c r="B32" s="2728"/>
      <c r="C32" s="2715"/>
      <c r="D32" s="2747"/>
      <c r="E32" s="2732"/>
      <c r="F32" s="2682"/>
      <c r="G32" s="2650"/>
      <c r="H32" s="2651"/>
      <c r="I32" s="2652"/>
      <c r="J32" s="2652"/>
      <c r="K32" s="2804"/>
      <c r="L32" s="2812"/>
      <c r="M32" s="1595"/>
      <c r="N32" s="1595"/>
      <c r="O32" s="2816"/>
      <c r="P32" s="2665"/>
      <c r="Q32" s="2649"/>
      <c r="R32" s="2667"/>
      <c r="S32" s="2772"/>
      <c r="T32" s="2766"/>
      <c r="U32" s="2760"/>
      <c r="V32" s="2767"/>
      <c r="W32" s="2786"/>
    </row>
    <row r="33" spans="1:23" s="4" customFormat="1" ht="15.75" thickBot="1">
      <c r="A33" s="2722" t="s">
        <v>170</v>
      </c>
      <c r="B33" s="2731"/>
      <c r="C33" s="2726">
        <f>SUM(C34:C37)</f>
        <v>134</v>
      </c>
      <c r="D33" s="2750">
        <f>SUM(D34:D34)</f>
        <v>26</v>
      </c>
      <c r="E33" s="2737">
        <f>D33/C33</f>
        <v>0.19402985074626866</v>
      </c>
      <c r="F33" s="2686">
        <f>SUM(F34:F36)</f>
        <v>34</v>
      </c>
      <c r="G33" s="2687">
        <f>F33/D33</f>
        <v>1.3076923076923077</v>
      </c>
      <c r="H33" s="2688">
        <f>SUM(H34:H37)</f>
        <v>126</v>
      </c>
      <c r="I33" s="2689">
        <f>H33/C33</f>
        <v>0.94029850746268662</v>
      </c>
      <c r="J33" s="2701">
        <f>SUM(J34:J37)</f>
        <v>67</v>
      </c>
      <c r="K33" s="2803">
        <f>J33/H33</f>
        <v>0.53174603174603174</v>
      </c>
      <c r="L33" s="2817">
        <v>66</v>
      </c>
      <c r="M33" s="1105">
        <v>0.4925373134328358</v>
      </c>
      <c r="N33" s="1594">
        <v>54</v>
      </c>
      <c r="O33" s="2818">
        <v>0.81818181818181823</v>
      </c>
      <c r="P33" s="2691">
        <f>SUM(P34:P37)</f>
        <v>112</v>
      </c>
      <c r="Q33" s="2692">
        <f>P33/C33</f>
        <v>0.83582089552238803</v>
      </c>
      <c r="R33" s="2693">
        <f>SUM(R34:R37)</f>
        <v>111</v>
      </c>
      <c r="S33" s="2773">
        <f>R33/P33</f>
        <v>0.9910714285714286</v>
      </c>
      <c r="T33" s="2783">
        <f>SUM(T34:T37)</f>
        <v>69</v>
      </c>
      <c r="U33" s="2764" t="e">
        <f>T33/#REF!</f>
        <v>#REF!</v>
      </c>
      <c r="V33" s="2784">
        <f>SUM(V34:V37)</f>
        <v>67</v>
      </c>
      <c r="W33" s="2785">
        <f>V33/T33</f>
        <v>0.97101449275362317</v>
      </c>
    </row>
    <row r="34" spans="1:23" s="2655" customFormat="1" ht="15.75" thickBot="1">
      <c r="A34" s="2714"/>
      <c r="B34" s="2728" t="s">
        <v>330</v>
      </c>
      <c r="C34" s="2715">
        <v>84</v>
      </c>
      <c r="D34" s="2747">
        <f>[1]Nitrate!M113</f>
        <v>26</v>
      </c>
      <c r="E34" s="2732">
        <f>D34/C34</f>
        <v>0.30952380952380953</v>
      </c>
      <c r="F34" s="2682">
        <f>[1]Nitrate!M112</f>
        <v>14</v>
      </c>
      <c r="G34" s="2650">
        <f>F34/D34</f>
        <v>0.53846153846153844</v>
      </c>
      <c r="H34" s="2651">
        <f>[1]Nitrate!Q113</f>
        <v>79</v>
      </c>
      <c r="I34" s="2664">
        <f>H34/C34</f>
        <v>0.94047619047619047</v>
      </c>
      <c r="J34" s="2678">
        <f>[1]Nitrate!Q107</f>
        <v>24</v>
      </c>
      <c r="K34" s="2800">
        <f>J34/H34</f>
        <v>0.30379746835443039</v>
      </c>
      <c r="L34" s="2812">
        <v>57</v>
      </c>
      <c r="M34" s="1601">
        <v>0.6785714285714286</v>
      </c>
      <c r="N34" s="1595">
        <v>45</v>
      </c>
      <c r="O34" s="2813">
        <v>0.78947368421052633</v>
      </c>
      <c r="P34" s="2665">
        <f>Nitrate!Q129</f>
        <v>78</v>
      </c>
      <c r="Q34" s="2666">
        <f>P34/C34</f>
        <v>0.9285714285714286</v>
      </c>
      <c r="R34" s="2667">
        <f>Nitrate!Q128</f>
        <v>77</v>
      </c>
      <c r="S34" s="2763">
        <f>R34/P34</f>
        <v>0.98717948717948723</v>
      </c>
      <c r="T34" s="2759">
        <v>55</v>
      </c>
      <c r="U34" s="2760" t="e">
        <f>T34/#REF!</f>
        <v>#REF!</v>
      </c>
      <c r="V34" s="2761">
        <v>53</v>
      </c>
      <c r="W34" s="2762">
        <f>V34/T34</f>
        <v>0.96363636363636362</v>
      </c>
    </row>
    <row r="35" spans="1:23" ht="15.75" thickBot="1">
      <c r="A35" s="323"/>
      <c r="B35" s="2730" t="s">
        <v>111</v>
      </c>
      <c r="C35" s="2634">
        <v>14</v>
      </c>
      <c r="D35" s="2746">
        <f>[1]Nitrate!M185</f>
        <v>14</v>
      </c>
      <c r="E35" s="2734">
        <f>D35/C35</f>
        <v>1</v>
      </c>
      <c r="F35" s="2702">
        <f>[1]Nitrate!M184</f>
        <v>11</v>
      </c>
      <c r="G35" s="2670">
        <f>F35/D35</f>
        <v>0.7857142857142857</v>
      </c>
      <c r="H35" s="2671">
        <f>[1]Nitrate!Q185</f>
        <v>14</v>
      </c>
      <c r="I35" s="2672">
        <f>H35/C35</f>
        <v>1</v>
      </c>
      <c r="J35" s="2680">
        <f>[1]Nitrate!Q184</f>
        <v>10</v>
      </c>
      <c r="K35" s="2801">
        <f>J35/H35</f>
        <v>0.7142857142857143</v>
      </c>
      <c r="L35" s="2812" t="s">
        <v>66</v>
      </c>
      <c r="M35" s="1601" t="s">
        <v>345</v>
      </c>
      <c r="N35" s="1595" t="s">
        <v>66</v>
      </c>
      <c r="O35" s="2813" t="s">
        <v>66</v>
      </c>
      <c r="P35" s="2674"/>
      <c r="Q35" s="2676">
        <f>P35/C35</f>
        <v>0</v>
      </c>
      <c r="R35" s="2675"/>
      <c r="S35" s="2770"/>
      <c r="T35" s="2826">
        <v>14</v>
      </c>
      <c r="U35" s="2764" t="e">
        <f>T35/#REF!</f>
        <v>#REF!</v>
      </c>
      <c r="V35" s="2832">
        <v>14</v>
      </c>
      <c r="W35" s="2785">
        <f>V35/T35</f>
        <v>1</v>
      </c>
    </row>
    <row r="36" spans="1:23" s="2655" customFormat="1" ht="15.75" thickBot="1">
      <c r="A36" s="2714"/>
      <c r="B36" s="2728" t="s">
        <v>332</v>
      </c>
      <c r="C36" s="2715">
        <v>9</v>
      </c>
      <c r="D36" s="2747">
        <f>[1]Nitrate!M164</f>
        <v>9</v>
      </c>
      <c r="E36" s="2732">
        <f>D36/C36</f>
        <v>1</v>
      </c>
      <c r="F36" s="2699">
        <f>[1]Nitrate!M163</f>
        <v>9</v>
      </c>
      <c r="G36" s="2650">
        <f>F36/D36</f>
        <v>1</v>
      </c>
      <c r="H36" s="2651">
        <f>[1]Nitrate!Q164</f>
        <v>9</v>
      </c>
      <c r="I36" s="2664">
        <f>H36/C36</f>
        <v>1</v>
      </c>
      <c r="J36" s="2678">
        <f>[1]Nitrate!Q163</f>
        <v>9</v>
      </c>
      <c r="K36" s="2800">
        <v>0</v>
      </c>
      <c r="L36" s="2812">
        <v>9</v>
      </c>
      <c r="M36" s="1601">
        <v>1</v>
      </c>
      <c r="N36" s="1595">
        <v>9</v>
      </c>
      <c r="O36" s="2813">
        <v>1</v>
      </c>
      <c r="P36" s="2665">
        <v>9</v>
      </c>
      <c r="Q36" s="2666">
        <f>P36/C36</f>
        <v>1</v>
      </c>
      <c r="R36" s="2667">
        <v>9</v>
      </c>
      <c r="S36" s="2763">
        <f>R36/P36</f>
        <v>1</v>
      </c>
      <c r="T36" s="2789" t="s">
        <v>109</v>
      </c>
      <c r="U36" s="2760" t="s">
        <v>109</v>
      </c>
      <c r="V36" s="2791" t="s">
        <v>109</v>
      </c>
      <c r="W36" s="2768" t="s">
        <v>109</v>
      </c>
    </row>
    <row r="37" spans="1:23" ht="15.75" thickBot="1">
      <c r="A37" s="323"/>
      <c r="B37" s="2730" t="s">
        <v>344</v>
      </c>
      <c r="C37" s="2634">
        <v>27</v>
      </c>
      <c r="D37" s="2746" t="s">
        <v>336</v>
      </c>
      <c r="E37" s="2736" t="s">
        <v>336</v>
      </c>
      <c r="F37" s="2679" t="s">
        <v>336</v>
      </c>
      <c r="G37" s="2700" t="s">
        <v>336</v>
      </c>
      <c r="H37" s="2671">
        <f>[1]Nitrate!Q148</f>
        <v>24</v>
      </c>
      <c r="I37" s="2672">
        <f>H37/C37</f>
        <v>0.88888888888888884</v>
      </c>
      <c r="J37" s="2680">
        <f>[1]Nitrate!Q147</f>
        <v>24</v>
      </c>
      <c r="K37" s="2801">
        <v>0</v>
      </c>
      <c r="L37" s="2814" t="s">
        <v>336</v>
      </c>
      <c r="M37" s="1598" t="s">
        <v>336</v>
      </c>
      <c r="N37" s="1598" t="s">
        <v>336</v>
      </c>
      <c r="O37" s="2815" t="s">
        <v>336</v>
      </c>
      <c r="P37" s="2674">
        <v>25</v>
      </c>
      <c r="Q37" s="2676">
        <f>P37/C37</f>
        <v>0.92592592592592593</v>
      </c>
      <c r="R37" s="2675">
        <v>25</v>
      </c>
      <c r="S37" s="2770">
        <f>R37/P37</f>
        <v>1</v>
      </c>
      <c r="T37" s="2776" t="s">
        <v>109</v>
      </c>
      <c r="U37" s="2764" t="s">
        <v>109</v>
      </c>
      <c r="V37" s="2769" t="s">
        <v>109</v>
      </c>
      <c r="W37" s="2775" t="s">
        <v>109</v>
      </c>
    </row>
    <row r="38" spans="1:23" s="2655" customFormat="1" ht="15.75" thickBot="1">
      <c r="A38" s="2714"/>
      <c r="B38" s="2728"/>
      <c r="C38" s="2715"/>
      <c r="D38" s="2747"/>
      <c r="E38" s="2732"/>
      <c r="F38" s="2682"/>
      <c r="G38" s="2650"/>
      <c r="H38" s="2651"/>
      <c r="I38" s="2652"/>
      <c r="J38" s="2652"/>
      <c r="K38" s="2804"/>
      <c r="L38" s="2812"/>
      <c r="M38" s="1595"/>
      <c r="N38" s="1595"/>
      <c r="O38" s="2816"/>
      <c r="P38" s="2665"/>
      <c r="Q38" s="2649"/>
      <c r="R38" s="2667"/>
      <c r="S38" s="2772"/>
      <c r="T38" s="2766"/>
      <c r="U38" s="2760"/>
      <c r="V38" s="2767"/>
      <c r="W38" s="2786"/>
    </row>
    <row r="39" spans="1:23" s="4" customFormat="1" ht="15.75" thickBot="1">
      <c r="A39" s="2722" t="s">
        <v>169</v>
      </c>
      <c r="B39" s="2731"/>
      <c r="C39" s="2726">
        <f>SUM(C40:C43)</f>
        <v>134</v>
      </c>
      <c r="D39" s="2750">
        <f>SUM(D40:D43)</f>
        <v>73</v>
      </c>
      <c r="E39" s="2737">
        <f>D39/C39</f>
        <v>0.54477611940298509</v>
      </c>
      <c r="F39" s="2686">
        <f>SUM(F40:F43)</f>
        <v>14</v>
      </c>
      <c r="G39" s="2687">
        <f>F39/D39</f>
        <v>0.19178082191780821</v>
      </c>
      <c r="H39" s="2688">
        <f>SUM(H40:H43)</f>
        <v>112</v>
      </c>
      <c r="I39" s="2689">
        <f>H39/C39</f>
        <v>0.83582089552238803</v>
      </c>
      <c r="J39" s="2701">
        <f>SUM(J40:J43)</f>
        <v>28</v>
      </c>
      <c r="K39" s="2805">
        <f>J39/H39</f>
        <v>0.25</v>
      </c>
      <c r="L39" s="2817">
        <v>104</v>
      </c>
      <c r="M39" s="1105">
        <v>0.77611940298507465</v>
      </c>
      <c r="N39" s="1594">
        <v>26</v>
      </c>
      <c r="O39" s="2818">
        <v>0.25</v>
      </c>
      <c r="P39" s="2691">
        <f>SUM(P40:P43)</f>
        <v>112</v>
      </c>
      <c r="Q39" s="2692">
        <f>P39/C39</f>
        <v>0.83582089552238803</v>
      </c>
      <c r="R39" s="2693">
        <f>SUM(R40:R43)</f>
        <v>24</v>
      </c>
      <c r="S39" s="2687">
        <f>R39/P39</f>
        <v>0.21428571428571427</v>
      </c>
      <c r="T39" s="2783">
        <f>SUM(T40:T43)</f>
        <v>93</v>
      </c>
      <c r="U39" s="2764" t="e">
        <f>T39/#REF!</f>
        <v>#REF!</v>
      </c>
      <c r="V39" s="2784">
        <f>SUM(V40:V43)</f>
        <v>17</v>
      </c>
      <c r="W39" s="2793">
        <f>V39/T39</f>
        <v>0.18279569892473119</v>
      </c>
    </row>
    <row r="40" spans="1:23" s="2655" customFormat="1" ht="15.75" thickBot="1">
      <c r="A40" s="2714"/>
      <c r="B40" s="2728" t="s">
        <v>330</v>
      </c>
      <c r="C40" s="2715">
        <v>84</v>
      </c>
      <c r="D40" s="2747">
        <f>[1]Phosphate!M118</f>
        <v>50</v>
      </c>
      <c r="E40" s="2732">
        <f>D40/C40</f>
        <v>0.59523809523809523</v>
      </c>
      <c r="F40" s="2682">
        <f>[1]Phosphate!M117</f>
        <v>5</v>
      </c>
      <c r="G40" s="2650">
        <f>F40/D40</f>
        <v>0.1</v>
      </c>
      <c r="H40" s="2651">
        <v>79</v>
      </c>
      <c r="I40" s="2664">
        <f>H40/C40</f>
        <v>0.94047619047619047</v>
      </c>
      <c r="J40" s="2678">
        <v>10</v>
      </c>
      <c r="K40" s="2806">
        <f>J40/H40</f>
        <v>0.12658227848101267</v>
      </c>
      <c r="L40" s="2812">
        <v>81</v>
      </c>
      <c r="M40" s="1601">
        <v>0.9642857142857143</v>
      </c>
      <c r="N40" s="1595">
        <v>17</v>
      </c>
      <c r="O40" s="2813">
        <v>0.20987654320987653</v>
      </c>
      <c r="P40" s="2665">
        <f>Phosphate!Q134</f>
        <v>78</v>
      </c>
      <c r="Q40" s="2666">
        <f>P40/C40</f>
        <v>0.9285714285714286</v>
      </c>
      <c r="R40" s="2667">
        <f>Phosphate!Q133</f>
        <v>6</v>
      </c>
      <c r="S40" s="2650">
        <f>R40/P40</f>
        <v>7.6923076923076927E-2</v>
      </c>
      <c r="T40" s="2759">
        <v>79</v>
      </c>
      <c r="U40" s="2760" t="e">
        <f>T40/#REF!</f>
        <v>#REF!</v>
      </c>
      <c r="V40" s="2761">
        <v>12</v>
      </c>
      <c r="W40" s="2833">
        <f>V40/T40</f>
        <v>0.15189873417721519</v>
      </c>
    </row>
    <row r="41" spans="1:23" ht="15.75" thickBot="1">
      <c r="A41" s="323"/>
      <c r="B41" s="2730" t="s">
        <v>111</v>
      </c>
      <c r="C41" s="2634">
        <v>14</v>
      </c>
      <c r="D41" s="2746">
        <f>[1]Phosphate!M189</f>
        <v>14</v>
      </c>
      <c r="E41" s="2734">
        <f>D41/C41</f>
        <v>1</v>
      </c>
      <c r="F41" s="2702">
        <f>[1]Phosphate!M188</f>
        <v>0</v>
      </c>
      <c r="G41" s="2670">
        <f>F41/D41</f>
        <v>0</v>
      </c>
      <c r="H41" s="2671">
        <f>[1]Phosphate!Q189</f>
        <v>0</v>
      </c>
      <c r="I41" s="2672">
        <f>H41/C41</f>
        <v>0</v>
      </c>
      <c r="J41" s="2680">
        <f>[1]Phosphate!Q188</f>
        <v>0</v>
      </c>
      <c r="K41" s="2801">
        <v>0</v>
      </c>
      <c r="L41" s="2812">
        <v>14</v>
      </c>
      <c r="M41" s="1601">
        <v>1</v>
      </c>
      <c r="N41" s="1597">
        <v>0</v>
      </c>
      <c r="O41" s="2813">
        <v>0</v>
      </c>
      <c r="P41" s="2674"/>
      <c r="Q41" s="2676">
        <f>P41/C41</f>
        <v>0</v>
      </c>
      <c r="R41" s="2675"/>
      <c r="S41" s="2670"/>
      <c r="T41" s="2826">
        <v>14</v>
      </c>
      <c r="U41" s="2764" t="e">
        <f>T41/#REF!</f>
        <v>#REF!</v>
      </c>
      <c r="V41" s="2827">
        <v>5</v>
      </c>
      <c r="W41" s="2785">
        <v>1</v>
      </c>
    </row>
    <row r="42" spans="1:23" s="2655" customFormat="1" ht="15.75" thickBot="1">
      <c r="A42" s="2714"/>
      <c r="B42" s="2728" t="s">
        <v>332</v>
      </c>
      <c r="C42" s="2715">
        <v>9</v>
      </c>
      <c r="D42" s="2747">
        <f>[1]Phosphate!M168</f>
        <v>9</v>
      </c>
      <c r="E42" s="2732">
        <f>D42/C42</f>
        <v>1</v>
      </c>
      <c r="F42" s="2682">
        <v>9</v>
      </c>
      <c r="G42" s="2650">
        <f>F42/D42</f>
        <v>1</v>
      </c>
      <c r="H42" s="2651">
        <f>[1]Phosphate!Q168</f>
        <v>9</v>
      </c>
      <c r="I42" s="2664">
        <f>H42/C42</f>
        <v>1</v>
      </c>
      <c r="J42" s="2678">
        <f>[1]Phosphate!Q167</f>
        <v>9</v>
      </c>
      <c r="K42" s="2800">
        <v>0</v>
      </c>
      <c r="L42" s="2812">
        <v>9</v>
      </c>
      <c r="M42" s="1601">
        <v>1</v>
      </c>
      <c r="N42" s="1597">
        <v>9</v>
      </c>
      <c r="O42" s="2813">
        <v>1</v>
      </c>
      <c r="P42" s="2665">
        <v>9</v>
      </c>
      <c r="Q42" s="2666">
        <f>P42/C42</f>
        <v>1</v>
      </c>
      <c r="R42" s="2667">
        <v>9</v>
      </c>
      <c r="S42" s="2650">
        <f>R42/P42</f>
        <v>1</v>
      </c>
      <c r="T42" s="2789" t="s">
        <v>109</v>
      </c>
      <c r="U42" s="2790" t="s">
        <v>109</v>
      </c>
      <c r="V42" s="2791" t="s">
        <v>109</v>
      </c>
      <c r="W42" s="2792" t="s">
        <v>109</v>
      </c>
    </row>
    <row r="43" spans="1:23" ht="15.75" thickBot="1">
      <c r="A43" s="323"/>
      <c r="B43" s="2730" t="s">
        <v>344</v>
      </c>
      <c r="C43" s="2634">
        <v>27</v>
      </c>
      <c r="D43" s="2746" t="s">
        <v>336</v>
      </c>
      <c r="E43" s="2736" t="s">
        <v>336</v>
      </c>
      <c r="F43" s="2679" t="s">
        <v>336</v>
      </c>
      <c r="G43" s="2700" t="s">
        <v>336</v>
      </c>
      <c r="H43" s="2671">
        <f>[1]Phosphate!Q152</f>
        <v>24</v>
      </c>
      <c r="I43" s="2672">
        <f>H43/C43</f>
        <v>0.88888888888888884</v>
      </c>
      <c r="J43" s="2680">
        <f>[1]Phosphate!Q151</f>
        <v>9</v>
      </c>
      <c r="K43" s="2801">
        <v>0</v>
      </c>
      <c r="L43" s="2814" t="s">
        <v>336</v>
      </c>
      <c r="M43" s="1598" t="s">
        <v>336</v>
      </c>
      <c r="N43" s="1598" t="s">
        <v>336</v>
      </c>
      <c r="O43" s="2815" t="s">
        <v>336</v>
      </c>
      <c r="P43" s="2674">
        <v>25</v>
      </c>
      <c r="Q43" s="2676">
        <f>P43/C43</f>
        <v>0.92592592592592593</v>
      </c>
      <c r="R43" s="2675">
        <v>9</v>
      </c>
      <c r="S43" s="2670">
        <f>R43/P43</f>
        <v>0.36</v>
      </c>
      <c r="T43" s="2776" t="s">
        <v>109</v>
      </c>
      <c r="U43" s="2787" t="s">
        <v>109</v>
      </c>
      <c r="V43" s="2769" t="s">
        <v>109</v>
      </c>
      <c r="W43" s="2788" t="s">
        <v>109</v>
      </c>
    </row>
    <row r="44" spans="1:23" s="2655" customFormat="1" ht="15.75" thickBot="1">
      <c r="A44" s="2714"/>
      <c r="B44" s="2728"/>
      <c r="C44" s="2715"/>
      <c r="D44" s="2747"/>
      <c r="E44" s="2732"/>
      <c r="F44" s="2682"/>
      <c r="G44" s="2703"/>
      <c r="H44" s="2651"/>
      <c r="I44" s="2652"/>
      <c r="J44" s="2652"/>
      <c r="K44" s="2804"/>
      <c r="L44" s="2812"/>
      <c r="M44" s="1595"/>
      <c r="N44" s="1595"/>
      <c r="O44" s="2816"/>
      <c r="P44" s="2665"/>
      <c r="Q44" s="2649"/>
      <c r="R44" s="2667"/>
      <c r="S44" s="2772"/>
      <c r="T44" s="2766"/>
      <c r="U44" s="2760"/>
      <c r="V44" s="2767"/>
      <c r="W44" s="2786"/>
    </row>
    <row r="45" spans="1:23" s="4" customFormat="1" ht="15.75" thickBot="1">
      <c r="A45" s="2722" t="s">
        <v>206</v>
      </c>
      <c r="B45" s="2731"/>
      <c r="C45" s="2726">
        <f>SUM(C46:C49)</f>
        <v>69</v>
      </c>
      <c r="D45" s="2750">
        <f>SUM(D46:D49)</f>
        <v>33</v>
      </c>
      <c r="E45" s="2737">
        <f>D45/C45</f>
        <v>0.47826086956521741</v>
      </c>
      <c r="F45" s="2686">
        <f>SUM(F46:F49)</f>
        <v>5</v>
      </c>
      <c r="G45" s="2704">
        <f>F45/D45</f>
        <v>0.15151515151515152</v>
      </c>
      <c r="H45" s="2688">
        <f>SUM(H46:H49)</f>
        <v>58</v>
      </c>
      <c r="I45" s="2689">
        <f>H45/C45</f>
        <v>0.84057971014492749</v>
      </c>
      <c r="J45" s="2701">
        <f>SUM(J46:J49)</f>
        <v>15</v>
      </c>
      <c r="K45" s="2803">
        <f>J45/H45</f>
        <v>0.25862068965517243</v>
      </c>
      <c r="L45" s="2817">
        <v>36</v>
      </c>
      <c r="M45" s="1105">
        <v>0.52173913043478259</v>
      </c>
      <c r="N45" s="1594">
        <v>10</v>
      </c>
      <c r="O45" s="2818">
        <v>0.27777777777777779</v>
      </c>
      <c r="P45" s="2691">
        <f>SUM(P46:P49)</f>
        <v>48</v>
      </c>
      <c r="Q45" s="2692">
        <f>P45/C45</f>
        <v>0.69565217391304346</v>
      </c>
      <c r="R45" s="2693">
        <f>SUM(R46:R49)</f>
        <v>16</v>
      </c>
      <c r="S45" s="2773">
        <f>R45/P45</f>
        <v>0.33333333333333331</v>
      </c>
      <c r="T45" s="2783">
        <f>SUM(T46:T49)</f>
        <v>33</v>
      </c>
      <c r="U45" s="2764" t="e">
        <f>T45/#REF!</f>
        <v>#REF!</v>
      </c>
      <c r="V45" s="2784">
        <f>SUM(V46:V49)</f>
        <v>1</v>
      </c>
      <c r="W45" s="2785">
        <f>V45/T45</f>
        <v>3.0303030303030304E-2</v>
      </c>
    </row>
    <row r="46" spans="1:23" s="2655" customFormat="1" ht="15.75" thickBot="1">
      <c r="A46" s="2714"/>
      <c r="B46" s="2728" t="s">
        <v>331</v>
      </c>
      <c r="C46" s="2715">
        <v>19</v>
      </c>
      <c r="D46" s="2751">
        <f>'[1]Total Coliform'!M57</f>
        <v>19</v>
      </c>
      <c r="E46" s="2738">
        <f>D46/C46</f>
        <v>1</v>
      </c>
      <c r="F46" s="2705">
        <f>'[1]Total Coliform'!M56</f>
        <v>5</v>
      </c>
      <c r="G46" s="2706">
        <f>F46/D46</f>
        <v>0.26315789473684209</v>
      </c>
      <c r="H46" s="2707">
        <v>14</v>
      </c>
      <c r="I46" s="2659">
        <f>H46/C46</f>
        <v>0.73684210526315785</v>
      </c>
      <c r="J46" s="2698">
        <v>6</v>
      </c>
      <c r="K46" s="2799">
        <f>J46/H46</f>
        <v>0.42857142857142855</v>
      </c>
      <c r="L46" s="2812">
        <v>13</v>
      </c>
      <c r="M46" s="1601">
        <v>0.68421052631578949</v>
      </c>
      <c r="N46" s="1595">
        <v>1</v>
      </c>
      <c r="O46" s="2813">
        <v>7.6923076923076927E-2</v>
      </c>
      <c r="P46" s="2665">
        <f>'Total Coliform'!R57</f>
        <v>19</v>
      </c>
      <c r="Q46" s="2666">
        <f>P46/C46</f>
        <v>1</v>
      </c>
      <c r="R46" s="2667">
        <f>'Total Coliform'!R56</f>
        <v>7</v>
      </c>
      <c r="S46" s="2763">
        <f>R46/P46</f>
        <v>0.36842105263157893</v>
      </c>
      <c r="T46" s="2759">
        <v>19</v>
      </c>
      <c r="U46" s="2760" t="e">
        <f>T46/#REF!</f>
        <v>#REF!</v>
      </c>
      <c r="V46" s="2761">
        <v>1</v>
      </c>
      <c r="W46" s="2762">
        <f>V46/T46</f>
        <v>5.2631578947368418E-2</v>
      </c>
    </row>
    <row r="47" spans="1:23" ht="15.75" thickBot="1">
      <c r="A47" s="323"/>
      <c r="B47" s="2730" t="s">
        <v>111</v>
      </c>
      <c r="C47" s="2634">
        <v>14</v>
      </c>
      <c r="D47" s="2752">
        <f>'[1]Total Coliform'!M130</f>
        <v>14</v>
      </c>
      <c r="E47" s="2739">
        <f>D47/C47</f>
        <v>1</v>
      </c>
      <c r="F47" s="2708">
        <f>'[1]Total Coliform'!M129</f>
        <v>0</v>
      </c>
      <c r="G47" s="2709">
        <f>F47/D47</f>
        <v>0</v>
      </c>
      <c r="H47" s="2696">
        <f>'[1]Total Coliform'!Q130</f>
        <v>10</v>
      </c>
      <c r="I47" s="2689">
        <f>H47/C47</f>
        <v>0.7142857142857143</v>
      </c>
      <c r="J47" s="2685">
        <v>0</v>
      </c>
      <c r="K47" s="2801">
        <v>0</v>
      </c>
      <c r="L47" s="2812">
        <v>14</v>
      </c>
      <c r="M47" s="1601">
        <v>1</v>
      </c>
      <c r="N47" s="1595">
        <v>0</v>
      </c>
      <c r="O47" s="2813">
        <v>0</v>
      </c>
      <c r="P47" s="2674"/>
      <c r="Q47" s="2668">
        <v>0</v>
      </c>
      <c r="R47" s="2675"/>
      <c r="S47" s="2770"/>
      <c r="T47" s="2826">
        <v>14</v>
      </c>
      <c r="U47" s="2764" t="e">
        <f>T47/#REF!</f>
        <v>#REF!</v>
      </c>
      <c r="V47" s="2832">
        <v>0</v>
      </c>
      <c r="W47" s="2785">
        <v>0</v>
      </c>
    </row>
    <row r="48" spans="1:23" s="2655" customFormat="1" ht="15.75" thickBot="1">
      <c r="A48" s="2714"/>
      <c r="B48" s="2728" t="s">
        <v>332</v>
      </c>
      <c r="C48" s="2715">
        <v>9</v>
      </c>
      <c r="D48" s="2747" t="s">
        <v>336</v>
      </c>
      <c r="E48" s="2740" t="s">
        <v>336</v>
      </c>
      <c r="F48" s="2710" t="s">
        <v>336</v>
      </c>
      <c r="G48" s="2710" t="s">
        <v>336</v>
      </c>
      <c r="H48" s="2707">
        <f>'[1]Total Coliform'!Q73</f>
        <v>9</v>
      </c>
      <c r="I48" s="2659">
        <f>H48/C48</f>
        <v>1</v>
      </c>
      <c r="J48" s="2698">
        <v>9</v>
      </c>
      <c r="K48" s="2800">
        <v>1</v>
      </c>
      <c r="L48" s="2812">
        <v>9</v>
      </c>
      <c r="M48" s="1601">
        <v>1</v>
      </c>
      <c r="N48" s="1595">
        <v>9</v>
      </c>
      <c r="O48" s="2813">
        <v>1</v>
      </c>
      <c r="P48" s="2665">
        <f>'Total Coliform'!R73</f>
        <v>9</v>
      </c>
      <c r="Q48" s="2666">
        <f>P48/C48</f>
        <v>1</v>
      </c>
      <c r="R48" s="2667">
        <f>'Total Coliform'!R72</f>
        <v>9</v>
      </c>
      <c r="S48" s="2763">
        <f>R48/P48</f>
        <v>1</v>
      </c>
      <c r="T48" s="2780" t="s">
        <v>109</v>
      </c>
      <c r="U48" s="2781" t="s">
        <v>109</v>
      </c>
      <c r="V48" s="2781" t="s">
        <v>109</v>
      </c>
      <c r="W48" s="2782" t="s">
        <v>109</v>
      </c>
    </row>
    <row r="49" spans="1:23" ht="15.75" thickBot="1">
      <c r="A49" s="2711"/>
      <c r="B49" s="2730" t="s">
        <v>344</v>
      </c>
      <c r="C49" s="2634">
        <v>27</v>
      </c>
      <c r="D49" s="2746" t="s">
        <v>336</v>
      </c>
      <c r="E49" s="2741" t="s">
        <v>336</v>
      </c>
      <c r="F49" s="2712" t="s">
        <v>336</v>
      </c>
      <c r="G49" s="2712" t="s">
        <v>336</v>
      </c>
      <c r="H49" s="2713">
        <v>25</v>
      </c>
      <c r="I49" s="2689">
        <f>H49/C49</f>
        <v>0.92592592592592593</v>
      </c>
      <c r="J49" s="2685">
        <v>0</v>
      </c>
      <c r="K49" s="2801">
        <v>0</v>
      </c>
      <c r="L49" s="2820" t="s">
        <v>336</v>
      </c>
      <c r="M49" s="2821" t="s">
        <v>336</v>
      </c>
      <c r="N49" s="2821" t="s">
        <v>336</v>
      </c>
      <c r="O49" s="2822" t="s">
        <v>336</v>
      </c>
      <c r="P49" s="2674">
        <f>'Total Coliform'!R119</f>
        <v>20</v>
      </c>
      <c r="Q49" s="2676">
        <f>P49/C49</f>
        <v>0.7407407407407407</v>
      </c>
      <c r="R49" s="2675">
        <v>0</v>
      </c>
      <c r="S49" s="2770">
        <f>R49/P49</f>
        <v>0</v>
      </c>
      <c r="T49" s="2777" t="s">
        <v>109</v>
      </c>
      <c r="U49" s="2778" t="s">
        <v>109</v>
      </c>
      <c r="V49" s="2778" t="s">
        <v>109</v>
      </c>
      <c r="W49" s="2779" t="s">
        <v>109</v>
      </c>
    </row>
    <row r="50" spans="1:23" s="2655" customFormat="1" ht="15.75" thickBot="1">
      <c r="A50" s="2714"/>
      <c r="B50" s="2728"/>
      <c r="C50" s="2715"/>
      <c r="D50" s="2747"/>
      <c r="E50" s="2717"/>
      <c r="F50" s="2716"/>
      <c r="G50" s="2716"/>
      <c r="H50" s="2718"/>
      <c r="I50" s="2718"/>
      <c r="J50" s="2718"/>
      <c r="K50" s="2719"/>
      <c r="L50" s="2807"/>
      <c r="M50" s="2807"/>
      <c r="N50" s="2807"/>
      <c r="O50" s="2807"/>
      <c r="P50" s="2720"/>
      <c r="Q50" s="2720"/>
      <c r="R50" s="2720"/>
      <c r="S50" s="2720"/>
      <c r="T50" s="2754"/>
      <c r="U50" s="2754"/>
      <c r="V50" s="2754"/>
      <c r="W50" s="2754"/>
    </row>
    <row r="51" spans="1:23">
      <c r="A51" s="26"/>
      <c r="C51" s="2634"/>
      <c r="D51" s="2746"/>
      <c r="F51" s="2635"/>
      <c r="G51" s="2635"/>
      <c r="H51" s="2631"/>
      <c r="L51" s="1577"/>
      <c r="M51" s="1577"/>
      <c r="N51" s="1577"/>
      <c r="O51" s="1577"/>
    </row>
    <row r="52" spans="1:23">
      <c r="A52" s="26"/>
      <c r="C52" s="2634"/>
      <c r="D52" s="2746"/>
      <c r="F52" s="2635"/>
      <c r="G52" s="2635"/>
      <c r="H52" s="2631"/>
      <c r="L52" s="1577"/>
      <c r="M52" s="1577"/>
      <c r="N52" s="1577"/>
      <c r="O52" s="1577"/>
    </row>
    <row r="53" spans="1:23">
      <c r="A53" s="26"/>
      <c r="C53" s="2634"/>
      <c r="D53" s="2746"/>
      <c r="F53" s="2635"/>
      <c r="G53" s="2635"/>
      <c r="H53" s="2631"/>
      <c r="L53" s="1577"/>
      <c r="M53" s="1577"/>
      <c r="N53" s="1577"/>
      <c r="O53" s="1577"/>
    </row>
    <row r="54" spans="1:23">
      <c r="A54" s="26"/>
      <c r="C54" s="2634"/>
      <c r="D54" s="2746"/>
      <c r="F54" s="2635"/>
      <c r="G54" s="2635"/>
      <c r="H54" s="2631"/>
      <c r="L54" s="1577"/>
      <c r="M54" s="1577"/>
      <c r="N54" s="1577"/>
      <c r="O54" s="1577"/>
    </row>
    <row r="55" spans="1:23">
      <c r="A55" s="26"/>
      <c r="C55" s="2634"/>
      <c r="D55" s="2746"/>
      <c r="F55" s="2635"/>
      <c r="G55" s="2635"/>
      <c r="H55" s="2631"/>
      <c r="L55" s="1577"/>
      <c r="M55" s="1577"/>
      <c r="N55" s="1577"/>
      <c r="O55" s="1577"/>
    </row>
    <row r="56" spans="1:23">
      <c r="A56" s="26"/>
      <c r="C56" s="2634"/>
      <c r="D56" s="2746"/>
      <c r="F56" s="2635"/>
      <c r="G56" s="2635"/>
      <c r="H56" s="2631"/>
      <c r="L56" s="1577"/>
      <c r="M56" s="1577"/>
      <c r="N56" s="1577"/>
      <c r="O56" s="1577"/>
    </row>
    <row r="57" spans="1:23">
      <c r="A57" s="26"/>
      <c r="C57" s="2634"/>
      <c r="D57" s="2746"/>
      <c r="F57" s="2635"/>
      <c r="G57" s="2635"/>
      <c r="H57" s="2631"/>
      <c r="L57" s="1577"/>
      <c r="M57" s="1577"/>
      <c r="N57" s="1577"/>
      <c r="O57" s="1577"/>
    </row>
    <row r="58" spans="1:23">
      <c r="A58" s="26"/>
      <c r="C58" s="2634"/>
      <c r="D58" s="2746"/>
      <c r="F58" s="2635"/>
      <c r="G58" s="2635"/>
      <c r="H58" s="2631"/>
      <c r="L58" s="1577"/>
      <c r="M58" s="1577"/>
      <c r="N58" s="1577"/>
      <c r="O58" s="1577"/>
    </row>
    <row r="59" spans="1:23">
      <c r="A59" s="26"/>
      <c r="C59" s="2634"/>
      <c r="D59" s="2746"/>
      <c r="F59" s="2635"/>
      <c r="G59" s="2635"/>
      <c r="H59" s="2631"/>
      <c r="L59" s="1577"/>
      <c r="M59" s="1577"/>
      <c r="N59" s="1577"/>
      <c r="O59" s="1577"/>
    </row>
    <row r="60" spans="1:23">
      <c r="A60" s="26"/>
      <c r="C60" s="2634"/>
      <c r="D60" s="2746"/>
      <c r="F60" s="2635"/>
      <c r="G60" s="2635"/>
      <c r="H60" s="2631"/>
      <c r="L60" s="1577"/>
      <c r="M60" s="1577"/>
      <c r="N60" s="1577"/>
      <c r="O60" s="1577"/>
    </row>
    <row r="61" spans="1:23">
      <c r="A61" s="26"/>
      <c r="C61" s="2634"/>
      <c r="D61" s="2746"/>
      <c r="F61" s="2635"/>
      <c r="G61" s="2635"/>
      <c r="H61" s="2631"/>
      <c r="L61" s="1577"/>
      <c r="M61" s="1577"/>
      <c r="N61" s="1577"/>
      <c r="O61" s="1577"/>
    </row>
    <row r="62" spans="1:23">
      <c r="A62" s="26"/>
      <c r="C62" s="2634"/>
      <c r="D62" s="2746"/>
      <c r="F62" s="2635"/>
      <c r="G62" s="2635"/>
      <c r="H62" s="2631"/>
      <c r="L62" s="1577"/>
      <c r="M62" s="1577"/>
      <c r="N62" s="1577"/>
      <c r="O62" s="1577"/>
    </row>
    <row r="63" spans="1:23">
      <c r="A63" s="26"/>
      <c r="C63" s="2634"/>
      <c r="D63" s="2746"/>
      <c r="F63" s="2635"/>
      <c r="G63" s="2635"/>
      <c r="H63" s="2631"/>
      <c r="L63" s="1577"/>
      <c r="M63" s="1577"/>
      <c r="N63" s="1577"/>
      <c r="O63" s="1577"/>
    </row>
    <row r="64" spans="1:23">
      <c r="A64" s="26"/>
      <c r="C64" s="2634"/>
      <c r="D64" s="2746"/>
      <c r="F64" s="2635"/>
      <c r="G64" s="2635"/>
      <c r="H64" s="2631"/>
      <c r="L64" s="1577"/>
      <c r="M64" s="1577"/>
      <c r="N64" s="1577"/>
      <c r="O64" s="1577"/>
    </row>
    <row r="65" spans="1:15">
      <c r="A65" s="26"/>
      <c r="C65" s="2634"/>
      <c r="H65" s="2631"/>
      <c r="L65" s="1577"/>
      <c r="M65" s="1577"/>
      <c r="N65" s="1577"/>
      <c r="O65" s="1577"/>
    </row>
    <row r="66" spans="1:15">
      <c r="C66" s="2634"/>
    </row>
    <row r="67" spans="1:15">
      <c r="C67" s="2634"/>
    </row>
    <row r="68" spans="1:15">
      <c r="C68" s="2634"/>
    </row>
    <row r="69" spans="1:15">
      <c r="C69" s="2634"/>
    </row>
    <row r="70" spans="1:15">
      <c r="C70" s="2634"/>
    </row>
    <row r="71" spans="1:15">
      <c r="C71" s="2634"/>
    </row>
    <row r="72" spans="1:15">
      <c r="C72" s="2634"/>
    </row>
    <row r="73" spans="1:15">
      <c r="C73" s="2634"/>
    </row>
    <row r="74" spans="1:15">
      <c r="C74" s="2634"/>
    </row>
    <row r="75" spans="1:15">
      <c r="C75" s="2634"/>
    </row>
    <row r="76" spans="1:15">
      <c r="C76" s="2634"/>
    </row>
    <row r="77" spans="1:15">
      <c r="C77" s="2634"/>
    </row>
    <row r="78" spans="1:15">
      <c r="C78" s="2634"/>
    </row>
    <row r="79" spans="1:15">
      <c r="C79" s="2634"/>
    </row>
    <row r="80" spans="1:15">
      <c r="C80" s="2634"/>
    </row>
    <row r="81" spans="3:3">
      <c r="C81" s="2634"/>
    </row>
    <row r="82" spans="3:3">
      <c r="C82" s="2634"/>
    </row>
    <row r="83" spans="3:3">
      <c r="C83" s="2634"/>
    </row>
    <row r="84" spans="3:3">
      <c r="C84" s="2634"/>
    </row>
    <row r="85" spans="3:3">
      <c r="C85" s="2634"/>
    </row>
    <row r="86" spans="3:3">
      <c r="C86" s="2634"/>
    </row>
    <row r="87" spans="3:3">
      <c r="C87" s="2634"/>
    </row>
    <row r="88" spans="3:3">
      <c r="C88" s="2634"/>
    </row>
    <row r="89" spans="3:3">
      <c r="C89" s="2634"/>
    </row>
    <row r="90" spans="3:3">
      <c r="C90" s="2634"/>
    </row>
    <row r="91" spans="3:3">
      <c r="C91" s="2634"/>
    </row>
    <row r="92" spans="3:3">
      <c r="C92" s="2634"/>
    </row>
    <row r="93" spans="3:3">
      <c r="C93" s="2634"/>
    </row>
    <row r="94" spans="3:3">
      <c r="C94" s="2634"/>
    </row>
    <row r="95" spans="3:3">
      <c r="C95" s="2634"/>
    </row>
    <row r="96" spans="3:3">
      <c r="C96" s="2634"/>
    </row>
    <row r="97" spans="3:3">
      <c r="C97" s="2634"/>
    </row>
    <row r="98" spans="3:3">
      <c r="C98" s="2634"/>
    </row>
    <row r="99" spans="3:3">
      <c r="C99" s="2634"/>
    </row>
    <row r="100" spans="3:3">
      <c r="C100" s="2634"/>
    </row>
    <row r="101" spans="3:3">
      <c r="C101" s="2634"/>
    </row>
    <row r="102" spans="3:3">
      <c r="C102" s="2634"/>
    </row>
    <row r="103" spans="3:3">
      <c r="C103" s="2634"/>
    </row>
    <row r="104" spans="3:3">
      <c r="C104" s="2634"/>
    </row>
    <row r="105" spans="3:3">
      <c r="C105" s="2634"/>
    </row>
    <row r="106" spans="3:3">
      <c r="C106" s="2634"/>
    </row>
    <row r="107" spans="3:3">
      <c r="C107" s="2634"/>
    </row>
    <row r="108" spans="3:3">
      <c r="C108" s="2634"/>
    </row>
    <row r="109" spans="3:3">
      <c r="C109" s="2634"/>
    </row>
    <row r="110" spans="3:3">
      <c r="C110" s="2634"/>
    </row>
    <row r="111" spans="3:3">
      <c r="C111" s="2634"/>
    </row>
    <row r="112" spans="3:3">
      <c r="C112" s="2634"/>
    </row>
    <row r="113" spans="3:3">
      <c r="C113" s="2634"/>
    </row>
    <row r="114" spans="3:3">
      <c r="C114" s="2634"/>
    </row>
    <row r="115" spans="3:3">
      <c r="C115" s="2634"/>
    </row>
    <row r="116" spans="3:3">
      <c r="C116" s="2634"/>
    </row>
    <row r="117" spans="3:3">
      <c r="C117" s="2634"/>
    </row>
    <row r="118" spans="3:3">
      <c r="C118" s="2634"/>
    </row>
    <row r="119" spans="3:3">
      <c r="C119" s="2634"/>
    </row>
    <row r="120" spans="3:3">
      <c r="C120" s="2634"/>
    </row>
    <row r="121" spans="3:3">
      <c r="C121" s="2634"/>
    </row>
    <row r="122" spans="3:3">
      <c r="C122" s="2634"/>
    </row>
    <row r="123" spans="3:3">
      <c r="C123" s="2634"/>
    </row>
    <row r="124" spans="3:3">
      <c r="C124" s="2634"/>
    </row>
    <row r="125" spans="3:3">
      <c r="C125" s="2634"/>
    </row>
    <row r="126" spans="3:3">
      <c r="C126" s="2634"/>
    </row>
    <row r="127" spans="3:3">
      <c r="C127" s="2634"/>
    </row>
    <row r="128" spans="3:3">
      <c r="C128" s="2634"/>
    </row>
    <row r="129" spans="3:3">
      <c r="C129" s="2634"/>
    </row>
    <row r="130" spans="3:3">
      <c r="C130" s="2634"/>
    </row>
    <row r="131" spans="3:3">
      <c r="C131" s="2634"/>
    </row>
    <row r="132" spans="3:3">
      <c r="C132" s="2634"/>
    </row>
    <row r="133" spans="3:3">
      <c r="C133" s="2634"/>
    </row>
    <row r="134" spans="3:3">
      <c r="C134" s="2634"/>
    </row>
    <row r="135" spans="3:3">
      <c r="C135" s="2634"/>
    </row>
    <row r="136" spans="3:3">
      <c r="C136" s="2634"/>
    </row>
    <row r="137" spans="3:3">
      <c r="C137" s="2634"/>
    </row>
    <row r="138" spans="3:3">
      <c r="C138" s="2634"/>
    </row>
    <row r="139" spans="3:3">
      <c r="C139" s="2634"/>
    </row>
    <row r="140" spans="3:3">
      <c r="C140" s="2634"/>
    </row>
    <row r="141" spans="3:3">
      <c r="C141" s="2634"/>
    </row>
    <row r="142" spans="3:3">
      <c r="C142" s="2634"/>
    </row>
    <row r="143" spans="3:3">
      <c r="C143" s="2634"/>
    </row>
    <row r="144" spans="3:3">
      <c r="C144" s="2634"/>
    </row>
    <row r="145" spans="3:3">
      <c r="C145" s="2634"/>
    </row>
    <row r="146" spans="3:3">
      <c r="C146" s="2634"/>
    </row>
    <row r="147" spans="3:3">
      <c r="C147" s="2634"/>
    </row>
    <row r="148" spans="3:3">
      <c r="C148" s="2634"/>
    </row>
    <row r="149" spans="3:3">
      <c r="C149" s="2634"/>
    </row>
    <row r="150" spans="3:3">
      <c r="C150" s="2634"/>
    </row>
    <row r="151" spans="3:3">
      <c r="C151" s="2634"/>
    </row>
    <row r="152" spans="3:3">
      <c r="C152" s="2634"/>
    </row>
    <row r="153" spans="3:3">
      <c r="C153" s="2634"/>
    </row>
    <row r="154" spans="3:3">
      <c r="C154" s="2634"/>
    </row>
    <row r="155" spans="3:3">
      <c r="C155" s="2634"/>
    </row>
    <row r="156" spans="3:3">
      <c r="C156" s="2634"/>
    </row>
    <row r="157" spans="3:3">
      <c r="C157" s="2634"/>
    </row>
    <row r="158" spans="3:3">
      <c r="C158" s="2634"/>
    </row>
    <row r="159" spans="3:3">
      <c r="C159" s="2634"/>
    </row>
    <row r="160" spans="3:3">
      <c r="C160" s="2634"/>
    </row>
    <row r="161" spans="3:3">
      <c r="C161" s="2634"/>
    </row>
    <row r="162" spans="3:3">
      <c r="C162" s="2634"/>
    </row>
    <row r="163" spans="3:3">
      <c r="C163" s="2634"/>
    </row>
    <row r="164" spans="3:3">
      <c r="C164" s="2634"/>
    </row>
    <row r="165" spans="3:3">
      <c r="C165" s="2634"/>
    </row>
    <row r="166" spans="3:3">
      <c r="C166" s="2634"/>
    </row>
    <row r="167" spans="3:3">
      <c r="C167" s="2634"/>
    </row>
    <row r="168" spans="3:3">
      <c r="C168" s="2634"/>
    </row>
    <row r="169" spans="3:3">
      <c r="C169" s="2634"/>
    </row>
    <row r="170" spans="3:3">
      <c r="C170" s="2634"/>
    </row>
    <row r="171" spans="3:3">
      <c r="C171" s="2634"/>
    </row>
    <row r="172" spans="3:3">
      <c r="C172" s="2634"/>
    </row>
    <row r="173" spans="3:3">
      <c r="C173" s="2634"/>
    </row>
    <row r="174" spans="3:3">
      <c r="C174" s="2634"/>
    </row>
    <row r="175" spans="3:3">
      <c r="C175" s="2634"/>
    </row>
    <row r="176" spans="3:3">
      <c r="C176" s="2634"/>
    </row>
    <row r="177" spans="3:3">
      <c r="C177" s="2634"/>
    </row>
    <row r="178" spans="3:3">
      <c r="C178" s="2634"/>
    </row>
    <row r="179" spans="3:3">
      <c r="C179" s="2634"/>
    </row>
    <row r="180" spans="3:3">
      <c r="C180" s="2634"/>
    </row>
    <row r="181" spans="3:3">
      <c r="C181" s="2634"/>
    </row>
    <row r="182" spans="3:3">
      <c r="C182" s="2634"/>
    </row>
    <row r="183" spans="3:3">
      <c r="C183" s="2634"/>
    </row>
    <row r="184" spans="3:3">
      <c r="C184" s="2634"/>
    </row>
    <row r="185" spans="3:3">
      <c r="C185" s="2634"/>
    </row>
    <row r="186" spans="3:3">
      <c r="C186" s="2634"/>
    </row>
    <row r="187" spans="3:3">
      <c r="C187" s="2634"/>
    </row>
    <row r="188" spans="3:3">
      <c r="C188" s="2634"/>
    </row>
    <row r="189" spans="3:3">
      <c r="C189" s="2634"/>
    </row>
    <row r="190" spans="3:3">
      <c r="C190" s="2634"/>
    </row>
    <row r="191" spans="3:3">
      <c r="C191" s="2634"/>
    </row>
    <row r="192" spans="3:3">
      <c r="C192" s="2634"/>
    </row>
    <row r="193" spans="3:3">
      <c r="C193" s="2634"/>
    </row>
    <row r="194" spans="3:3">
      <c r="C194" s="2634"/>
    </row>
    <row r="195" spans="3:3">
      <c r="C195" s="2634"/>
    </row>
    <row r="196" spans="3:3">
      <c r="C196" s="2634"/>
    </row>
    <row r="197" spans="3:3">
      <c r="C197" s="2634"/>
    </row>
    <row r="198" spans="3:3">
      <c r="C198" s="2634"/>
    </row>
    <row r="199" spans="3:3">
      <c r="C199" s="2634"/>
    </row>
    <row r="200" spans="3:3">
      <c r="C200" s="2634"/>
    </row>
    <row r="201" spans="3:3">
      <c r="C201" s="2634"/>
    </row>
    <row r="202" spans="3:3">
      <c r="C202" s="2634"/>
    </row>
    <row r="203" spans="3:3">
      <c r="C203" s="2634"/>
    </row>
    <row r="204" spans="3:3">
      <c r="C204" s="2634"/>
    </row>
    <row r="205" spans="3:3">
      <c r="C205" s="2634"/>
    </row>
    <row r="206" spans="3:3">
      <c r="C206" s="2634"/>
    </row>
    <row r="207" spans="3:3">
      <c r="C207" s="2634"/>
    </row>
    <row r="208" spans="3:3">
      <c r="C208" s="2634"/>
    </row>
    <row r="209" spans="3:3">
      <c r="C209" s="2634"/>
    </row>
    <row r="210" spans="3:3">
      <c r="C210" s="2634"/>
    </row>
    <row r="211" spans="3:3">
      <c r="C211" s="2634"/>
    </row>
    <row r="212" spans="3:3">
      <c r="C212" s="2634"/>
    </row>
    <row r="213" spans="3:3">
      <c r="C213" s="2634"/>
    </row>
    <row r="214" spans="3:3">
      <c r="C214" s="2634"/>
    </row>
    <row r="215" spans="3:3">
      <c r="C215" s="2634"/>
    </row>
    <row r="216" spans="3:3">
      <c r="C216" s="2634"/>
    </row>
    <row r="217" spans="3:3">
      <c r="C217" s="2634"/>
    </row>
    <row r="218" spans="3:3">
      <c r="C218" s="2634"/>
    </row>
    <row r="219" spans="3:3">
      <c r="C219" s="2634"/>
    </row>
    <row r="220" spans="3:3">
      <c r="C220" s="2634"/>
    </row>
    <row r="221" spans="3:3">
      <c r="C221" s="2634"/>
    </row>
    <row r="222" spans="3:3">
      <c r="C222" s="2634"/>
    </row>
    <row r="223" spans="3:3">
      <c r="C223" s="2634"/>
    </row>
    <row r="224" spans="3:3">
      <c r="C224" s="2634"/>
    </row>
    <row r="225" spans="3:3">
      <c r="C225" s="2634"/>
    </row>
    <row r="226" spans="3:3">
      <c r="C226" s="2634"/>
    </row>
    <row r="227" spans="3:3">
      <c r="C227" s="2634"/>
    </row>
    <row r="228" spans="3:3">
      <c r="C228" s="2634"/>
    </row>
    <row r="229" spans="3:3">
      <c r="C229" s="2634"/>
    </row>
    <row r="230" spans="3:3">
      <c r="C230" s="2634"/>
    </row>
    <row r="231" spans="3:3">
      <c r="C231" s="2634"/>
    </row>
    <row r="232" spans="3:3">
      <c r="C232" s="2634"/>
    </row>
    <row r="233" spans="3:3">
      <c r="C233" s="2634"/>
    </row>
    <row r="234" spans="3:3">
      <c r="C234" s="2634"/>
    </row>
    <row r="235" spans="3:3">
      <c r="C235" s="2634"/>
    </row>
    <row r="236" spans="3:3">
      <c r="C236" s="2634"/>
    </row>
    <row r="237" spans="3:3">
      <c r="C237" s="2634"/>
    </row>
    <row r="238" spans="3:3">
      <c r="C238" s="2634"/>
    </row>
    <row r="239" spans="3:3">
      <c r="C239" s="2634"/>
    </row>
    <row r="240" spans="3:3">
      <c r="C240" s="2634"/>
    </row>
    <row r="241" spans="3:3">
      <c r="C241" s="2634"/>
    </row>
    <row r="242" spans="3:3">
      <c r="C242" s="2634"/>
    </row>
    <row r="243" spans="3:3">
      <c r="C243" s="2634"/>
    </row>
    <row r="244" spans="3:3">
      <c r="C244" s="2634"/>
    </row>
    <row r="245" spans="3:3">
      <c r="C245" s="2634"/>
    </row>
    <row r="246" spans="3:3">
      <c r="C246" s="2634"/>
    </row>
    <row r="247" spans="3:3">
      <c r="C247" s="2634"/>
    </row>
    <row r="248" spans="3:3">
      <c r="C248" s="2634"/>
    </row>
    <row r="249" spans="3:3">
      <c r="C249" s="2634"/>
    </row>
    <row r="250" spans="3:3">
      <c r="C250" s="2634"/>
    </row>
    <row r="251" spans="3:3">
      <c r="C251" s="2634"/>
    </row>
    <row r="252" spans="3:3">
      <c r="C252" s="2634"/>
    </row>
    <row r="253" spans="3:3">
      <c r="C253" s="2634"/>
    </row>
    <row r="254" spans="3:3">
      <c r="C254" s="2634"/>
    </row>
    <row r="255" spans="3:3">
      <c r="C255" s="2634"/>
    </row>
    <row r="256" spans="3:3">
      <c r="C256" s="2634"/>
    </row>
    <row r="257" spans="3:3">
      <c r="C257" s="2634"/>
    </row>
    <row r="258" spans="3:3">
      <c r="C258" s="2634"/>
    </row>
    <row r="259" spans="3:3">
      <c r="C259" s="2634"/>
    </row>
    <row r="260" spans="3:3">
      <c r="C260" s="2634"/>
    </row>
    <row r="261" spans="3:3">
      <c r="C261" s="2634"/>
    </row>
    <row r="262" spans="3:3">
      <c r="C262" s="2634"/>
    </row>
    <row r="263" spans="3:3">
      <c r="C263" s="2634"/>
    </row>
    <row r="264" spans="3:3">
      <c r="C264" s="2634"/>
    </row>
    <row r="265" spans="3:3">
      <c r="C265" s="2634"/>
    </row>
    <row r="266" spans="3:3">
      <c r="C266" s="2634"/>
    </row>
    <row r="267" spans="3:3">
      <c r="C267" s="2634"/>
    </row>
    <row r="268" spans="3:3">
      <c r="C268" s="2634"/>
    </row>
    <row r="269" spans="3:3">
      <c r="C269" s="2634"/>
    </row>
    <row r="270" spans="3:3">
      <c r="C270" s="2634"/>
    </row>
    <row r="271" spans="3:3">
      <c r="C271" s="2634"/>
    </row>
    <row r="272" spans="3:3">
      <c r="C272" s="2634"/>
    </row>
    <row r="273" spans="3:3">
      <c r="C273" s="2634"/>
    </row>
    <row r="274" spans="3:3">
      <c r="C274" s="2634"/>
    </row>
    <row r="275" spans="3:3">
      <c r="C275" s="2634"/>
    </row>
    <row r="276" spans="3:3">
      <c r="C276" s="2634"/>
    </row>
    <row r="277" spans="3:3">
      <c r="C277" s="2634"/>
    </row>
    <row r="278" spans="3:3">
      <c r="C278" s="2634"/>
    </row>
    <row r="279" spans="3:3">
      <c r="C279" s="2634"/>
    </row>
    <row r="280" spans="3:3">
      <c r="C280" s="2634"/>
    </row>
    <row r="281" spans="3:3">
      <c r="C281" s="2634"/>
    </row>
    <row r="282" spans="3:3">
      <c r="C282" s="2634"/>
    </row>
    <row r="283" spans="3:3">
      <c r="C283" s="2634"/>
    </row>
    <row r="284" spans="3:3">
      <c r="C284" s="2634"/>
    </row>
    <row r="285" spans="3:3">
      <c r="C285" s="2634"/>
    </row>
    <row r="286" spans="3:3">
      <c r="C286" s="2634"/>
    </row>
    <row r="287" spans="3:3">
      <c r="C287" s="2634"/>
    </row>
    <row r="288" spans="3:3">
      <c r="C288" s="2634"/>
    </row>
    <row r="289" spans="3:3">
      <c r="C289" s="2634"/>
    </row>
    <row r="290" spans="3:3">
      <c r="C290" s="2634"/>
    </row>
    <row r="291" spans="3:3">
      <c r="C291" s="2634"/>
    </row>
    <row r="292" spans="3:3">
      <c r="C292" s="2634"/>
    </row>
    <row r="293" spans="3:3">
      <c r="C293" s="2634"/>
    </row>
    <row r="294" spans="3:3">
      <c r="C294" s="2634"/>
    </row>
    <row r="295" spans="3:3">
      <c r="C295" s="2634"/>
    </row>
    <row r="296" spans="3:3">
      <c r="C296" s="2634"/>
    </row>
    <row r="297" spans="3:3">
      <c r="C297" s="2634"/>
    </row>
    <row r="298" spans="3:3">
      <c r="C298" s="2634"/>
    </row>
    <row r="299" spans="3:3">
      <c r="C299" s="2634"/>
    </row>
    <row r="300" spans="3:3">
      <c r="C300" s="2634"/>
    </row>
    <row r="301" spans="3:3">
      <c r="C301" s="2634"/>
    </row>
    <row r="302" spans="3:3">
      <c r="C302" s="2634"/>
    </row>
    <row r="303" spans="3:3">
      <c r="C303" s="2634"/>
    </row>
    <row r="304" spans="3:3">
      <c r="C304" s="2634"/>
    </row>
    <row r="305" spans="3:3">
      <c r="C305" s="2634"/>
    </row>
    <row r="306" spans="3:3">
      <c r="C306" s="2634"/>
    </row>
    <row r="307" spans="3:3">
      <c r="C307" s="2634"/>
    </row>
    <row r="308" spans="3:3">
      <c r="C308" s="2634"/>
    </row>
    <row r="309" spans="3:3">
      <c r="C309" s="2634"/>
    </row>
    <row r="310" spans="3:3">
      <c r="C310" s="2634"/>
    </row>
    <row r="311" spans="3:3">
      <c r="C311" s="2634"/>
    </row>
    <row r="312" spans="3:3">
      <c r="C312" s="2634"/>
    </row>
    <row r="313" spans="3:3">
      <c r="C313" s="2634"/>
    </row>
    <row r="314" spans="3:3">
      <c r="C314" s="2634"/>
    </row>
    <row r="315" spans="3:3">
      <c r="C315" s="2634"/>
    </row>
    <row r="316" spans="3:3">
      <c r="C316" s="2634"/>
    </row>
    <row r="317" spans="3:3">
      <c r="C317" s="2634"/>
    </row>
    <row r="318" spans="3:3">
      <c r="C318" s="2634"/>
    </row>
    <row r="319" spans="3:3">
      <c r="C319" s="2634"/>
    </row>
    <row r="320" spans="3:3">
      <c r="C320" s="2634"/>
    </row>
    <row r="321" spans="3:3">
      <c r="C321" s="2634"/>
    </row>
    <row r="322" spans="3:3">
      <c r="C322" s="2634"/>
    </row>
    <row r="323" spans="3:3">
      <c r="C323" s="2634"/>
    </row>
    <row r="324" spans="3:3">
      <c r="C324" s="2634"/>
    </row>
    <row r="325" spans="3:3">
      <c r="C325" s="2634"/>
    </row>
    <row r="326" spans="3:3">
      <c r="C326" s="2634"/>
    </row>
    <row r="327" spans="3:3">
      <c r="C327" s="2634"/>
    </row>
    <row r="328" spans="3:3">
      <c r="C328" s="2634"/>
    </row>
    <row r="329" spans="3:3">
      <c r="C329" s="2634"/>
    </row>
    <row r="330" spans="3:3">
      <c r="C330" s="2634"/>
    </row>
    <row r="331" spans="3:3">
      <c r="C331" s="2634"/>
    </row>
    <row r="332" spans="3:3">
      <c r="C332" s="2634"/>
    </row>
    <row r="333" spans="3:3">
      <c r="C333" s="2634"/>
    </row>
    <row r="334" spans="3:3">
      <c r="C334" s="2634"/>
    </row>
    <row r="335" spans="3:3">
      <c r="C335" s="2634"/>
    </row>
    <row r="336" spans="3:3">
      <c r="C336" s="2634"/>
    </row>
    <row r="337" spans="3:3">
      <c r="C337" s="2634"/>
    </row>
    <row r="338" spans="3:3">
      <c r="C338" s="2634"/>
    </row>
    <row r="339" spans="3:3">
      <c r="C339" s="2634"/>
    </row>
    <row r="340" spans="3:3">
      <c r="C340" s="2634"/>
    </row>
    <row r="341" spans="3:3">
      <c r="C341" s="2634"/>
    </row>
    <row r="342" spans="3:3">
      <c r="C342" s="2634"/>
    </row>
    <row r="343" spans="3:3">
      <c r="C343" s="2634"/>
    </row>
    <row r="344" spans="3:3">
      <c r="C344" s="2634"/>
    </row>
    <row r="345" spans="3:3">
      <c r="C345" s="2634"/>
    </row>
    <row r="346" spans="3:3">
      <c r="C346" s="2634"/>
    </row>
    <row r="347" spans="3:3">
      <c r="C347" s="2634"/>
    </row>
    <row r="348" spans="3:3">
      <c r="C348" s="2634"/>
    </row>
    <row r="349" spans="3:3">
      <c r="C349" s="2634"/>
    </row>
    <row r="350" spans="3:3">
      <c r="C350" s="2634"/>
    </row>
    <row r="351" spans="3:3">
      <c r="C351" s="2634"/>
    </row>
    <row r="352" spans="3:3">
      <c r="C352" s="2634"/>
    </row>
    <row r="353" spans="3:3">
      <c r="C353" s="2634"/>
    </row>
    <row r="354" spans="3:3">
      <c r="C354" s="2634"/>
    </row>
    <row r="355" spans="3:3">
      <c r="C355" s="2634"/>
    </row>
    <row r="356" spans="3:3">
      <c r="C356" s="2634"/>
    </row>
    <row r="357" spans="3:3">
      <c r="C357" s="2634"/>
    </row>
    <row r="358" spans="3:3">
      <c r="C358" s="2634"/>
    </row>
    <row r="359" spans="3:3">
      <c r="C359" s="2634"/>
    </row>
    <row r="360" spans="3:3">
      <c r="C360" s="2634"/>
    </row>
    <row r="361" spans="3:3">
      <c r="C361" s="2634"/>
    </row>
    <row r="362" spans="3:3">
      <c r="C362" s="2634"/>
    </row>
    <row r="363" spans="3:3">
      <c r="C363" s="2634"/>
    </row>
    <row r="364" spans="3:3">
      <c r="C364" s="2634"/>
    </row>
    <row r="365" spans="3:3">
      <c r="C365" s="2634"/>
    </row>
    <row r="366" spans="3:3">
      <c r="C366" s="2634"/>
    </row>
    <row r="367" spans="3:3">
      <c r="C367" s="2634"/>
    </row>
    <row r="368" spans="3:3">
      <c r="C368" s="2634"/>
    </row>
    <row r="369" spans="3:3">
      <c r="C369" s="2634"/>
    </row>
    <row r="370" spans="3:3">
      <c r="C370" s="2634"/>
    </row>
    <row r="371" spans="3:3">
      <c r="C371" s="2634"/>
    </row>
    <row r="372" spans="3:3">
      <c r="C372" s="2634"/>
    </row>
    <row r="373" spans="3:3">
      <c r="C373" s="2634"/>
    </row>
    <row r="374" spans="3:3">
      <c r="C374" s="2634"/>
    </row>
    <row r="375" spans="3:3">
      <c r="C375" s="2634"/>
    </row>
    <row r="376" spans="3:3">
      <c r="C376" s="2634"/>
    </row>
    <row r="377" spans="3:3">
      <c r="C377" s="2634"/>
    </row>
    <row r="378" spans="3:3">
      <c r="C378" s="2634"/>
    </row>
    <row r="379" spans="3:3">
      <c r="C379" s="2634"/>
    </row>
    <row r="380" spans="3:3">
      <c r="C380" s="2634"/>
    </row>
    <row r="381" spans="3:3">
      <c r="C381" s="2634"/>
    </row>
    <row r="382" spans="3:3">
      <c r="C382" s="2634"/>
    </row>
    <row r="383" spans="3:3">
      <c r="C383" s="2634"/>
    </row>
    <row r="384" spans="3:3">
      <c r="C384" s="2634"/>
    </row>
    <row r="385" spans="3:3">
      <c r="C385" s="2634"/>
    </row>
    <row r="386" spans="3:3">
      <c r="C386" s="2634"/>
    </row>
    <row r="387" spans="3:3">
      <c r="C387" s="2634"/>
    </row>
    <row r="388" spans="3:3">
      <c r="C388" s="2634"/>
    </row>
    <row r="389" spans="3:3">
      <c r="C389" s="2634"/>
    </row>
    <row r="390" spans="3:3">
      <c r="C390" s="2634"/>
    </row>
    <row r="391" spans="3:3">
      <c r="C391" s="2634"/>
    </row>
    <row r="392" spans="3:3">
      <c r="C392" s="2634"/>
    </row>
    <row r="393" spans="3:3">
      <c r="C393" s="2634"/>
    </row>
    <row r="394" spans="3:3">
      <c r="C394" s="2634"/>
    </row>
    <row r="395" spans="3:3">
      <c r="C395" s="2634"/>
    </row>
    <row r="396" spans="3:3">
      <c r="C396" s="2634"/>
    </row>
    <row r="397" spans="3:3">
      <c r="C397" s="2634"/>
    </row>
    <row r="398" spans="3:3">
      <c r="C398" s="2634"/>
    </row>
    <row r="399" spans="3:3">
      <c r="C399" s="2634"/>
    </row>
    <row r="400" spans="3:3">
      <c r="C400" s="2634"/>
    </row>
    <row r="401" spans="3:3">
      <c r="C401" s="2634"/>
    </row>
    <row r="402" spans="3:3">
      <c r="C402" s="2634"/>
    </row>
    <row r="403" spans="3:3">
      <c r="C403" s="2634"/>
    </row>
    <row r="404" spans="3:3">
      <c r="C404" s="2634"/>
    </row>
    <row r="405" spans="3:3">
      <c r="C405" s="2634"/>
    </row>
    <row r="406" spans="3:3">
      <c r="C406" s="2634"/>
    </row>
    <row r="407" spans="3:3">
      <c r="C407" s="2634"/>
    </row>
    <row r="408" spans="3:3">
      <c r="C408" s="2634"/>
    </row>
    <row r="409" spans="3:3">
      <c r="C409" s="2634"/>
    </row>
    <row r="410" spans="3:3">
      <c r="C410" s="2634"/>
    </row>
    <row r="411" spans="3:3">
      <c r="C411" s="2634"/>
    </row>
    <row r="412" spans="3:3">
      <c r="C412" s="2634"/>
    </row>
    <row r="413" spans="3:3">
      <c r="C413" s="2634"/>
    </row>
    <row r="414" spans="3:3">
      <c r="C414" s="2634"/>
    </row>
    <row r="415" spans="3:3">
      <c r="C415" s="2634"/>
    </row>
    <row r="416" spans="3:3">
      <c r="C416" s="2634"/>
    </row>
    <row r="417" spans="3:3">
      <c r="C417" s="2634"/>
    </row>
    <row r="418" spans="3:3">
      <c r="C418" s="2634"/>
    </row>
    <row r="419" spans="3:3">
      <c r="C419" s="2634"/>
    </row>
    <row r="420" spans="3:3">
      <c r="C420" s="2634"/>
    </row>
    <row r="421" spans="3:3">
      <c r="C421" s="2634"/>
    </row>
    <row r="422" spans="3:3">
      <c r="C422" s="2634"/>
    </row>
    <row r="423" spans="3:3">
      <c r="C423" s="2634"/>
    </row>
    <row r="424" spans="3:3">
      <c r="C424" s="2634"/>
    </row>
    <row r="425" spans="3:3">
      <c r="C425" s="2634"/>
    </row>
    <row r="426" spans="3:3">
      <c r="C426" s="2634"/>
    </row>
    <row r="427" spans="3:3">
      <c r="C427" s="2634"/>
    </row>
    <row r="428" spans="3:3">
      <c r="C428" s="2634"/>
    </row>
    <row r="429" spans="3:3">
      <c r="C429" s="2634"/>
    </row>
    <row r="430" spans="3:3">
      <c r="C430" s="2634"/>
    </row>
    <row r="431" spans="3:3">
      <c r="C431" s="2634"/>
    </row>
    <row r="432" spans="3:3">
      <c r="C432" s="2634"/>
    </row>
    <row r="433" spans="3:3">
      <c r="C433" s="2634"/>
    </row>
    <row r="434" spans="3:3">
      <c r="C434" s="2634"/>
    </row>
    <row r="435" spans="3:3">
      <c r="C435" s="2634"/>
    </row>
    <row r="436" spans="3:3">
      <c r="C436" s="2634"/>
    </row>
    <row r="437" spans="3:3">
      <c r="C437" s="2634"/>
    </row>
    <row r="438" spans="3:3">
      <c r="C438" s="2634"/>
    </row>
    <row r="439" spans="3:3">
      <c r="C439" s="2634"/>
    </row>
    <row r="440" spans="3:3">
      <c r="C440" s="2634"/>
    </row>
    <row r="441" spans="3:3">
      <c r="C441" s="2634"/>
    </row>
    <row r="442" spans="3:3">
      <c r="C442" s="2634"/>
    </row>
    <row r="443" spans="3:3">
      <c r="C443" s="2634"/>
    </row>
    <row r="444" spans="3:3">
      <c r="C444" s="2634"/>
    </row>
    <row r="445" spans="3:3">
      <c r="C445" s="2634"/>
    </row>
    <row r="446" spans="3:3">
      <c r="C446" s="2634"/>
    </row>
    <row r="447" spans="3:3">
      <c r="C447" s="2634"/>
    </row>
    <row r="448" spans="3:3">
      <c r="C448" s="2634"/>
    </row>
    <row r="449" spans="3:3">
      <c r="C449" s="2634"/>
    </row>
    <row r="450" spans="3:3">
      <c r="C450" s="2634"/>
    </row>
    <row r="451" spans="3:3">
      <c r="C451" s="2634"/>
    </row>
    <row r="452" spans="3:3">
      <c r="C452" s="2634"/>
    </row>
    <row r="453" spans="3:3">
      <c r="C453" s="2634"/>
    </row>
    <row r="454" spans="3:3">
      <c r="C454" s="2634"/>
    </row>
    <row r="455" spans="3:3">
      <c r="C455" s="2634"/>
    </row>
    <row r="456" spans="3:3">
      <c r="C456" s="2634"/>
    </row>
    <row r="457" spans="3:3">
      <c r="C457" s="2634"/>
    </row>
    <row r="458" spans="3:3">
      <c r="C458" s="2634"/>
    </row>
    <row r="459" spans="3:3">
      <c r="C459" s="2634"/>
    </row>
    <row r="460" spans="3:3">
      <c r="C460" s="2634"/>
    </row>
    <row r="461" spans="3:3">
      <c r="C461" s="2634"/>
    </row>
    <row r="462" spans="3:3">
      <c r="C462" s="2634"/>
    </row>
    <row r="463" spans="3:3">
      <c r="C463" s="2634"/>
    </row>
    <row r="464" spans="3:3">
      <c r="C464" s="2634"/>
    </row>
    <row r="465" spans="3:3">
      <c r="C465" s="2634"/>
    </row>
    <row r="466" spans="3:3">
      <c r="C466" s="2634"/>
    </row>
    <row r="467" spans="3:3">
      <c r="C467" s="2634"/>
    </row>
    <row r="468" spans="3:3">
      <c r="C468" s="2634"/>
    </row>
    <row r="469" spans="3:3">
      <c r="C469" s="2634"/>
    </row>
    <row r="470" spans="3:3">
      <c r="C470" s="2634"/>
    </row>
    <row r="471" spans="3:3">
      <c r="C471" s="2634"/>
    </row>
    <row r="472" spans="3:3">
      <c r="C472" s="2634"/>
    </row>
    <row r="473" spans="3:3">
      <c r="C473" s="2634"/>
    </row>
    <row r="474" spans="3:3">
      <c r="C474" s="2634"/>
    </row>
    <row r="475" spans="3:3">
      <c r="C475" s="2634"/>
    </row>
    <row r="476" spans="3:3">
      <c r="C476" s="2634"/>
    </row>
    <row r="477" spans="3:3">
      <c r="C477" s="2634"/>
    </row>
    <row r="478" spans="3:3">
      <c r="C478" s="2634"/>
    </row>
    <row r="479" spans="3:3">
      <c r="C479" s="2634"/>
    </row>
    <row r="480" spans="3:3">
      <c r="C480" s="2634"/>
    </row>
    <row r="481" spans="3:3">
      <c r="C481" s="2634"/>
    </row>
    <row r="482" spans="3:3">
      <c r="C482" s="2634"/>
    </row>
    <row r="483" spans="3:3">
      <c r="C483" s="2634"/>
    </row>
    <row r="484" spans="3:3">
      <c r="C484" s="2634"/>
    </row>
    <row r="485" spans="3:3">
      <c r="C485" s="2634"/>
    </row>
    <row r="486" spans="3:3">
      <c r="C486" s="2634"/>
    </row>
    <row r="487" spans="3:3">
      <c r="C487" s="2634"/>
    </row>
    <row r="488" spans="3:3">
      <c r="C488" s="2634"/>
    </row>
    <row r="489" spans="3:3">
      <c r="C489" s="2634"/>
    </row>
    <row r="490" spans="3:3">
      <c r="C490" s="2634"/>
    </row>
    <row r="491" spans="3:3">
      <c r="C491" s="2634"/>
    </row>
    <row r="492" spans="3:3">
      <c r="C492" s="2634"/>
    </row>
    <row r="493" spans="3:3">
      <c r="C493" s="2634"/>
    </row>
    <row r="494" spans="3:3">
      <c r="C494" s="2634"/>
    </row>
    <row r="495" spans="3:3">
      <c r="C495" s="2634"/>
    </row>
    <row r="496" spans="3:3">
      <c r="C496" s="2634"/>
    </row>
    <row r="497" spans="3:3">
      <c r="C497" s="2634"/>
    </row>
    <row r="498" spans="3:3">
      <c r="C498" s="2634"/>
    </row>
    <row r="499" spans="3:3">
      <c r="C499" s="2634"/>
    </row>
    <row r="500" spans="3:3">
      <c r="C500" s="2634"/>
    </row>
    <row r="501" spans="3:3">
      <c r="C501" s="2634"/>
    </row>
    <row r="502" spans="3:3">
      <c r="C502" s="2634"/>
    </row>
    <row r="503" spans="3:3">
      <c r="C503" s="2634"/>
    </row>
    <row r="504" spans="3:3">
      <c r="C504" s="2634"/>
    </row>
    <row r="505" spans="3:3">
      <c r="C505" s="2634"/>
    </row>
    <row r="506" spans="3:3">
      <c r="C506" s="2634"/>
    </row>
    <row r="507" spans="3:3">
      <c r="C507" s="2634"/>
    </row>
    <row r="508" spans="3:3">
      <c r="C508" s="2634"/>
    </row>
    <row r="509" spans="3:3">
      <c r="C509" s="2634"/>
    </row>
    <row r="510" spans="3:3">
      <c r="C510" s="2634"/>
    </row>
    <row r="511" spans="3:3">
      <c r="C511" s="2634"/>
    </row>
    <row r="512" spans="3:3">
      <c r="C512" s="2634"/>
    </row>
    <row r="513" spans="3:3">
      <c r="C513" s="2634"/>
    </row>
    <row r="514" spans="3:3">
      <c r="C514" s="2634"/>
    </row>
    <row r="515" spans="3:3">
      <c r="C515" s="2634"/>
    </row>
    <row r="516" spans="3:3">
      <c r="C516" s="2634"/>
    </row>
    <row r="517" spans="3:3">
      <c r="C517" s="2634"/>
    </row>
    <row r="518" spans="3:3">
      <c r="C518" s="2634"/>
    </row>
    <row r="519" spans="3:3">
      <c r="C519" s="2634"/>
    </row>
    <row r="520" spans="3:3">
      <c r="C520" s="2634"/>
    </row>
    <row r="521" spans="3:3">
      <c r="C521" s="2634"/>
    </row>
    <row r="522" spans="3:3">
      <c r="C522" s="2634"/>
    </row>
    <row r="523" spans="3:3">
      <c r="C523" s="2634"/>
    </row>
    <row r="524" spans="3:3">
      <c r="C524" s="2634"/>
    </row>
    <row r="525" spans="3:3">
      <c r="C525" s="2634"/>
    </row>
    <row r="526" spans="3:3">
      <c r="C526" s="2634"/>
    </row>
    <row r="527" spans="3:3">
      <c r="C527" s="2634"/>
    </row>
    <row r="528" spans="3:3">
      <c r="C528" s="2634"/>
    </row>
    <row r="529" spans="3:3">
      <c r="C529" s="2634"/>
    </row>
    <row r="530" spans="3:3">
      <c r="C530" s="2634"/>
    </row>
    <row r="531" spans="3:3">
      <c r="C531" s="2634"/>
    </row>
    <row r="532" spans="3:3">
      <c r="C532" s="2634"/>
    </row>
    <row r="533" spans="3:3">
      <c r="C533" s="2634"/>
    </row>
    <row r="534" spans="3:3">
      <c r="C534" s="2634"/>
    </row>
    <row r="535" spans="3:3">
      <c r="C535" s="2634"/>
    </row>
    <row r="536" spans="3:3">
      <c r="C536" s="2634"/>
    </row>
    <row r="537" spans="3:3">
      <c r="C537" s="2634"/>
    </row>
    <row r="538" spans="3:3">
      <c r="C538" s="2634"/>
    </row>
    <row r="539" spans="3:3">
      <c r="C539" s="2634"/>
    </row>
    <row r="540" spans="3:3">
      <c r="C540" s="2634"/>
    </row>
    <row r="541" spans="3:3">
      <c r="C541" s="2634"/>
    </row>
    <row r="542" spans="3:3">
      <c r="C542" s="2634"/>
    </row>
    <row r="543" spans="3:3">
      <c r="C543" s="2634"/>
    </row>
    <row r="544" spans="3:3">
      <c r="C544" s="2634"/>
    </row>
    <row r="545" spans="3:3">
      <c r="C545" s="2634"/>
    </row>
    <row r="546" spans="3:3">
      <c r="C546" s="2634"/>
    </row>
    <row r="547" spans="3:3">
      <c r="C547" s="2634"/>
    </row>
    <row r="548" spans="3:3">
      <c r="C548" s="2634"/>
    </row>
    <row r="549" spans="3:3">
      <c r="C549" s="2634"/>
    </row>
    <row r="550" spans="3:3">
      <c r="C550" s="2634"/>
    </row>
    <row r="551" spans="3:3">
      <c r="C551" s="2634"/>
    </row>
    <row r="552" spans="3:3">
      <c r="C552" s="2634"/>
    </row>
    <row r="553" spans="3:3">
      <c r="C553" s="2634"/>
    </row>
    <row r="554" spans="3:3">
      <c r="C554" s="2634"/>
    </row>
    <row r="555" spans="3:3">
      <c r="C555" s="2634"/>
    </row>
    <row r="556" spans="3:3">
      <c r="C556" s="2634"/>
    </row>
    <row r="557" spans="3:3">
      <c r="C557" s="2634"/>
    </row>
    <row r="558" spans="3:3">
      <c r="C558" s="2634"/>
    </row>
    <row r="559" spans="3:3">
      <c r="C559" s="2634"/>
    </row>
    <row r="560" spans="3:3">
      <c r="C560" s="2634"/>
    </row>
    <row r="561" spans="3:3">
      <c r="C561" s="2634"/>
    </row>
    <row r="562" spans="3:3">
      <c r="C562" s="2634"/>
    </row>
    <row r="563" spans="3:3">
      <c r="C563" s="2634"/>
    </row>
    <row r="564" spans="3:3">
      <c r="C564" s="2634"/>
    </row>
    <row r="565" spans="3:3">
      <c r="C565" s="2634"/>
    </row>
    <row r="566" spans="3:3">
      <c r="C566" s="2634"/>
    </row>
    <row r="567" spans="3:3">
      <c r="C567" s="2634"/>
    </row>
    <row r="568" spans="3:3">
      <c r="C568" s="2634"/>
    </row>
    <row r="569" spans="3:3">
      <c r="C569" s="2634"/>
    </row>
    <row r="570" spans="3:3">
      <c r="C570" s="2634"/>
    </row>
    <row r="571" spans="3:3">
      <c r="C571" s="2634"/>
    </row>
    <row r="572" spans="3:3">
      <c r="C572" s="2634"/>
    </row>
    <row r="573" spans="3:3">
      <c r="C573" s="2634"/>
    </row>
    <row r="574" spans="3:3">
      <c r="C574" s="2634"/>
    </row>
    <row r="575" spans="3:3">
      <c r="C575" s="2634"/>
    </row>
    <row r="576" spans="3:3">
      <c r="C576" s="2634"/>
    </row>
    <row r="577" spans="3:3">
      <c r="C577" s="2634"/>
    </row>
    <row r="578" spans="3:3">
      <c r="C578" s="2634"/>
    </row>
    <row r="579" spans="3:3">
      <c r="C579" s="2634"/>
    </row>
    <row r="580" spans="3:3">
      <c r="C580" s="2634"/>
    </row>
    <row r="581" spans="3:3">
      <c r="C581" s="2634"/>
    </row>
    <row r="582" spans="3:3">
      <c r="C582" s="2634"/>
    </row>
    <row r="583" spans="3:3">
      <c r="C583" s="2634"/>
    </row>
    <row r="584" spans="3:3">
      <c r="C584" s="2634"/>
    </row>
    <row r="585" spans="3:3">
      <c r="C585" s="2634"/>
    </row>
    <row r="586" spans="3:3">
      <c r="C586" s="2634"/>
    </row>
    <row r="587" spans="3:3">
      <c r="C587" s="2634"/>
    </row>
    <row r="588" spans="3:3">
      <c r="C588" s="2634"/>
    </row>
    <row r="589" spans="3:3">
      <c r="C589" s="2634"/>
    </row>
    <row r="590" spans="3:3">
      <c r="C590" s="2634"/>
    </row>
    <row r="591" spans="3:3">
      <c r="C591" s="2634"/>
    </row>
    <row r="592" spans="3:3">
      <c r="C592" s="2634"/>
    </row>
    <row r="593" spans="3:3">
      <c r="C593" s="2634"/>
    </row>
    <row r="594" spans="3:3">
      <c r="C594" s="2634"/>
    </row>
    <row r="595" spans="3:3">
      <c r="C595" s="2634"/>
    </row>
    <row r="596" spans="3:3">
      <c r="C596" s="2634"/>
    </row>
    <row r="597" spans="3:3">
      <c r="C597" s="2634"/>
    </row>
    <row r="598" spans="3:3">
      <c r="C598" s="2634"/>
    </row>
    <row r="599" spans="3:3">
      <c r="C599" s="2634"/>
    </row>
    <row r="600" spans="3:3">
      <c r="C600" s="2634"/>
    </row>
    <row r="601" spans="3:3">
      <c r="C601" s="2634"/>
    </row>
    <row r="602" spans="3:3">
      <c r="C602" s="2634"/>
    </row>
    <row r="603" spans="3:3">
      <c r="C603" s="2634"/>
    </row>
    <row r="604" spans="3:3">
      <c r="C604" s="2634"/>
    </row>
    <row r="605" spans="3:3">
      <c r="C605" s="2634"/>
    </row>
    <row r="606" spans="3:3">
      <c r="C606" s="2634"/>
    </row>
    <row r="607" spans="3:3">
      <c r="C607" s="2634"/>
    </row>
    <row r="608" spans="3:3">
      <c r="C608" s="2634"/>
    </row>
    <row r="609" spans="3:3">
      <c r="C609" s="2634"/>
    </row>
    <row r="610" spans="3:3">
      <c r="C610" s="2634"/>
    </row>
    <row r="611" spans="3:3">
      <c r="C611" s="2634"/>
    </row>
    <row r="612" spans="3:3">
      <c r="C612" s="2634"/>
    </row>
    <row r="613" spans="3:3">
      <c r="C613" s="2634"/>
    </row>
    <row r="614" spans="3:3">
      <c r="C614" s="2634"/>
    </row>
    <row r="615" spans="3:3">
      <c r="C615" s="2634"/>
    </row>
    <row r="616" spans="3:3">
      <c r="C616" s="2634"/>
    </row>
    <row r="617" spans="3:3">
      <c r="C617" s="2634"/>
    </row>
    <row r="618" spans="3:3">
      <c r="C618" s="2634"/>
    </row>
    <row r="619" spans="3:3">
      <c r="C619" s="2634"/>
    </row>
    <row r="620" spans="3:3">
      <c r="C620" s="2634"/>
    </row>
    <row r="621" spans="3:3">
      <c r="C621" s="2634"/>
    </row>
    <row r="622" spans="3:3">
      <c r="C622" s="2634"/>
    </row>
    <row r="623" spans="3:3">
      <c r="C623" s="2634"/>
    </row>
    <row r="624" spans="3:3">
      <c r="C624" s="2634"/>
    </row>
    <row r="625" spans="3:3">
      <c r="C625" s="2634"/>
    </row>
    <row r="626" spans="3:3">
      <c r="C626" s="2634"/>
    </row>
    <row r="627" spans="3:3">
      <c r="C627" s="2634"/>
    </row>
    <row r="628" spans="3:3">
      <c r="C628" s="2634"/>
    </row>
    <row r="629" spans="3:3">
      <c r="C629" s="2634"/>
    </row>
    <row r="630" spans="3:3">
      <c r="C630" s="2634"/>
    </row>
    <row r="631" spans="3:3">
      <c r="C631" s="2634"/>
    </row>
    <row r="632" spans="3:3">
      <c r="C632" s="2634"/>
    </row>
    <row r="633" spans="3:3">
      <c r="C633" s="2634"/>
    </row>
    <row r="634" spans="3:3">
      <c r="C634" s="2634"/>
    </row>
    <row r="635" spans="3:3">
      <c r="C635" s="2634"/>
    </row>
    <row r="636" spans="3:3">
      <c r="C636" s="2634"/>
    </row>
    <row r="637" spans="3:3">
      <c r="C637" s="2634"/>
    </row>
    <row r="638" spans="3:3">
      <c r="C638" s="2634"/>
    </row>
    <row r="639" spans="3:3">
      <c r="C639" s="2634"/>
    </row>
    <row r="640" spans="3:3">
      <c r="C640" s="2634"/>
    </row>
    <row r="641" spans="3:3">
      <c r="C641" s="2634"/>
    </row>
    <row r="642" spans="3:3">
      <c r="C642" s="2634"/>
    </row>
    <row r="643" spans="3:3">
      <c r="C643" s="2634"/>
    </row>
    <row r="644" spans="3:3">
      <c r="C644" s="2634"/>
    </row>
    <row r="645" spans="3:3">
      <c r="C645" s="2634"/>
    </row>
    <row r="646" spans="3:3">
      <c r="C646" s="2634"/>
    </row>
    <row r="647" spans="3:3">
      <c r="C647" s="2634"/>
    </row>
    <row r="648" spans="3:3">
      <c r="C648" s="2634"/>
    </row>
    <row r="649" spans="3:3">
      <c r="C649" s="2634"/>
    </row>
    <row r="650" spans="3:3">
      <c r="C650" s="2634"/>
    </row>
    <row r="651" spans="3:3">
      <c r="C651" s="2634"/>
    </row>
    <row r="652" spans="3:3">
      <c r="C652" s="2634"/>
    </row>
    <row r="653" spans="3:3">
      <c r="C653" s="2634"/>
    </row>
    <row r="654" spans="3:3">
      <c r="C654" s="2634"/>
    </row>
    <row r="655" spans="3:3">
      <c r="C655" s="2634"/>
    </row>
    <row r="656" spans="3:3">
      <c r="C656" s="2634"/>
    </row>
    <row r="657" spans="3:3">
      <c r="C657" s="2634"/>
    </row>
    <row r="658" spans="3:3">
      <c r="C658" s="2634"/>
    </row>
    <row r="659" spans="3:3">
      <c r="C659" s="2634"/>
    </row>
    <row r="660" spans="3:3">
      <c r="C660" s="2634"/>
    </row>
    <row r="661" spans="3:3">
      <c r="C661" s="2634"/>
    </row>
    <row r="662" spans="3:3">
      <c r="C662" s="2634"/>
    </row>
    <row r="663" spans="3:3">
      <c r="C663" s="2634"/>
    </row>
    <row r="664" spans="3:3">
      <c r="C664" s="2634"/>
    </row>
    <row r="665" spans="3:3">
      <c r="C665" s="2634"/>
    </row>
    <row r="666" spans="3:3">
      <c r="C666" s="2634"/>
    </row>
    <row r="667" spans="3:3">
      <c r="C667" s="2634"/>
    </row>
    <row r="668" spans="3:3">
      <c r="C668" s="2634"/>
    </row>
    <row r="669" spans="3:3">
      <c r="C669" s="2634"/>
    </row>
    <row r="670" spans="3:3">
      <c r="C670" s="2634"/>
    </row>
    <row r="671" spans="3:3">
      <c r="C671" s="2634"/>
    </row>
    <row r="672" spans="3:3">
      <c r="C672" s="2634"/>
    </row>
    <row r="673" spans="3:3">
      <c r="C673" s="2634"/>
    </row>
    <row r="674" spans="3:3">
      <c r="C674" s="2634"/>
    </row>
    <row r="675" spans="3:3">
      <c r="C675" s="2634"/>
    </row>
    <row r="676" spans="3:3">
      <c r="C676" s="2634"/>
    </row>
    <row r="677" spans="3:3">
      <c r="C677" s="2634"/>
    </row>
    <row r="678" spans="3:3">
      <c r="C678" s="2634"/>
    </row>
    <row r="679" spans="3:3">
      <c r="C679" s="2634"/>
    </row>
    <row r="680" spans="3:3">
      <c r="C680" s="2634"/>
    </row>
    <row r="681" spans="3:3">
      <c r="C681" s="2634"/>
    </row>
    <row r="682" spans="3:3">
      <c r="C682" s="2634"/>
    </row>
    <row r="683" spans="3:3">
      <c r="C683" s="2634"/>
    </row>
    <row r="684" spans="3:3">
      <c r="C684" s="2634"/>
    </row>
    <row r="685" spans="3:3">
      <c r="C685" s="2634"/>
    </row>
    <row r="686" spans="3:3">
      <c r="C686" s="2634"/>
    </row>
    <row r="687" spans="3:3">
      <c r="C687" s="2634"/>
    </row>
    <row r="688" spans="3:3">
      <c r="C688" s="2634"/>
    </row>
    <row r="689" spans="3:3">
      <c r="C689" s="2634"/>
    </row>
    <row r="690" spans="3:3">
      <c r="C690" s="2634"/>
    </row>
    <row r="691" spans="3:3">
      <c r="C691" s="2634"/>
    </row>
    <row r="692" spans="3:3">
      <c r="C692" s="2634"/>
    </row>
    <row r="693" spans="3:3">
      <c r="C693" s="2634"/>
    </row>
    <row r="694" spans="3:3">
      <c r="C694" s="2634"/>
    </row>
    <row r="695" spans="3:3">
      <c r="C695" s="2634"/>
    </row>
    <row r="696" spans="3:3">
      <c r="C696" s="2634"/>
    </row>
    <row r="697" spans="3:3">
      <c r="C697" s="2634"/>
    </row>
    <row r="698" spans="3:3">
      <c r="C698" s="2634"/>
    </row>
    <row r="699" spans="3:3">
      <c r="C699" s="2634"/>
    </row>
    <row r="700" spans="3:3">
      <c r="C700" s="2634"/>
    </row>
    <row r="701" spans="3:3">
      <c r="C701" s="2634"/>
    </row>
    <row r="702" spans="3:3">
      <c r="C702" s="2634"/>
    </row>
    <row r="703" spans="3:3">
      <c r="C703" s="2634"/>
    </row>
    <row r="704" spans="3:3">
      <c r="C704" s="2634"/>
    </row>
    <row r="705" spans="3:3">
      <c r="C705" s="2634"/>
    </row>
    <row r="706" spans="3:3">
      <c r="C706" s="2634"/>
    </row>
    <row r="707" spans="3:3">
      <c r="C707" s="2634"/>
    </row>
    <row r="708" spans="3:3">
      <c r="C708" s="2634"/>
    </row>
    <row r="709" spans="3:3">
      <c r="C709" s="2634"/>
    </row>
    <row r="710" spans="3:3">
      <c r="C710" s="2634"/>
    </row>
    <row r="711" spans="3:3">
      <c r="C711" s="2634"/>
    </row>
    <row r="712" spans="3:3">
      <c r="C712" s="2634"/>
    </row>
    <row r="713" spans="3:3">
      <c r="C713" s="2634"/>
    </row>
    <row r="714" spans="3:3">
      <c r="C714" s="2634"/>
    </row>
    <row r="715" spans="3:3">
      <c r="C715" s="2634"/>
    </row>
    <row r="716" spans="3:3">
      <c r="C716" s="2634"/>
    </row>
    <row r="717" spans="3:3">
      <c r="C717" s="2634"/>
    </row>
    <row r="718" spans="3:3">
      <c r="C718" s="2634"/>
    </row>
    <row r="719" spans="3:3">
      <c r="C719" s="2634"/>
    </row>
    <row r="720" spans="3:3">
      <c r="C720" s="2634"/>
    </row>
    <row r="721" spans="3:3">
      <c r="C721" s="2634"/>
    </row>
    <row r="722" spans="3:3">
      <c r="C722" s="2634"/>
    </row>
    <row r="723" spans="3:3">
      <c r="C723" s="2634"/>
    </row>
    <row r="724" spans="3:3">
      <c r="C724" s="2634"/>
    </row>
    <row r="725" spans="3:3">
      <c r="C725" s="2634"/>
    </row>
    <row r="726" spans="3:3">
      <c r="C726" s="2634"/>
    </row>
    <row r="727" spans="3:3">
      <c r="C727" s="2634"/>
    </row>
    <row r="728" spans="3:3">
      <c r="C728" s="2634"/>
    </row>
    <row r="729" spans="3:3">
      <c r="C729" s="2634"/>
    </row>
    <row r="730" spans="3:3">
      <c r="C730" s="2634"/>
    </row>
    <row r="731" spans="3:3">
      <c r="C731" s="2634"/>
    </row>
    <row r="732" spans="3:3">
      <c r="C732" s="2634"/>
    </row>
    <row r="733" spans="3:3">
      <c r="C733" s="2634"/>
    </row>
    <row r="734" spans="3:3">
      <c r="C734" s="2634"/>
    </row>
    <row r="735" spans="3:3">
      <c r="C735" s="2634"/>
    </row>
    <row r="736" spans="3:3">
      <c r="C736" s="2634"/>
    </row>
    <row r="737" spans="3:3">
      <c r="C737" s="2634"/>
    </row>
    <row r="738" spans="3:3">
      <c r="C738" s="2634"/>
    </row>
    <row r="739" spans="3:3">
      <c r="C739" s="2634"/>
    </row>
    <row r="740" spans="3:3">
      <c r="C740" s="2634"/>
    </row>
    <row r="741" spans="3:3">
      <c r="C741" s="2634"/>
    </row>
    <row r="742" spans="3:3">
      <c r="C742" s="2634"/>
    </row>
    <row r="743" spans="3:3">
      <c r="C743" s="2634"/>
    </row>
    <row r="744" spans="3:3">
      <c r="C744" s="2634"/>
    </row>
    <row r="745" spans="3:3">
      <c r="C745" s="2634"/>
    </row>
    <row r="746" spans="3:3">
      <c r="C746" s="2634"/>
    </row>
    <row r="747" spans="3:3">
      <c r="C747" s="2634"/>
    </row>
    <row r="748" spans="3:3">
      <c r="C748" s="2634"/>
    </row>
    <row r="749" spans="3:3">
      <c r="C749" s="2634"/>
    </row>
    <row r="750" spans="3:3">
      <c r="C750" s="2634"/>
    </row>
    <row r="751" spans="3:3">
      <c r="C751" s="2634"/>
    </row>
    <row r="752" spans="3:3">
      <c r="C752" s="2634"/>
    </row>
    <row r="753" spans="3:3">
      <c r="C753" s="2634"/>
    </row>
    <row r="754" spans="3:3">
      <c r="C754" s="2634"/>
    </row>
    <row r="755" spans="3:3">
      <c r="C755" s="2634"/>
    </row>
    <row r="756" spans="3:3">
      <c r="C756" s="2634"/>
    </row>
    <row r="757" spans="3:3">
      <c r="C757" s="2634"/>
    </row>
    <row r="758" spans="3:3">
      <c r="C758" s="2634"/>
    </row>
    <row r="759" spans="3:3">
      <c r="C759" s="2634"/>
    </row>
    <row r="760" spans="3:3">
      <c r="C760" s="2634"/>
    </row>
    <row r="761" spans="3:3">
      <c r="C761" s="2634"/>
    </row>
    <row r="762" spans="3:3">
      <c r="C762" s="2634"/>
    </row>
    <row r="763" spans="3:3">
      <c r="C763" s="2634"/>
    </row>
    <row r="764" spans="3:3">
      <c r="C764" s="2634"/>
    </row>
    <row r="765" spans="3:3">
      <c r="C765" s="2634"/>
    </row>
    <row r="766" spans="3:3">
      <c r="C766" s="2634"/>
    </row>
    <row r="767" spans="3:3">
      <c r="C767" s="2634"/>
    </row>
    <row r="768" spans="3:3">
      <c r="C768" s="2634"/>
    </row>
    <row r="769" spans="3:3">
      <c r="C769" s="2634"/>
    </row>
    <row r="770" spans="3:3">
      <c r="C770" s="2634"/>
    </row>
    <row r="771" spans="3:3">
      <c r="C771" s="2634"/>
    </row>
    <row r="772" spans="3:3">
      <c r="C772" s="2634"/>
    </row>
    <row r="773" spans="3:3">
      <c r="C773" s="2634"/>
    </row>
    <row r="774" spans="3:3">
      <c r="C774" s="2634"/>
    </row>
    <row r="775" spans="3:3">
      <c r="C775" s="2634"/>
    </row>
    <row r="776" spans="3:3">
      <c r="C776" s="2634"/>
    </row>
    <row r="777" spans="3:3">
      <c r="C777" s="2634"/>
    </row>
    <row r="778" spans="3:3">
      <c r="C778" s="2634"/>
    </row>
    <row r="779" spans="3:3">
      <c r="C779" s="2634"/>
    </row>
    <row r="780" spans="3:3">
      <c r="C780" s="2634"/>
    </row>
    <row r="781" spans="3:3">
      <c r="C781" s="2634"/>
    </row>
    <row r="782" spans="3:3">
      <c r="C782" s="2634"/>
    </row>
    <row r="783" spans="3:3">
      <c r="C783" s="2634"/>
    </row>
    <row r="784" spans="3:3">
      <c r="C784" s="2634"/>
    </row>
    <row r="785" spans="3:3">
      <c r="C785" s="2634"/>
    </row>
    <row r="786" spans="3:3">
      <c r="C786" s="2634"/>
    </row>
    <row r="787" spans="3:3">
      <c r="C787" s="2634"/>
    </row>
    <row r="788" spans="3:3">
      <c r="C788" s="2634"/>
    </row>
    <row r="789" spans="3:3">
      <c r="C789" s="2634"/>
    </row>
    <row r="790" spans="3:3">
      <c r="C790" s="2634"/>
    </row>
    <row r="791" spans="3:3">
      <c r="C791" s="2634"/>
    </row>
    <row r="792" spans="3:3">
      <c r="C792" s="2634"/>
    </row>
    <row r="793" spans="3:3">
      <c r="C793" s="2634"/>
    </row>
    <row r="794" spans="3:3">
      <c r="C794" s="2634"/>
    </row>
    <row r="795" spans="3:3">
      <c r="C795" s="2634"/>
    </row>
    <row r="796" spans="3:3">
      <c r="C796" s="2634"/>
    </row>
    <row r="797" spans="3:3">
      <c r="C797" s="2634"/>
    </row>
    <row r="798" spans="3:3">
      <c r="C798" s="2634"/>
    </row>
    <row r="799" spans="3:3">
      <c r="C799" s="2634"/>
    </row>
    <row r="800" spans="3:3">
      <c r="C800" s="2634"/>
    </row>
    <row r="801" spans="3:3">
      <c r="C801" s="2634"/>
    </row>
    <row r="802" spans="3:3">
      <c r="C802" s="2634"/>
    </row>
    <row r="803" spans="3:3">
      <c r="C803" s="2634"/>
    </row>
    <row r="804" spans="3:3">
      <c r="C804" s="2634"/>
    </row>
    <row r="805" spans="3:3">
      <c r="C805" s="2634"/>
    </row>
    <row r="806" spans="3:3">
      <c r="C806" s="2634"/>
    </row>
    <row r="807" spans="3:3">
      <c r="C807" s="2634"/>
    </row>
    <row r="808" spans="3:3">
      <c r="C808" s="2634"/>
    </row>
    <row r="809" spans="3:3">
      <c r="C809" s="2634"/>
    </row>
    <row r="810" spans="3:3">
      <c r="C810" s="2634"/>
    </row>
    <row r="811" spans="3:3">
      <c r="C811" s="2634"/>
    </row>
    <row r="812" spans="3:3">
      <c r="C812" s="2634"/>
    </row>
    <row r="813" spans="3:3">
      <c r="C813" s="2634"/>
    </row>
    <row r="814" spans="3:3">
      <c r="C814" s="2634"/>
    </row>
    <row r="815" spans="3:3">
      <c r="C815" s="2634"/>
    </row>
    <row r="816" spans="3:3">
      <c r="C816" s="2634"/>
    </row>
    <row r="817" spans="3:3">
      <c r="C817" s="2634"/>
    </row>
    <row r="818" spans="3:3">
      <c r="C818" s="2634"/>
    </row>
    <row r="819" spans="3:3">
      <c r="C819" s="2634"/>
    </row>
    <row r="820" spans="3:3">
      <c r="C820" s="2634"/>
    </row>
    <row r="821" spans="3:3">
      <c r="C821" s="2634"/>
    </row>
    <row r="822" spans="3:3">
      <c r="C822" s="2634"/>
    </row>
    <row r="823" spans="3:3">
      <c r="C823" s="2634"/>
    </row>
    <row r="824" spans="3:3">
      <c r="C824" s="2634"/>
    </row>
    <row r="825" spans="3:3">
      <c r="C825" s="2634"/>
    </row>
    <row r="826" spans="3:3">
      <c r="C826" s="2634"/>
    </row>
    <row r="827" spans="3:3">
      <c r="C827" s="2634"/>
    </row>
    <row r="828" spans="3:3">
      <c r="C828" s="2634"/>
    </row>
    <row r="829" spans="3:3">
      <c r="C829" s="2634"/>
    </row>
    <row r="830" spans="3:3">
      <c r="C830" s="2634"/>
    </row>
    <row r="831" spans="3:3">
      <c r="C831" s="2634"/>
    </row>
    <row r="832" spans="3:3">
      <c r="C832" s="2634"/>
    </row>
    <row r="833" spans="3:3">
      <c r="C833" s="2634"/>
    </row>
    <row r="834" spans="3:3">
      <c r="C834" s="2634"/>
    </row>
    <row r="835" spans="3:3">
      <c r="C835" s="2634"/>
    </row>
    <row r="836" spans="3:3">
      <c r="C836" s="2634"/>
    </row>
    <row r="837" spans="3:3">
      <c r="C837" s="2634"/>
    </row>
    <row r="838" spans="3:3">
      <c r="C838" s="2634"/>
    </row>
    <row r="839" spans="3:3">
      <c r="C839" s="2634"/>
    </row>
    <row r="840" spans="3:3">
      <c r="C840" s="2634"/>
    </row>
    <row r="841" spans="3:3">
      <c r="C841" s="2634"/>
    </row>
    <row r="842" spans="3:3">
      <c r="C842" s="2634"/>
    </row>
    <row r="843" spans="3:3">
      <c r="C843" s="2634"/>
    </row>
    <row r="844" spans="3:3">
      <c r="C844" s="2634"/>
    </row>
    <row r="845" spans="3:3">
      <c r="C845" s="2634"/>
    </row>
    <row r="846" spans="3:3">
      <c r="C846" s="2634"/>
    </row>
    <row r="847" spans="3:3">
      <c r="C847" s="2634"/>
    </row>
    <row r="848" spans="3:3">
      <c r="C848" s="2634"/>
    </row>
    <row r="849" spans="3:3">
      <c r="C849" s="2634"/>
    </row>
    <row r="850" spans="3:3">
      <c r="C850" s="2634"/>
    </row>
    <row r="851" spans="3:3">
      <c r="C851" s="2634"/>
    </row>
    <row r="852" spans="3:3">
      <c r="C852" s="2634"/>
    </row>
    <row r="853" spans="3:3">
      <c r="C853" s="2634"/>
    </row>
    <row r="854" spans="3:3">
      <c r="C854" s="2634"/>
    </row>
    <row r="855" spans="3:3">
      <c r="C855" s="2634"/>
    </row>
    <row r="856" spans="3:3">
      <c r="C856" s="2634"/>
    </row>
    <row r="857" spans="3:3">
      <c r="C857" s="2634"/>
    </row>
    <row r="858" spans="3:3">
      <c r="C858" s="2634"/>
    </row>
    <row r="859" spans="3:3">
      <c r="C859" s="2634"/>
    </row>
    <row r="860" spans="3:3">
      <c r="C860" s="2634"/>
    </row>
    <row r="861" spans="3:3">
      <c r="C861" s="2634"/>
    </row>
    <row r="862" spans="3:3">
      <c r="C862" s="2634"/>
    </row>
    <row r="863" spans="3:3">
      <c r="C863" s="2634"/>
    </row>
    <row r="864" spans="3:3">
      <c r="C864" s="2634"/>
    </row>
    <row r="865" spans="3:3">
      <c r="C865" s="2634"/>
    </row>
    <row r="866" spans="3:3">
      <c r="C866" s="2634"/>
    </row>
    <row r="867" spans="3:3">
      <c r="C867" s="2634"/>
    </row>
    <row r="868" spans="3:3">
      <c r="C868" s="2634"/>
    </row>
    <row r="869" spans="3:3">
      <c r="C869" s="2634"/>
    </row>
    <row r="870" spans="3:3">
      <c r="C870" s="2634"/>
    </row>
    <row r="871" spans="3:3">
      <c r="C871" s="2634"/>
    </row>
    <row r="872" spans="3:3">
      <c r="C872" s="2634"/>
    </row>
    <row r="873" spans="3:3">
      <c r="C873" s="2634"/>
    </row>
    <row r="874" spans="3:3">
      <c r="C874" s="2634"/>
    </row>
    <row r="875" spans="3:3">
      <c r="C875" s="2634"/>
    </row>
    <row r="876" spans="3:3">
      <c r="C876" s="2634"/>
    </row>
    <row r="877" spans="3:3">
      <c r="C877" s="2634"/>
    </row>
    <row r="878" spans="3:3">
      <c r="C878" s="2634"/>
    </row>
    <row r="879" spans="3:3">
      <c r="C879" s="2634"/>
    </row>
    <row r="880" spans="3:3">
      <c r="C880" s="2634"/>
    </row>
    <row r="881" spans="3:3">
      <c r="C881" s="2634"/>
    </row>
    <row r="882" spans="3:3">
      <c r="C882" s="2634"/>
    </row>
    <row r="883" spans="3:3">
      <c r="C883" s="2634"/>
    </row>
    <row r="884" spans="3:3">
      <c r="C884" s="2634"/>
    </row>
    <row r="885" spans="3:3">
      <c r="C885" s="2634"/>
    </row>
    <row r="886" spans="3:3">
      <c r="C886" s="2634"/>
    </row>
    <row r="887" spans="3:3">
      <c r="C887" s="2634"/>
    </row>
    <row r="888" spans="3:3">
      <c r="C888" s="2634"/>
    </row>
    <row r="889" spans="3:3">
      <c r="C889" s="2634"/>
    </row>
    <row r="890" spans="3:3">
      <c r="C890" s="2634"/>
    </row>
    <row r="891" spans="3:3">
      <c r="C891" s="2634"/>
    </row>
    <row r="892" spans="3:3">
      <c r="C892" s="2634"/>
    </row>
    <row r="893" spans="3:3">
      <c r="C893" s="2634"/>
    </row>
    <row r="894" spans="3:3">
      <c r="C894" s="2634"/>
    </row>
    <row r="895" spans="3:3">
      <c r="C895" s="2634"/>
    </row>
    <row r="896" spans="3:3">
      <c r="C896" s="2634"/>
    </row>
    <row r="897" spans="3:3">
      <c r="C897" s="2634"/>
    </row>
    <row r="898" spans="3:3">
      <c r="C898" s="2634"/>
    </row>
    <row r="899" spans="3:3">
      <c r="C899" s="2634"/>
    </row>
    <row r="900" spans="3:3">
      <c r="C900" s="2634"/>
    </row>
    <row r="901" spans="3:3">
      <c r="C901" s="2634"/>
    </row>
    <row r="902" spans="3:3">
      <c r="C902" s="2634"/>
    </row>
    <row r="903" spans="3:3">
      <c r="C903" s="2634"/>
    </row>
    <row r="904" spans="3:3">
      <c r="C904" s="2634"/>
    </row>
    <row r="905" spans="3:3">
      <c r="C905" s="2634"/>
    </row>
    <row r="906" spans="3:3">
      <c r="C906" s="2634"/>
    </row>
    <row r="907" spans="3:3">
      <c r="C907" s="2634"/>
    </row>
    <row r="908" spans="3:3">
      <c r="C908" s="2634"/>
    </row>
    <row r="909" spans="3:3">
      <c r="C909" s="2634"/>
    </row>
    <row r="910" spans="3:3">
      <c r="C910" s="2634"/>
    </row>
    <row r="911" spans="3:3">
      <c r="C911" s="2634"/>
    </row>
    <row r="912" spans="3:3">
      <c r="C912" s="2634"/>
    </row>
    <row r="913" spans="3:3">
      <c r="C913" s="2634"/>
    </row>
    <row r="914" spans="3:3">
      <c r="C914" s="2634"/>
    </row>
    <row r="915" spans="3:3">
      <c r="C915" s="2634"/>
    </row>
    <row r="916" spans="3:3">
      <c r="C916" s="2634"/>
    </row>
    <row r="917" spans="3:3">
      <c r="C917" s="2634"/>
    </row>
    <row r="918" spans="3:3">
      <c r="C918" s="2634"/>
    </row>
    <row r="919" spans="3:3">
      <c r="C919" s="2634"/>
    </row>
    <row r="920" spans="3:3">
      <c r="C920" s="2634"/>
    </row>
    <row r="921" spans="3:3">
      <c r="C921" s="2634"/>
    </row>
    <row r="922" spans="3:3">
      <c r="C922" s="2634"/>
    </row>
    <row r="923" spans="3:3">
      <c r="C923" s="2634"/>
    </row>
    <row r="924" spans="3:3">
      <c r="C924" s="2634"/>
    </row>
    <row r="925" spans="3:3">
      <c r="C925" s="2634"/>
    </row>
    <row r="926" spans="3:3">
      <c r="C926" s="2634"/>
    </row>
    <row r="927" spans="3:3">
      <c r="C927" s="2634"/>
    </row>
    <row r="928" spans="3:3">
      <c r="C928" s="2634"/>
    </row>
    <row r="929" spans="3:3">
      <c r="C929" s="2634"/>
    </row>
    <row r="930" spans="3:3">
      <c r="C930" s="2634"/>
    </row>
    <row r="931" spans="3:3">
      <c r="C931" s="2634"/>
    </row>
    <row r="932" spans="3:3">
      <c r="C932" s="2634"/>
    </row>
    <row r="933" spans="3:3">
      <c r="C933" s="2634"/>
    </row>
    <row r="934" spans="3:3">
      <c r="C934" s="2634"/>
    </row>
    <row r="935" spans="3:3">
      <c r="C935" s="2634"/>
    </row>
    <row r="936" spans="3:3">
      <c r="C936" s="2634"/>
    </row>
    <row r="937" spans="3:3">
      <c r="C937" s="2634"/>
    </row>
    <row r="938" spans="3:3">
      <c r="C938" s="2634"/>
    </row>
    <row r="939" spans="3:3">
      <c r="C939" s="2634"/>
    </row>
    <row r="940" spans="3:3">
      <c r="C940" s="2634"/>
    </row>
    <row r="941" spans="3:3">
      <c r="C941" s="2634"/>
    </row>
    <row r="942" spans="3:3">
      <c r="C942" s="2634"/>
    </row>
    <row r="943" spans="3:3">
      <c r="C943" s="2634"/>
    </row>
    <row r="944" spans="3:3">
      <c r="C944" s="2634"/>
    </row>
    <row r="945" spans="3:3">
      <c r="C945" s="2634"/>
    </row>
    <row r="946" spans="3:3">
      <c r="C946" s="2634"/>
    </row>
    <row r="947" spans="3:3">
      <c r="C947" s="2634"/>
    </row>
    <row r="948" spans="3:3">
      <c r="C948" s="2634"/>
    </row>
    <row r="949" spans="3:3">
      <c r="C949" s="2634"/>
    </row>
    <row r="950" spans="3:3">
      <c r="C950" s="2634"/>
    </row>
    <row r="951" spans="3:3">
      <c r="C951" s="2634"/>
    </row>
    <row r="952" spans="3:3">
      <c r="C952" s="2634"/>
    </row>
    <row r="953" spans="3:3">
      <c r="C953" s="2634"/>
    </row>
    <row r="954" spans="3:3">
      <c r="C954" s="2634"/>
    </row>
  </sheetData>
  <mergeCells count="28">
    <mergeCell ref="A2:A4"/>
    <mergeCell ref="B2:B4"/>
    <mergeCell ref="C2:C4"/>
    <mergeCell ref="D2:G2"/>
    <mergeCell ref="D3:D4"/>
    <mergeCell ref="E3:E4"/>
    <mergeCell ref="F3:F4"/>
    <mergeCell ref="G3:G4"/>
    <mergeCell ref="K3:K4"/>
    <mergeCell ref="P3:P4"/>
    <mergeCell ref="Q3:Q4"/>
    <mergeCell ref="R3:R4"/>
    <mergeCell ref="H2:K2"/>
    <mergeCell ref="P2:S2"/>
    <mergeCell ref="S3:S4"/>
    <mergeCell ref="H3:H4"/>
    <mergeCell ref="I3:I4"/>
    <mergeCell ref="J3:J4"/>
    <mergeCell ref="L2:O2"/>
    <mergeCell ref="L3:L4"/>
    <mergeCell ref="M3:M4"/>
    <mergeCell ref="N3:N4"/>
    <mergeCell ref="O3:O4"/>
    <mergeCell ref="T2:W2"/>
    <mergeCell ref="T3:T4"/>
    <mergeCell ref="U3:U4"/>
    <mergeCell ref="V3:V4"/>
    <mergeCell ref="W3:W4"/>
  </mergeCells>
  <pageMargins left="0.7" right="0.7" top="0.75" bottom="0.75" header="0.3" footer="0.3"/>
  <pageSetup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2:AE127"/>
  <sheetViews>
    <sheetView zoomScaleNormal="100" workbookViewId="0">
      <pane xSplit="5370" topLeftCell="T1" activePane="topRight"/>
      <selection activeCell="Q4" sqref="Q4:Q99"/>
      <selection pane="topRight" activeCell="T91" sqref="T1:T1048576"/>
    </sheetView>
  </sheetViews>
  <sheetFormatPr defaultRowHeight="15"/>
  <cols>
    <col min="1" max="1" width="21.5703125" style="4" bestFit="1" customWidth="1"/>
    <col min="2" max="2" width="13.85546875" bestFit="1" customWidth="1"/>
    <col min="3" max="3" width="12" style="1583" customWidth="1"/>
    <col min="4" max="4" width="15.28515625" bestFit="1" customWidth="1"/>
    <col min="5" max="5" width="18" bestFit="1" customWidth="1"/>
    <col min="6" max="6" width="15.28515625" bestFit="1" customWidth="1"/>
    <col min="7" max="7" width="14.28515625" bestFit="1" customWidth="1"/>
    <col min="8" max="8" width="16.85546875" bestFit="1" customWidth="1"/>
    <col min="9" max="10" width="15.28515625" bestFit="1" customWidth="1"/>
    <col min="11" max="12" width="18" bestFit="1" customWidth="1"/>
    <col min="13" max="14" width="15.28515625" bestFit="1" customWidth="1"/>
    <col min="15" max="15" width="12.7109375" customWidth="1"/>
    <col min="16" max="16" width="17.42578125" customWidth="1"/>
    <col min="17" max="17" width="14.28515625" customWidth="1"/>
    <col min="18" max="18" width="13.85546875" customWidth="1"/>
    <col min="19" max="19" width="14" customWidth="1"/>
    <col min="20" max="20" width="17.85546875" customWidth="1"/>
    <col min="21" max="21" width="15.140625" customWidth="1"/>
    <col min="22" max="22" width="15" customWidth="1"/>
    <col min="23" max="31" width="9.5703125" bestFit="1" customWidth="1"/>
  </cols>
  <sheetData>
    <row r="2" spans="1:31">
      <c r="A2" s="3535" t="s">
        <v>309</v>
      </c>
      <c r="B2" s="3535" t="s">
        <v>311</v>
      </c>
      <c r="C2" s="3535" t="s">
        <v>314</v>
      </c>
      <c r="D2" s="3532">
        <v>2011</v>
      </c>
      <c r="E2" s="3533"/>
      <c r="F2" s="3533"/>
      <c r="G2" s="3534"/>
      <c r="H2" s="3532">
        <v>2012</v>
      </c>
      <c r="I2" s="3533"/>
      <c r="J2" s="3533"/>
      <c r="K2" s="3534"/>
      <c r="L2" s="3532">
        <v>2013</v>
      </c>
      <c r="M2" s="3533"/>
      <c r="N2" s="3533"/>
      <c r="O2" s="3534"/>
      <c r="P2" s="3532">
        <v>2014</v>
      </c>
      <c r="Q2" s="3533"/>
      <c r="R2" s="3533"/>
      <c r="S2" s="3534"/>
      <c r="T2" s="3532">
        <v>2015</v>
      </c>
      <c r="U2" s="3533"/>
      <c r="V2" s="3533"/>
      <c r="W2" s="3534"/>
      <c r="X2" s="3532">
        <v>2016</v>
      </c>
      <c r="Y2" s="3533"/>
      <c r="Z2" s="3533"/>
      <c r="AA2" s="3534"/>
      <c r="AB2" s="3532">
        <v>2017</v>
      </c>
      <c r="AC2" s="3533"/>
      <c r="AD2" s="3533"/>
      <c r="AE2" s="3534"/>
    </row>
    <row r="3" spans="1:31">
      <c r="A3" s="3537"/>
      <c r="B3" s="3537"/>
      <c r="C3" s="3537"/>
      <c r="D3" s="1100" t="s">
        <v>2</v>
      </c>
      <c r="E3" s="1100" t="s">
        <v>3</v>
      </c>
      <c r="F3" s="1100" t="s">
        <v>4</v>
      </c>
      <c r="G3" s="1100" t="s">
        <v>5</v>
      </c>
      <c r="H3" s="1100" t="s">
        <v>2</v>
      </c>
      <c r="I3" s="1100" t="s">
        <v>3</v>
      </c>
      <c r="J3" s="1100" t="s">
        <v>4</v>
      </c>
      <c r="K3" s="1100" t="s">
        <v>5</v>
      </c>
      <c r="L3" s="1100" t="s">
        <v>2</v>
      </c>
      <c r="M3" s="1100" t="s">
        <v>3</v>
      </c>
      <c r="N3" s="1100" t="s">
        <v>4</v>
      </c>
      <c r="O3" s="1100" t="s">
        <v>5</v>
      </c>
      <c r="P3" s="1100" t="s">
        <v>2</v>
      </c>
      <c r="Q3" s="1100" t="s">
        <v>3</v>
      </c>
      <c r="R3" s="1100" t="s">
        <v>4</v>
      </c>
      <c r="S3" s="1100" t="s">
        <v>5</v>
      </c>
      <c r="T3" s="1100" t="s">
        <v>2</v>
      </c>
      <c r="U3" s="1100" t="s">
        <v>3</v>
      </c>
      <c r="V3" s="1100" t="s">
        <v>4</v>
      </c>
      <c r="W3" s="1100" t="s">
        <v>5</v>
      </c>
      <c r="X3" s="1100" t="s">
        <v>2</v>
      </c>
      <c r="Y3" s="1100" t="s">
        <v>3</v>
      </c>
      <c r="Z3" s="1100" t="s">
        <v>4</v>
      </c>
      <c r="AA3" s="1100" t="s">
        <v>5</v>
      </c>
      <c r="AB3" s="1100" t="s">
        <v>2</v>
      </c>
      <c r="AC3" s="1100" t="s">
        <v>3</v>
      </c>
      <c r="AD3" s="1100" t="s">
        <v>4</v>
      </c>
      <c r="AE3" s="1100" t="s">
        <v>5</v>
      </c>
    </row>
    <row r="4" spans="1:31">
      <c r="A4" s="3569" t="s">
        <v>310</v>
      </c>
      <c r="B4" s="3866" t="s">
        <v>201</v>
      </c>
      <c r="C4" s="1581" t="s">
        <v>312</v>
      </c>
      <c r="D4" s="1578">
        <f>MAXA(DO!E15:E48,DO!E71:E96,DO!E105:E128)</f>
        <v>9.5</v>
      </c>
      <c r="E4" s="1578">
        <f>MAXA(DO!F15:F48,DO!F71:F96,DO!F105:F128)</f>
        <v>8.4</v>
      </c>
      <c r="F4" s="1578">
        <f>MAXA(DO!G15:G48,DO!G71:G96,DO!G105:G128)</f>
        <v>9.43</v>
      </c>
      <c r="G4" s="1578">
        <f>MAXA(DO!H15:H48,DO!H71:H96,DO!H105:H128)</f>
        <v>17</v>
      </c>
      <c r="H4" s="1578">
        <f>MAXA(DO!I15:I48,DO!I71:I96,DO!I105:I128)</f>
        <v>10.83</v>
      </c>
      <c r="I4" s="1578">
        <f>MAXA(DO!J15:J48,DO!J71:J96,DO!J105:J128)</f>
        <v>11.2</v>
      </c>
      <c r="J4" s="1578">
        <f>MAXA(DO!K15:K48,DO!K71:K96,DO!K105:K128)</f>
        <v>8</v>
      </c>
      <c r="K4" s="1578">
        <f>MAXA(DO!L15:L48,DO!L71:L96,DO!L105:L128)</f>
        <v>7.83</v>
      </c>
      <c r="L4" s="1578">
        <f>MAXA(DO!M15:M48,DO!M71:M96,DO!M105:M128)</f>
        <v>8.33</v>
      </c>
      <c r="M4" s="1578">
        <f>MAXA(DO!N15:N48,DO!N71:N96,DO!N105:N128)</f>
        <v>8.15</v>
      </c>
      <c r="N4" s="1578">
        <f>MAXA(DO!P15:P48,DO!P71:P96,DO!O105:O128)</f>
        <v>12.55</v>
      </c>
      <c r="O4" s="1578" t="e">
        <f>MAXA(DO!#REF!,DO!#REF!,DO!P105:P128)</f>
        <v>#REF!</v>
      </c>
      <c r="P4" s="1578">
        <f>MAXA(DO!Q15:Q48,DO!Q71:Q96,DO!Q105:Q128)</f>
        <v>9.67</v>
      </c>
      <c r="Q4" s="1578">
        <f>MAXA(DO!R15:R48,DO!R71:R96,DO!R105:R128)</f>
        <v>358</v>
      </c>
      <c r="R4" s="1578">
        <f>MAXA(DO!S15:S48,DO!S71:S96,DO!S105:S128)</f>
        <v>7.73</v>
      </c>
      <c r="S4" s="1578">
        <f>MAXA(DO!T15:T48,DO!T71:T96,DO!T105:T128)</f>
        <v>7.8</v>
      </c>
      <c r="T4" s="1578">
        <f>MAXA(DO!AA15:AA48,DO!AA71:AA96,DO!AA105:AA128)</f>
        <v>5.8</v>
      </c>
      <c r="U4" s="1578">
        <f>MAXA(DO!AB15:AB48,DO!AB71:AB96,DO!AB105:AB128)</f>
        <v>5.33</v>
      </c>
      <c r="V4" s="1578">
        <f>MAXA(DO!AC15:AC48,DO!AC71:AC96,DO!AC105:AC128)</f>
        <v>8.1999999999999993</v>
      </c>
      <c r="W4" s="1578">
        <f>MAXA(DO!AD15:AD48,DO!AD71:AD96,DO!AD105:AD128)</f>
        <v>0</v>
      </c>
      <c r="X4" s="1578">
        <f>MAXA(DO!AE15:AE48,DO!AE71:AE96,DO!AE105:AE128)</f>
        <v>0</v>
      </c>
      <c r="Y4" s="1578">
        <f>MAXA(DO!AF15:AF48,DO!AF71:AF96,DO!AF105:AF128)</f>
        <v>0</v>
      </c>
      <c r="Z4" s="1578">
        <f>MAXA(DO!AG15:AG48,DO!AG71:AG96,DO!AG105:AG128)</f>
        <v>0</v>
      </c>
      <c r="AA4" s="1578">
        <f>MAXA(DO!AH15:AH48,DO!AH71:AH96,DO!AH105:AH128)</f>
        <v>0</v>
      </c>
      <c r="AB4" s="1578">
        <f>MAXA(DO!AI15:AI48,DO!AI71:AI96,DO!AI105:AI128)</f>
        <v>0</v>
      </c>
      <c r="AC4" s="1578">
        <f>MAXA(DO!AJ15:AJ48,DO!AJ71:AJ96,DO!AJ105:AJ128)</f>
        <v>0</v>
      </c>
      <c r="AD4" s="1578">
        <f>MAXA(DO!AK15:AK48,DO!AK71:AK96,DO!AK105:AK128)</f>
        <v>0</v>
      </c>
      <c r="AE4" s="1578">
        <f>MAXA(DO!AL15:AL48,DO!AL71:AL96,DO!AL105:AL128)</f>
        <v>0</v>
      </c>
    </row>
    <row r="5" spans="1:31" s="1560" customFormat="1">
      <c r="A5" s="3570"/>
      <c r="B5" s="3867"/>
      <c r="C5" s="1581" t="s">
        <v>313</v>
      </c>
      <c r="D5" s="1579">
        <f>MIN(DO!E15:E48,DO!E71:E96,DO!E105:E128)</f>
        <v>0</v>
      </c>
      <c r="E5" s="1579">
        <f>MIN(DO!F15:F48,DO!F71:F96,DO!F105:F128)</f>
        <v>0</v>
      </c>
      <c r="F5" s="1579">
        <f>MIN(DO!G15:G48,DO!G71:G96,DO!G105:G128)</f>
        <v>0</v>
      </c>
      <c r="G5" s="1579">
        <f>MIN(DO!H15:H48,DO!H71:H96,DO!H105:H128)</f>
        <v>0</v>
      </c>
      <c r="H5" s="1579">
        <f>MIN(DO!I15:I48,DO!I71:I96,DO!I105:I128)</f>
        <v>0</v>
      </c>
      <c r="I5" s="1579">
        <f>MIN(DO!J15:J48,DO!J71:J96,DO!J105:J128)</f>
        <v>0</v>
      </c>
      <c r="J5" s="1579">
        <f>MIN(DO!K15:K48,DO!K71:K96,DO!K105:K128)</f>
        <v>0</v>
      </c>
      <c r="K5" s="1579">
        <f>MIN(DO!L15:L48,DO!L71:L96,DO!L105:L128)</f>
        <v>0</v>
      </c>
      <c r="L5" s="1579">
        <f>MIN(DO!M15:M48,DO!M71:M96,DO!M105:M128)</f>
        <v>0</v>
      </c>
      <c r="M5" s="1579">
        <f>MIN(DO!N15:N48,DO!N71:N96,DO!N105:N128)</f>
        <v>0</v>
      </c>
      <c r="N5" s="1579">
        <f>MIN(DO!P15:P48,DO!P71:P96,DO!O105:O128)</f>
        <v>0.91</v>
      </c>
      <c r="O5" s="1579" t="e">
        <f>MIN(DO!#REF!,DO!#REF!,DO!P105:P128)</f>
        <v>#REF!</v>
      </c>
      <c r="P5" s="1579">
        <f>MIN(DO!Q15:Q48,DO!Q71:Q96,DO!Q105:Q128)</f>
        <v>0</v>
      </c>
      <c r="Q5" s="1579">
        <f>MIN(DO!R15:R48,DO!R71:R96,DO!R105:R128)</f>
        <v>0</v>
      </c>
      <c r="R5" s="1579">
        <f>MIN(DO!S15:S48,DO!S71:S96,DO!S105:S128)</f>
        <v>0</v>
      </c>
      <c r="S5" s="1579">
        <f>MIN(DO!T15:T48,DO!T71:T96,DO!T105:T128)</f>
        <v>0</v>
      </c>
      <c r="T5" s="1579">
        <f>MIN(DO!AA15:AA48,DO!AA71:AA96,DO!AA105:AA128)</f>
        <v>0</v>
      </c>
      <c r="U5" s="1579">
        <f>MIN(DO!AB15:AB48,DO!AB71:AB96,DO!AB105:AB128)</f>
        <v>0</v>
      </c>
      <c r="V5" s="1579">
        <f>MIN(DO!AC15:AC48,DO!AC71:AC96,DO!AC105:AC128)</f>
        <v>0</v>
      </c>
      <c r="W5" s="1579">
        <f>MIN(DO!AD15:AD48,DO!AD71:AD96,DO!AD105:AD128)</f>
        <v>0</v>
      </c>
      <c r="X5" s="1579">
        <f>MIN(DO!AE15:AE48,DO!AE71:AE96,DO!AE105:AE128)</f>
        <v>0</v>
      </c>
      <c r="Y5" s="1579">
        <f>MIN(DO!AF15:AF48,DO!AF71:AF96,DO!AF105:AF128)</f>
        <v>0</v>
      </c>
      <c r="Z5" s="1579">
        <f>MIN(DO!AG15:AG48,DO!AG71:AG96,DO!AG105:AG128)</f>
        <v>0</v>
      </c>
      <c r="AA5" s="1579">
        <f>MIN(DO!AH15:AH48,DO!AH71:AH96,DO!AH105:AH128)</f>
        <v>0</v>
      </c>
      <c r="AB5" s="1579">
        <f>MIN(DO!AI15:AI48,DO!AI71:AI96,DO!AI105:AI128)</f>
        <v>0</v>
      </c>
      <c r="AC5" s="1579">
        <f>MIN(DO!AJ15:AJ48,DO!AJ71:AJ96,DO!AJ105:AJ128)</f>
        <v>0</v>
      </c>
      <c r="AD5" s="1579">
        <f>MIN(DO!AK15:AK48,DO!AK71:AK96,DO!AK105:AK128)</f>
        <v>0</v>
      </c>
      <c r="AE5" s="1579">
        <f>MIN(DO!AL15:AL48,DO!AL71:AL96,DO!AL105:AL128)</f>
        <v>0</v>
      </c>
    </row>
    <row r="6" spans="1:31" s="1560" customFormat="1">
      <c r="A6" s="3570"/>
      <c r="B6" s="3868"/>
      <c r="C6" s="1581" t="s">
        <v>315</v>
      </c>
      <c r="D6" s="1579">
        <f>AVERAGE(DO!E15:E48,DO!E71:E96,DO!E105:E128)</f>
        <v>3.6197260273972605</v>
      </c>
      <c r="E6" s="1579">
        <f>AVERAGE(DO!F15:F48,DO!F71:F96,DO!F105:F128)</f>
        <v>2.8233783783783779</v>
      </c>
      <c r="F6" s="1579">
        <f>AVERAGE(DO!G15:G48,DO!G71:G96,DO!G105:G128)</f>
        <v>4.5233783783783794</v>
      </c>
      <c r="G6" s="1579">
        <f>AVERAGE(DO!H15:H48,DO!H71:H96,DO!H105:H128)</f>
        <v>4.7606756756756736</v>
      </c>
      <c r="H6" s="1579">
        <f>AVERAGE(DO!I15:I48,DO!I71:I96,DO!I105:I128)</f>
        <v>4.6302702702702714</v>
      </c>
      <c r="I6" s="1579">
        <f>AVERAGE(DO!J15:J48,DO!J71:J96,DO!J105:J128)</f>
        <v>3.443481012658228</v>
      </c>
      <c r="J6" s="1579">
        <f>AVERAGE(DO!K15:K48,DO!K71:K96,DO!K105:K128)</f>
        <v>3.07979746835443</v>
      </c>
      <c r="K6" s="1579">
        <f>AVERAGE(DO!L15:L48,DO!L71:L96,DO!L105:L128)</f>
        <v>2.8749367088607598</v>
      </c>
      <c r="L6" s="1579">
        <f>AVERAGE(DO!M15:M48,DO!M71:M96,DO!M105:M128)</f>
        <v>3.1112499999999996</v>
      </c>
      <c r="M6" s="1579">
        <f>AVERAGE(DO!N15:N48,DO!N71:N96,DO!N105:N128)</f>
        <v>2.945154761904762</v>
      </c>
      <c r="N6" s="1579">
        <f>AVERAGE(DO!P15:P48,DO!P71:P96,DO!O105:O128)</f>
        <v>4.8522641509433955</v>
      </c>
      <c r="O6" s="1579" t="e">
        <f>AVERAGE(DO!#REF!,DO!#REF!,DO!P105:P128)</f>
        <v>#REF!</v>
      </c>
      <c r="P6" s="1579">
        <f>AVERAGE(DO!Q15:Q48,DO!Q71:Q96,DO!Q105:Q128)</f>
        <v>2.5541772151898723</v>
      </c>
      <c r="Q6" s="1579">
        <f>AVERAGE(DO!R15:R48,DO!R71:R96,DO!R105:R128)</f>
        <v>6.7487341772151899</v>
      </c>
      <c r="R6" s="1579">
        <f>AVERAGE(DO!S15:S48,DO!S71:S96,DO!S105:S128)</f>
        <v>2.538734177215189</v>
      </c>
      <c r="S6" s="1579">
        <f>AVERAGE(DO!T15:T48,DO!T71:T96,DO!T105:T128)</f>
        <v>2.5470370370370365</v>
      </c>
      <c r="T6" s="1579">
        <f>AVERAGE(DO!AA15:AA48,DO!AA71:AA96,DO!AA105:AA128)</f>
        <v>2.08864406779661</v>
      </c>
      <c r="U6" s="1579">
        <f>AVERAGE(DO!AB15:AB48,DO!AB71:AB96,DO!AB105:AB128)</f>
        <v>1.9025423728813562</v>
      </c>
      <c r="V6" s="1579">
        <f>AVERAGE(DO!AC15:AC48,DO!AC71:AC96,DO!AC105:AC128)</f>
        <v>2.6995061728395058</v>
      </c>
      <c r="W6" s="1579" t="e">
        <f>AVERAGE(DO!AD15:AD48,DO!AD71:AD96,DO!AD105:AD128)</f>
        <v>#DIV/0!</v>
      </c>
      <c r="X6" s="1579" t="e">
        <f>AVERAGE(DO!AE15:AE48,DO!AE71:AE96,DO!AE105:AE128)</f>
        <v>#DIV/0!</v>
      </c>
      <c r="Y6" s="1579" t="e">
        <f>AVERAGE(DO!AF15:AF48,DO!AF71:AF96,DO!AF105:AF128)</f>
        <v>#DIV/0!</v>
      </c>
      <c r="Z6" s="1579" t="e">
        <f>AVERAGE(DO!AG15:AG48,DO!AG71:AG96,DO!AG105:AG128)</f>
        <v>#DIV/0!</v>
      </c>
      <c r="AA6" s="1579" t="e">
        <f>AVERAGE(DO!AH15:AH48,DO!AH71:AH96,DO!AH105:AH128)</f>
        <v>#DIV/0!</v>
      </c>
      <c r="AB6" s="1579" t="e">
        <f>AVERAGE(DO!AI15:AI48,DO!AI71:AI96,DO!AI105:AI128)</f>
        <v>#DIV/0!</v>
      </c>
      <c r="AC6" s="1579" t="e">
        <f>AVERAGE(DO!AJ15:AJ48,DO!AJ71:AJ96,DO!AJ105:AJ128)</f>
        <v>#DIV/0!</v>
      </c>
      <c r="AD6" s="1579" t="e">
        <f>AVERAGE(DO!AK15:AK48,DO!AK71:AK96,DO!AK105:AK128)</f>
        <v>#DIV/0!</v>
      </c>
      <c r="AE6" s="1579" t="e">
        <f>AVERAGE(DO!AL15:AL48,DO!AL71:AL96,DO!AL105:AL128)</f>
        <v>#DIV/0!</v>
      </c>
    </row>
    <row r="7" spans="1:31">
      <c r="A7" s="3570"/>
      <c r="B7" s="3866" t="s">
        <v>203</v>
      </c>
      <c r="C7" s="1581" t="s">
        <v>312</v>
      </c>
      <c r="D7" s="1579">
        <f>MAX(BOD!D13:D46,BOD!D69:D94,BOD!D101:D124)</f>
        <v>98</v>
      </c>
      <c r="E7" s="1579">
        <f>MAX(BOD!E13:E46,BOD!E69:E94,BOD!E101:E124)</f>
        <v>65</v>
      </c>
      <c r="F7" s="1579">
        <f>MAX(BOD!F13:F46,BOD!F69:F94,BOD!F101:F124)</f>
        <v>163.5</v>
      </c>
      <c r="G7" s="1579">
        <f>MAX(BOD!G13:G46,BOD!G69:G94,BOD!G101:G124)</f>
        <v>80.5</v>
      </c>
      <c r="H7" s="1579">
        <f>MAX(BOD!H13:H46,BOD!H69:H94,BOD!H101:H124)</f>
        <v>141</v>
      </c>
      <c r="I7" s="1579">
        <f>MAX(BOD!I13:I46,BOD!I69:I94,BOD!I101:I124)</f>
        <v>178</v>
      </c>
      <c r="J7" s="1579">
        <f>MAX(BOD!J13:J46,BOD!J69:J94,BOD!J101:J124)</f>
        <v>76</v>
      </c>
      <c r="K7" s="1579">
        <f>MAX(BOD!K13:K46,BOD!K69:K94,BOD!K101:K124)</f>
        <v>118.66</v>
      </c>
      <c r="L7" s="1579">
        <f>MAX(BOD!L13:L46,BOD!L69:L94,BOD!L101:L124)</f>
        <v>113</v>
      </c>
      <c r="M7" s="1579">
        <f>MAX(BOD!M13:M46,BOD!M69:M94,BOD!M101:M124)</f>
        <v>121</v>
      </c>
      <c r="N7" s="1579">
        <f>MAX(BOD!N13:N46,BOD!N69:N94,BOD!N101:N124)</f>
        <v>166</v>
      </c>
      <c r="O7" s="1579">
        <f>MAX(BOD!O13:O46,BOD!O69:O94,BOD!O101:O124)</f>
        <v>112.67</v>
      </c>
      <c r="P7" s="1579">
        <f>MAX(BOD!P13:P46,BOD!P69:P94,BOD!P101:P124)</f>
        <v>180</v>
      </c>
      <c r="Q7" s="1579">
        <f>MAX(BOD!Q13:Q46,BOD!Q69:Q94,BOD!Q101:Q124)</f>
        <v>339</v>
      </c>
      <c r="R7" s="1579">
        <f>MAX(BOD!R13:R46,BOD!R69:R94,BOD!R101:R124)</f>
        <v>94</v>
      </c>
      <c r="S7" s="1579">
        <f>MAX(BOD!S13:S46,BOD!S69:S94,BOD!S101:S124)</f>
        <v>125.5</v>
      </c>
      <c r="T7" s="1579">
        <f>MAX(BOD!X13:X46,BOD!X69:X94,BOD!X101:X124)</f>
        <v>378</v>
      </c>
      <c r="U7" s="1579">
        <f>MAX(BOD!AO13:AO46,BOD!Y69:Y94,BOD!Y101:Y124)</f>
        <v>600</v>
      </c>
      <c r="V7" s="1579">
        <f>MAX(BOD!Z13:Z46,BOD!Z69:Z94,BOD!Z101:Z124)</f>
        <v>990</v>
      </c>
      <c r="W7" s="1579">
        <f>MAX(BOD!AA13:AA46,BOD!AA69:AA94,BOD!AA101:AA124)</f>
        <v>567</v>
      </c>
      <c r="X7" s="1579">
        <f>MAX(BOD!AF13:AF46,BOD!AF53:AF78,BOD!AF85:AF108)</f>
        <v>0</v>
      </c>
      <c r="Y7" s="1579">
        <f>MAX(BOD!AG13:AG46,BOD!AG53:AG78,BOD!AG85:AG108)</f>
        <v>0</v>
      </c>
      <c r="Z7" s="1579">
        <f>MAX(BOD!AH13:AH46,BOD!AH63:AH78,BOD!AH85:AH108)</f>
        <v>0</v>
      </c>
      <c r="AA7" s="1579">
        <f>MAX(BOD!AI13:AI46,BOD!AI53:AI78,BOD!AI85:AI108)</f>
        <v>0</v>
      </c>
      <c r="AB7" s="1579">
        <f>MAX(BOD!AJ13:AJ46,BOD!AJ53:AJ78,BOD!AJ85:AJ108)</f>
        <v>0</v>
      </c>
      <c r="AC7" s="1579">
        <f>MAX(BOD!AK13:AK46,BOD!AK53:AK78,BOD!AK85:AK108)</f>
        <v>0</v>
      </c>
      <c r="AD7" s="1579">
        <f>MAX(BOD!AL13:AL46,BOD!AL53:AL78,BOD!AL85:AL108)</f>
        <v>0</v>
      </c>
      <c r="AE7" s="1579">
        <f>MAX(BOD!AM13:AM46,BOD!AM53:AM78,BOD!AM85:AM108)</f>
        <v>0</v>
      </c>
    </row>
    <row r="8" spans="1:31" s="1560" customFormat="1">
      <c r="A8" s="3570"/>
      <c r="B8" s="3867"/>
      <c r="C8" s="1581" t="s">
        <v>313</v>
      </c>
      <c r="D8" s="1579">
        <f>MIN(BOD!D13:D46,BOD!D69:D94,BOD!D101:D124)</f>
        <v>1</v>
      </c>
      <c r="E8" s="1579">
        <f>MIN(BOD!E13:E46,BOD!E69:E94,BOD!E101:E124)</f>
        <v>1</v>
      </c>
      <c r="F8" s="1579">
        <f>MIN(BOD!F13:F46,BOD!F69:F94,BOD!F101:F124)</f>
        <v>1</v>
      </c>
      <c r="G8" s="1579">
        <f>MIN(BOD!G13:G46,BOD!G69:G94,BOD!G101:G124)</f>
        <v>1</v>
      </c>
      <c r="H8" s="1579">
        <f>MIN(BOD!H13:H46,BOD!H69:H94,BOD!H101:H124)</f>
        <v>1</v>
      </c>
      <c r="I8" s="1579">
        <f>MIN(BOD!I13:I46,BOD!I69:I94,BOD!I101:I124)</f>
        <v>0.5</v>
      </c>
      <c r="J8" s="1579">
        <f>MIN(BOD!J13:J46,BOD!J69:J94,BOD!J101:J124)</f>
        <v>1</v>
      </c>
      <c r="K8" s="1579">
        <f>MIN(BOD!K13:K46,BOD!K69:K94,BOD!K101:K124)</f>
        <v>1</v>
      </c>
      <c r="L8" s="1579">
        <f>MIN(BOD!L13:L46,BOD!L69:L94,BOD!L101:L124)</f>
        <v>1</v>
      </c>
      <c r="M8" s="1579">
        <f>MIN(BOD!M13:M46,BOD!M69:M94,BOD!M101:M124)</f>
        <v>1</v>
      </c>
      <c r="N8" s="1579">
        <f>MIN(BOD!N13:N46,BOD!N69:N94,BOD!N101:N124)</f>
        <v>1</v>
      </c>
      <c r="O8" s="1579">
        <f>MIN(BOD!O13:O46,BOD!O69:O94,BOD!O101:O124)</f>
        <v>2</v>
      </c>
      <c r="P8" s="1579">
        <f>MIN(BOD!P13:P46,BOD!P69:P94,BOD!P101:P124)</f>
        <v>0.96</v>
      </c>
      <c r="Q8" s="1579">
        <f>MIN(BOD!Q13:Q46,BOD!Q69:Q94,BOD!Q101:Q124)</f>
        <v>2</v>
      </c>
      <c r="R8" s="1579">
        <f>MIN(BOD!R13:R46,BOD!R69:R94,BOD!R101:R124)</f>
        <v>1</v>
      </c>
      <c r="S8" s="1579">
        <f>MIN(BOD!S13:S46,BOD!S69:S94,BOD!S101:S124)</f>
        <v>1</v>
      </c>
      <c r="T8" s="1579">
        <f>MIN(BOD!X13:X46,BOD!X69:X94,BOD!X101:X124)</f>
        <v>1</v>
      </c>
      <c r="U8" s="1579">
        <f>MIN(BOD!AO13:AO46,BOD!Y69:Y94,BOD!Y101:Y124)</f>
        <v>1</v>
      </c>
      <c r="V8" s="1579">
        <f>MIN(BOD!Z13:Z46,BOD!Z69:Z94,BOD!Z101:Z124)</f>
        <v>1</v>
      </c>
      <c r="W8" s="1579">
        <f>MIN(BOD!AA13:AA46,BOD!AA69:AA94,BOD!AA101:AA124)</f>
        <v>1</v>
      </c>
      <c r="X8" s="1579">
        <f>MIN(BOD!AF13:AF46,BOD!AF53:AF78,BOD!AF85:AF108)</f>
        <v>0</v>
      </c>
      <c r="Y8" s="1579">
        <f>MIN(BOD!AG13:AG46,BOD!AG53:AG78,BOD!AG85:AG108)</f>
        <v>0</v>
      </c>
      <c r="Z8" s="1579">
        <f>MIN(BOD!AH13:AH46,BOD!AH63:AH78,BOD!AH85:AH108)</f>
        <v>0</v>
      </c>
      <c r="AA8" s="1579">
        <f>MIN(BOD!AI13:AI46,BOD!AI53:AI78,BOD!AI85:AI108)</f>
        <v>0</v>
      </c>
      <c r="AB8" s="1579">
        <f>MIN(BOD!AJ13:AJ46,BOD!AJ53:AJ78,BOD!AJ85:AJ108)</f>
        <v>0</v>
      </c>
      <c r="AC8" s="1579">
        <f>MIN(BOD!AK13:AK46,BOD!AK53:AK78,BOD!AK85:AK108)</f>
        <v>0</v>
      </c>
      <c r="AD8" s="1579">
        <f>MIN(BOD!AL13:AL46,BOD!AL53:AL78,BOD!AL85:AL108)</f>
        <v>0</v>
      </c>
      <c r="AE8" s="1579">
        <f>MIN(BOD!AM13:AM46,BOD!AM53:AM78,BOD!AM85:AM108)</f>
        <v>0</v>
      </c>
    </row>
    <row r="9" spans="1:31" s="1560" customFormat="1">
      <c r="A9" s="3570"/>
      <c r="B9" s="3868"/>
      <c r="C9" s="1581" t="s">
        <v>315</v>
      </c>
      <c r="D9" s="1579">
        <f>AVERAGE(BOD!D13:D46,BOD!D69:D94,BOD!D101:D124)</f>
        <v>23.743698630136993</v>
      </c>
      <c r="E9" s="1579">
        <f>AVERAGE(BOD!E13:E46,BOD!E69:E94,BOD!E101:E124)</f>
        <v>18.390136986301371</v>
      </c>
      <c r="F9" s="1579">
        <f>AVERAGE(BOD!F13:F46,BOD!F69:F94,BOD!F101:F124)</f>
        <v>17.725405405405411</v>
      </c>
      <c r="G9" s="1579">
        <f>AVERAGE(BOD!G13:G46,BOD!G69:G94,BOD!G101:G124)</f>
        <v>17.186486486486487</v>
      </c>
      <c r="H9" s="1579">
        <f>AVERAGE(BOD!H13:H46,BOD!H69:H94,BOD!H101:H124)</f>
        <v>26.845810810810811</v>
      </c>
      <c r="I9" s="1579">
        <f>AVERAGE(BOD!I13:I46,BOD!I69:I94,BOD!I101:I124)</f>
        <v>23.534177215189874</v>
      </c>
      <c r="J9" s="1579">
        <f>AVERAGE(BOD!J13:J46,BOD!J69:J94,BOD!J101:J124)</f>
        <v>16.444810126582276</v>
      </c>
      <c r="K9" s="1579">
        <f>AVERAGE(BOD!K13:K46,BOD!K69:K94,BOD!K101:K124)</f>
        <v>22.867468354430375</v>
      </c>
      <c r="L9" s="1579">
        <f>AVERAGE(BOD!L13:L46,BOD!L69:L94,BOD!L101:L124)</f>
        <v>25.1265</v>
      </c>
      <c r="M9" s="1579">
        <f>AVERAGE(BOD!M13:M46,BOD!M69:M94,BOD!M101:M124)</f>
        <v>24.789642857142855</v>
      </c>
      <c r="N9" s="1579">
        <f>AVERAGE(BOD!N13:N46,BOD!N69:N94,BOD!N101:N124)</f>
        <v>24.860952380952384</v>
      </c>
      <c r="O9" s="1579">
        <f>AVERAGE(BOD!O13:O46,BOD!O69:O94,BOD!O101:O124)</f>
        <v>15.222452830188681</v>
      </c>
      <c r="P9" s="1579">
        <f>AVERAGE(BOD!P13:P46,BOD!P69:P94,BOD!P101:P124)</f>
        <v>36.580263157894741</v>
      </c>
      <c r="Q9" s="1579">
        <f>AVERAGE(BOD!Q13:Q46,BOD!Q69:Q94,BOD!Q101:Q124)</f>
        <v>30.364999999999998</v>
      </c>
      <c r="R9" s="1579">
        <f>AVERAGE(BOD!R13:R46,BOD!R69:R94,BOD!R101:R124)</f>
        <v>20.935189873417706</v>
      </c>
      <c r="S9" s="1579">
        <f>AVERAGE(BOD!S13:S46,BOD!S69:S94,BOD!S101:S124)</f>
        <v>25.211666666666662</v>
      </c>
      <c r="T9" s="1579">
        <f>AVERAGE(BOD!X13:X46,BOD!X69:X94,BOD!X101:X124)</f>
        <v>40.149036144578311</v>
      </c>
      <c r="U9" s="1579">
        <f>AVERAGE(BOD!AO13:AO46,BOD!Y69:Y94,BOD!Y101:Y124)</f>
        <v>42.598979591836745</v>
      </c>
      <c r="V9" s="1579">
        <f>AVERAGE(BOD!Z13:Z46,BOD!Z69:Z94,BOD!Z101:Z124)</f>
        <v>37.717764227642277</v>
      </c>
      <c r="W9" s="1579">
        <f>AVERAGE(BOD!AA13:AA46,BOD!AA69:AA94,BOD!AA101:AA124)</f>
        <v>42.933734939759042</v>
      </c>
      <c r="X9" s="1579" t="e">
        <f>AVERAGE(BOD!AF13:AF46,BOD!AF53:AF78,BOD!AF85:AF108)</f>
        <v>#DIV/0!</v>
      </c>
      <c r="Y9" s="1579" t="e">
        <f>AVERAGE(BOD!AG13:AG46,BOD!AG53:AG78,BOD!AG85:AG108)</f>
        <v>#DIV/0!</v>
      </c>
      <c r="Z9" s="1579" t="e">
        <f>AVERAGE(BOD!AH13:AH46,BOD!AH63:AH78,BOD!AH85:AH108)</f>
        <v>#DIV/0!</v>
      </c>
      <c r="AA9" s="1579" t="e">
        <f>AVERAGE(BOD!AI13:AI46,BOD!AI53:AI78,BOD!AI85:AI108)</f>
        <v>#DIV/0!</v>
      </c>
      <c r="AB9" s="1579" t="e">
        <f>AVERAGE(BOD!AJ13:AJ46,BOD!AJ53:AJ78,BOD!AJ85:AJ108)</f>
        <v>#DIV/0!</v>
      </c>
      <c r="AC9" s="1579" t="e">
        <f>AVERAGE(BOD!AK13:AK46,BOD!AK53:AK78,BOD!AK85:AK108)</f>
        <v>#DIV/0!</v>
      </c>
      <c r="AD9" s="1579" t="e">
        <f>AVERAGE(BOD!AL13:AL46,BOD!AL53:AL78,BOD!AL85:AL108)</f>
        <v>#DIV/0!</v>
      </c>
      <c r="AE9" s="1579" t="e">
        <f>AVERAGE(BOD!AM13:AM46,BOD!AM53:AM78,BOD!AM85:AM108)</f>
        <v>#DIV/0!</v>
      </c>
    </row>
    <row r="10" spans="1:31">
      <c r="A10" s="3570"/>
      <c r="B10" s="3866" t="s">
        <v>204</v>
      </c>
      <c r="C10" s="1581" t="s">
        <v>312</v>
      </c>
      <c r="D10" s="1579">
        <f>MAX(TSS!D13:D46,TSS!D69:D94,TSS!D101:D124)</f>
        <v>79.67</v>
      </c>
      <c r="E10" s="1579">
        <f>MAX(TSS!E13:E46,TSS!E69:E94,TSS!E101:E124)</f>
        <v>98.33</v>
      </c>
      <c r="F10" s="1579">
        <f>MAX(TSS!F13:F46,TSS!F69:F94,TSS!F101:F124)</f>
        <v>293</v>
      </c>
      <c r="G10" s="1579">
        <f>MAX(TSS!G13:G46,TSS!G69:G94,TSS!G101:G124)</f>
        <v>361</v>
      </c>
      <c r="H10" s="1579">
        <f>MAX(TSS!H13:H46,TSS!H69:H94,TSS!H101:H124)</f>
        <v>88</v>
      </c>
      <c r="I10" s="1579">
        <f>MAX(TSS!I13:I46,TSS!I69:I94,TSS!I101:I124)</f>
        <v>837</v>
      </c>
      <c r="J10" s="1579">
        <f>MAX(TSS!J13:J46,TSS!J69:J94,TSS!J101:J124)</f>
        <v>311</v>
      </c>
      <c r="K10" s="1579">
        <f>MAX(TSS!K13:K46,TSS!K69:K94,TSS!K101:K124)</f>
        <v>60</v>
      </c>
      <c r="L10" s="1579">
        <f>MAX(TSS!L13:L46,TSS!L69:L94,TSS!L101:L124)</f>
        <v>150</v>
      </c>
      <c r="M10" s="1579">
        <f>MAX(TSS!M13:M46,TSS!M69:M94,TSS!M101:M124)</f>
        <v>142.66999999999999</v>
      </c>
      <c r="N10" s="1579">
        <f>MAX(TSS!N13:N46,TSS!N69:N94,TSS!N101:N124)</f>
        <v>341.33</v>
      </c>
      <c r="O10" s="1579">
        <f>MAX(TSS!O13:O46,TSS!O69:O94,TSS!O101:O124)</f>
        <v>335</v>
      </c>
      <c r="P10" s="1579">
        <f>MAX(TSS!P13:P46,TSS!P69:P94,TSS!P101:P124)</f>
        <v>137.33000000000001</v>
      </c>
      <c r="Q10" s="1579">
        <f>MAX(TSS!Q13:Q46,TSS!Q69:Q94,TSS!Q101:Q124)</f>
        <v>358</v>
      </c>
      <c r="R10" s="1579">
        <f>MAX(TSS!R13:R46,TSS!R69:R94,TSS!R101:R124)</f>
        <v>275</v>
      </c>
      <c r="S10" s="1579">
        <f>MAX(TSS!S13:S46,TSS!S69:S94,TSS!S101:S124)</f>
        <v>96.6</v>
      </c>
      <c r="T10" s="1579">
        <f>MAX(TSS!X13:X46,TSS!X69:X94,TSS!X101:X124)</f>
        <v>114</v>
      </c>
      <c r="U10" s="1579">
        <f>MAX(TSS!Y13:Y46,TSS!Y69:Y94,TSS!Y101:Y124)</f>
        <v>135</v>
      </c>
      <c r="V10" s="1579">
        <f>MAX(TSS!Z13:Z46,TSS!Z69:Z94,TSS!Z101:Z124)</f>
        <v>125.67</v>
      </c>
      <c r="W10" s="1579">
        <f>MAX(TSS!AA13:AA46,TSS!AA69:AA94,TSS!AA101:AA124)</f>
        <v>109</v>
      </c>
      <c r="X10" s="1579">
        <f>MAX(TSS!AB13:AB46,TSS!AB53:AB78,TSS!AB85:AB108)</f>
        <v>133</v>
      </c>
      <c r="Y10" s="1579" t="e">
        <f>MAX(TSS!AC13:AC46,TSS!AC53:AC78,TSS!AC85:AC108)</f>
        <v>#DIV/0!</v>
      </c>
      <c r="Z10" s="1579" t="e">
        <f>MAX(TSS!AD13:AD46,TSS!AD53:AD78,TSS!AD85:AD108)</f>
        <v>#DIV/0!</v>
      </c>
      <c r="AA10" s="1579" t="e">
        <f>MAX(TSS!AE13:AE46,TSS!AE53:AE78,TSS!AE85:AE108)</f>
        <v>#DIV/0!</v>
      </c>
      <c r="AB10" s="1579">
        <f>MAX(TSS!AF13:AF46,TSS!AF53:AF78,TSS!AF85:AF108)</f>
        <v>0</v>
      </c>
      <c r="AC10" s="1579">
        <f>MAX(TSS!AG13:AG46,TSS!AG53:AG78,TSS!AG85:AG108)</f>
        <v>0</v>
      </c>
      <c r="AD10" s="1579">
        <f>MAX(TSS!AH13:AH46,TSS!AH53:AH78,TSS!AH85:AH108)</f>
        <v>0</v>
      </c>
      <c r="AE10" s="1579">
        <f>MAX(TSS!AI13:AI46,TSS!AI53:AI78,TSS!AI85:AI108)</f>
        <v>0</v>
      </c>
    </row>
    <row r="11" spans="1:31" s="1560" customFormat="1">
      <c r="A11" s="3570"/>
      <c r="B11" s="3867"/>
      <c r="C11" s="1581" t="s">
        <v>313</v>
      </c>
      <c r="D11" s="1579">
        <f>MIN(TSS!D13:D46,TSS!D69:D94,TSS!D101:D124)</f>
        <v>2</v>
      </c>
      <c r="E11" s="1579">
        <f>MIN(TSS!E13:E46,TSS!E69:E94,TSS!E101:E124)</f>
        <v>1</v>
      </c>
      <c r="F11" s="1579">
        <f>MIN(TSS!F13:F46,TSS!F69:F94,TSS!F101:F124)</f>
        <v>3</v>
      </c>
      <c r="G11" s="1579">
        <f>MIN(TSS!G13:G46,TSS!G69:G94,TSS!G101:G124)</f>
        <v>10</v>
      </c>
      <c r="H11" s="1579">
        <f>MIN(TSS!H13:H46,TSS!H69:H94,TSS!H101:H124)</f>
        <v>3</v>
      </c>
      <c r="I11" s="1579">
        <f>MIN(TSS!I13:I46,TSS!I69:I94,TSS!I101:I124)</f>
        <v>1</v>
      </c>
      <c r="J11" s="1579">
        <f>MIN(TSS!J13:J46,TSS!J69:J94,TSS!J101:J124)</f>
        <v>3</v>
      </c>
      <c r="K11" s="1579">
        <f>MIN(TSS!K13:K46,TSS!K69:K94,TSS!K101:K124)</f>
        <v>2.66</v>
      </c>
      <c r="L11" s="1579">
        <f>MIN(TSS!L13:L46,TSS!L69:L94,TSS!L101:L124)</f>
        <v>2</v>
      </c>
      <c r="M11" s="1579">
        <f>MIN(TSS!M13:M46,TSS!M69:M94,TSS!M101:M124)</f>
        <v>2</v>
      </c>
      <c r="N11" s="1579">
        <f>MIN(TSS!N13:N46,TSS!N69:N94,TSS!N101:N124)</f>
        <v>1</v>
      </c>
      <c r="O11" s="1579">
        <f>MIN(TSS!O13:O46,TSS!O69:O94,TSS!O101:O124)</f>
        <v>4</v>
      </c>
      <c r="P11" s="1579">
        <f>MIN(TSS!P13:P46,TSS!P69:P94,TSS!P101:P124)</f>
        <v>2</v>
      </c>
      <c r="Q11" s="1579">
        <f>MIN(TSS!Q13:Q46,TSS!Q69:Q94,TSS!Q101:Q124)</f>
        <v>5.5</v>
      </c>
      <c r="R11" s="1579">
        <f>MIN(TSS!R13:R46,TSS!R69:R94,TSS!R101:R124)</f>
        <v>3</v>
      </c>
      <c r="S11" s="1579">
        <f>MIN(TSS!S13:S46,TSS!S69:S94,TSS!S101:S124)</f>
        <v>0.95</v>
      </c>
      <c r="T11" s="1579">
        <f>MIN(TSS!X13:X46,TSS!X69:X94,TSS!X101:X124)</f>
        <v>3</v>
      </c>
      <c r="U11" s="1579">
        <f>MIN(TSS!Y13:Y46,TSS!Y69:Y94,TSS!Y101:Y124)</f>
        <v>2</v>
      </c>
      <c r="V11" s="1579">
        <f>MIN(TSS!Z13:Z46,TSS!Z69:Z94,TSS!Z101:Z124)</f>
        <v>7.33</v>
      </c>
      <c r="W11" s="1579">
        <f>MIN(TSS!AA13:AA46,TSS!AA69:AA94,TSS!AA101:AA124)</f>
        <v>3.5</v>
      </c>
      <c r="X11" s="1579">
        <f>MIN(TSS!AB13:AB46,TSS!AB53:AB78,TSS!AB85:AB108)</f>
        <v>0.90909090909090906</v>
      </c>
      <c r="Y11" s="1579" t="e">
        <f>MIN(TSS!AC13:AC46,TSS!AC53:AC78,TSS!AC85:AC108)</f>
        <v>#DIV/0!</v>
      </c>
      <c r="Z11" s="1579" t="e">
        <f>MIN(TSS!AD13:AD46,TSS!AD53:AD78,TSS!AD85:AD108)</f>
        <v>#DIV/0!</v>
      </c>
      <c r="AA11" s="1579" t="e">
        <f>MIN(TSS!AE13:AE46,TSS!AE53:AE78,TSS!AE85:AE108)</f>
        <v>#DIV/0!</v>
      </c>
      <c r="AB11" s="1579">
        <f>MIN(TSS!AF13:AF46,TSS!AF53:AF78,TSS!AF85:AF108)</f>
        <v>0</v>
      </c>
      <c r="AC11" s="1579">
        <f>MIN(TSS!AG13:AG46,TSS!AG53:AG78,TSS!AG85:AG108)</f>
        <v>0</v>
      </c>
      <c r="AD11" s="1579">
        <f>MIN(TSS!AH13:AH46,TSS!AH53:AH78,TSS!AH85:AH108)</f>
        <v>0</v>
      </c>
      <c r="AE11" s="1579">
        <f>MIN(TSS!AI13:AI46,TSS!AI53:AI78,TSS!AI85:AI108)</f>
        <v>0</v>
      </c>
    </row>
    <row r="12" spans="1:31" s="1560" customFormat="1">
      <c r="A12" s="3570"/>
      <c r="B12" s="3868"/>
      <c r="C12" s="1581" t="s">
        <v>315</v>
      </c>
      <c r="D12" s="1579">
        <f>AVERAGE(TSS!D13:D46,TSS!D69:D94,TSS!D101:D124)</f>
        <v>26.231285714285718</v>
      </c>
      <c r="E12" s="1579">
        <f>AVERAGE(TSS!E13:E46,TSS!E69:E94,TSS!E101:E124)</f>
        <v>27.025774647887324</v>
      </c>
      <c r="F12" s="1579">
        <f>AVERAGE(TSS!F13:F46,TSS!F69:F94,TSS!F101:F124)</f>
        <v>46.822027027027026</v>
      </c>
      <c r="G12" s="1579">
        <f>AVERAGE(TSS!G13:G46,TSS!G69:G94,TSS!G101:G124)</f>
        <v>54.483648648648654</v>
      </c>
      <c r="H12" s="1579">
        <f>AVERAGE(TSS!H13:H46,TSS!H69:H94,TSS!H101:H124)</f>
        <v>23.99027397260274</v>
      </c>
      <c r="I12" s="1579">
        <f>AVERAGE(TSS!I13:I46,TSS!I69:I94,TSS!I101:I124)</f>
        <v>47.435316455696203</v>
      </c>
      <c r="J12" s="1579">
        <f>AVERAGE(TSS!J13:J46,TSS!J69:J94,TSS!J101:J124)</f>
        <v>47.893037974683523</v>
      </c>
      <c r="K12" s="1579">
        <f>AVERAGE(TSS!K13:K46,TSS!K69:K94,TSS!K101:K124)</f>
        <v>24.079493670886073</v>
      </c>
      <c r="L12" s="1579">
        <f>AVERAGE(TSS!L13:L46,TSS!L69:L94,TSS!L101:L124)</f>
        <v>34.664874999999995</v>
      </c>
      <c r="M12" s="1579">
        <f>AVERAGE(TSS!M13:M46,TSS!M69:M94,TSS!M101:M124)</f>
        <v>29.893333333333334</v>
      </c>
      <c r="N12" s="1579">
        <f>AVERAGE(TSS!N13:N46,TSS!N69:N94,TSS!N101:N124)</f>
        <v>38.079285714285703</v>
      </c>
      <c r="O12" s="1579">
        <f>AVERAGE(TSS!O13:O46,TSS!O69:O94,TSS!O101:O124)</f>
        <v>45.946981132075464</v>
      </c>
      <c r="P12" s="1579">
        <f>AVERAGE(TSS!P13:P46,TSS!P69:P94,TSS!P101:P124)</f>
        <v>28.231898734177207</v>
      </c>
      <c r="Q12" s="1579">
        <f>AVERAGE(TSS!Q13:Q46,TSS!Q69:Q94,TSS!Q101:Q124)</f>
        <v>35.225000000000001</v>
      </c>
      <c r="R12" s="1579">
        <f>AVERAGE(TSS!R13:R46,TSS!R69:R94,TSS!R101:R124)</f>
        <v>36.712531645569619</v>
      </c>
      <c r="S12" s="1579">
        <f>AVERAGE(TSS!S13:S46,TSS!S69:S94,TSS!S101:S124)</f>
        <v>28.267499999999981</v>
      </c>
      <c r="T12" s="1579">
        <f>AVERAGE(TSS!X13:X46,TSS!X69:X94,TSS!X101:X124)</f>
        <v>22.15220779220779</v>
      </c>
      <c r="U12" s="1579">
        <f>AVERAGE(TSS!Y13:Y46,TSS!Y69:Y94,TSS!Y101:Y124)</f>
        <v>37.982368421052627</v>
      </c>
      <c r="V12" s="1579">
        <f>AVERAGE(TSS!Z13:Z46,TSS!Z69:Z94,TSS!Z101:Z124)</f>
        <v>32.109375</v>
      </c>
      <c r="W12" s="1579">
        <f>AVERAGE(TSS!AA13:AA46,TSS!AA69:AA94,TSS!AA101:AA124)</f>
        <v>31.891144278606955</v>
      </c>
      <c r="X12" s="1579">
        <f>AVERAGE(TSS!AB13:AB46,TSS!AB53:AB78,TSS!AB85:AB108)</f>
        <v>30.096654545454541</v>
      </c>
      <c r="Y12" s="1579" t="e">
        <f>AVERAGE(TSS!AC13:AC46,TSS!AC53:AC78,TSS!AC85:AC108)</f>
        <v>#DIV/0!</v>
      </c>
      <c r="Z12" s="1579" t="e">
        <f>AVERAGE(TSS!AD13:AD46,TSS!AD53:AD78,TSS!AD85:AD108)</f>
        <v>#DIV/0!</v>
      </c>
      <c r="AA12" s="1579" t="e">
        <f>AVERAGE(TSS!AE13:AE46,TSS!AE53:AE78,TSS!AE85:AE108)</f>
        <v>#DIV/0!</v>
      </c>
      <c r="AB12" s="1579" t="e">
        <f>AVERAGE(TSS!AF13:AF46,TSS!AF53:AF78,TSS!AF85:AF108)</f>
        <v>#DIV/0!</v>
      </c>
      <c r="AC12" s="1579" t="e">
        <f>AVERAGE(TSS!AG13:AG46,TSS!AG53:AG78,TSS!AG85:AG108)</f>
        <v>#DIV/0!</v>
      </c>
      <c r="AD12" s="1579" t="e">
        <f>AVERAGE(TSS!AH13:AH46,TSS!AH53:AH78,TSS!AH85:AH108)</f>
        <v>#DIV/0!</v>
      </c>
      <c r="AE12" s="1579" t="e">
        <f>AVERAGE(TSS!AI13:AI46,TSS!AI53:AI78,TSS!AI85:AI108)</f>
        <v>#DIV/0!</v>
      </c>
    </row>
    <row r="13" spans="1:31">
      <c r="A13" s="3570"/>
      <c r="B13" s="3866" t="s">
        <v>199</v>
      </c>
      <c r="C13" s="1581" t="s">
        <v>312</v>
      </c>
      <c r="D13" s="1579">
        <f>MAX(pH!D12:D45,pH!D68:D93,pH!D99:D122)</f>
        <v>9.31</v>
      </c>
      <c r="E13" s="1579">
        <f>MAX(pH!E12:E45,pH!E68:E93,pH!E99:E122)</f>
        <v>8</v>
      </c>
      <c r="F13" s="1579">
        <f>MAX(pH!F12:F45,pH!F68:F93,pH!F99:F122)</f>
        <v>8.4</v>
      </c>
      <c r="G13" s="1579">
        <f>MAX(pH!G12:G45,pH!G68:G93,pH!G99:G122)</f>
        <v>8.59</v>
      </c>
      <c r="H13" s="1579">
        <f>MAX(pH!H12:H45,pH!H68:H93,pH!H99:H122)</f>
        <v>9.44</v>
      </c>
      <c r="I13" s="1579">
        <f>MAX(pH!I12:I45,pH!I68:I93,pH!I99:I122)</f>
        <v>8.86</v>
      </c>
      <c r="J13" s="1579">
        <f>MAX(pH!J12:J45,pH!J68:J93,pH!J99:J122)</f>
        <v>9.64</v>
      </c>
      <c r="K13" s="1579">
        <f>MAX(pH!K12:K45,pH!K68:K93,pH!K99:K122)</f>
        <v>20.94</v>
      </c>
      <c r="L13" s="1579">
        <f>MAX(pH!L12:L45,pH!L68:L93,pH!L99:L122)</f>
        <v>9.33</v>
      </c>
      <c r="M13" s="1579">
        <f>MAX(pH!M12:M45,pH!M68:M93,pH!M99:M122)</f>
        <v>8.9</v>
      </c>
      <c r="N13" s="1579">
        <f>MAX(pH!N12:N45,pH!N68:N93,pH!N99:N122)</f>
        <v>10.5</v>
      </c>
      <c r="O13" s="1579">
        <f>MAX(pH!O12:O45,pH!O68:O93,pH!O99:O122)</f>
        <v>8.4600000000000009</v>
      </c>
      <c r="P13" s="1579">
        <f>MAX(pH!P12:P45,pH!P68:P93,pH!P99:P122)</f>
        <v>8.81</v>
      </c>
      <c r="Q13" s="1579">
        <f>MAX(pH!Q12:Q45,pH!Q68:Q93,pH!Q99:Q122)</f>
        <v>8.5399999999999991</v>
      </c>
      <c r="R13" s="1579">
        <f>MAX(pH!R11:R45,pH!R68:R93,pH!R99:R122)</f>
        <v>9.98</v>
      </c>
      <c r="S13" s="1579">
        <f>MAX(pH!S11:S45,pH!S68:S93,pH!S99:S122)</f>
        <v>8.6199999999999992</v>
      </c>
      <c r="T13" s="1579">
        <f>MAX(pH!X11:X44,pH!X67:X92,pH!X98:X121)</f>
        <v>8.59</v>
      </c>
      <c r="U13" s="1579">
        <f>MAX(pH!AD11:AD44,pH!Y67:Y92,pH!Y98:Y121)</f>
        <v>9</v>
      </c>
      <c r="V13" s="1579">
        <f>MAX(pH!Z11:Z44,pH!Z67:Z92,pH!Z98:Z121)</f>
        <v>9</v>
      </c>
      <c r="W13" s="1579">
        <f>MAX(pH!AA11:AA44,pH!AA67:AA92,pH!AA98:AA121)</f>
        <v>9.27</v>
      </c>
      <c r="X13" s="1579">
        <f>MAX(pH!AB11:AB44,pH!AB51:AB76,pH!AB82:AB105)</f>
        <v>43</v>
      </c>
      <c r="Y13" s="1579" t="e">
        <f>MAX(pH!AC11:AC44,pH!AC51:AC76,pH!AC82:AC105)</f>
        <v>#DIV/0!</v>
      </c>
      <c r="Z13" s="1579" t="e">
        <f>MAX(pH!#REF!,pH!AD51:AD76,pH!AD82:AD105)</f>
        <v>#REF!</v>
      </c>
      <c r="AA13" s="1579" t="e">
        <f>MAX(pH!AE11:AE44,pH!AE51:AE76,pH!AE82:AE105)</f>
        <v>#DIV/0!</v>
      </c>
      <c r="AB13" s="1579">
        <f>MAX(pH!AF11:AF44,pH!AF51:AF76,pH!AF82:AF105)</f>
        <v>0</v>
      </c>
      <c r="AC13" s="1579">
        <f>MAX(pH!AG11:AG44,pH!AG51:AG76,pH!AG82:AG105)</f>
        <v>0</v>
      </c>
      <c r="AD13" s="1579">
        <f>MAX(pH!AH11:AH44,pH!AH51:AH76,pH!AH82:AH105)</f>
        <v>0</v>
      </c>
      <c r="AE13" s="1579">
        <f>MAX(pH!AI11:AI44,pH!AI51:AI76,pH!AI82:AI105)</f>
        <v>0</v>
      </c>
    </row>
    <row r="14" spans="1:31" s="1560" customFormat="1">
      <c r="A14" s="3570"/>
      <c r="B14" s="3867"/>
      <c r="C14" s="1581" t="s">
        <v>313</v>
      </c>
      <c r="D14" s="1579">
        <f>MIN(pH!D12:D45,pH!D68:D93,pH!D99:D122)</f>
        <v>6.67</v>
      </c>
      <c r="E14" s="1579">
        <f>MIN(pH!E12:E45,pH!E68:E93,pH!E99:E122)</f>
        <v>5.92</v>
      </c>
      <c r="F14" s="1579">
        <f>MIN(pH!F12:F45,pH!F68:F93,pH!F99:F122)</f>
        <v>6.1</v>
      </c>
      <c r="G14" s="1579">
        <f>MIN(pH!G12:G45,pH!G68:G93,pH!G99:G122)</f>
        <v>6.02</v>
      </c>
      <c r="H14" s="1579">
        <f>MIN(pH!H12:H45,pH!H68:H93,pH!H99:H122)</f>
        <v>4.5599999999999996</v>
      </c>
      <c r="I14" s="1579">
        <f>MIN(pH!I12:I45,pH!I68:I93,pH!I99:I122)</f>
        <v>6.37</v>
      </c>
      <c r="J14" s="1579">
        <f>MIN(pH!J12:J45,pH!J68:J93,pH!J99:J122)</f>
        <v>4.91</v>
      </c>
      <c r="K14" s="1579">
        <f>MIN(pH!K12:K45,pH!K68:K93,pH!K99:K122)</f>
        <v>3.65</v>
      </c>
      <c r="L14" s="1579">
        <f>MIN(pH!L12:L45,pH!L68:L93,pH!L99:L122)</f>
        <v>4.43</v>
      </c>
      <c r="M14" s="1579">
        <f>MIN(pH!M12:M45,pH!M68:M93,pH!M99:M122)</f>
        <v>5.67</v>
      </c>
      <c r="N14" s="1579">
        <f>MIN(pH!N12:N45,pH!N68:N93,pH!N99:N122)</f>
        <v>5.47</v>
      </c>
      <c r="O14" s="1579">
        <f>MIN(pH!O12:O45,pH!O68:O93,pH!O99:O122)</f>
        <v>3.7</v>
      </c>
      <c r="P14" s="1579">
        <f>MIN(pH!P12:P45,pH!P68:P93,pH!P99:P122)</f>
        <v>5.99</v>
      </c>
      <c r="Q14" s="1579">
        <f>MIN(pH!Q12:Q45,pH!Q68:Q93,pH!Q99:Q122)</f>
        <v>6.49</v>
      </c>
      <c r="R14" s="1579">
        <f>MIN(pH!R11:R45,pH!R68:R93,pH!R99:R122)</f>
        <v>6.5</v>
      </c>
      <c r="S14" s="1579">
        <f>MIN(pH!S11:S45,pH!S68:S93,pH!S99:S122)</f>
        <v>5.2</v>
      </c>
      <c r="T14" s="1579">
        <f>MIN(pH!X11:X44,pH!X67:X92,pH!X98:X121)</f>
        <v>6.31</v>
      </c>
      <c r="U14" s="1579">
        <f>MIN(pH!AD11:AD44,pH!Y67:Y92,pH!Y98:Y121)</f>
        <v>6.3</v>
      </c>
      <c r="V14" s="1579">
        <f>MIN(pH!Z11:Z44,pH!Z67:Z92,pH!Z98:Z121)</f>
        <v>6.41</v>
      </c>
      <c r="W14" s="1579">
        <f>MIN(pH!AA11:AA44,pH!AA67:AA92,pH!AA98:AA121)</f>
        <v>6.09</v>
      </c>
      <c r="X14" s="1579">
        <f>MIN(pH!AB11:AB44,pH!AB51:AB76,pH!AB82:AB105)</f>
        <v>0.96153846153846156</v>
      </c>
      <c r="Y14" s="1579" t="e">
        <f>MIN(pH!AC11:AC44,pH!AC51:AC76,pH!AC82:AC105)</f>
        <v>#DIV/0!</v>
      </c>
      <c r="Z14" s="1579" t="e">
        <f>MIN(pH!#REF!,pH!AD51:AD76,pH!AD82:AD105)</f>
        <v>#REF!</v>
      </c>
      <c r="AA14" s="1579" t="e">
        <f>MIN(pH!AE11:AE44,pH!AE51:AE76,pH!AE82:AE105)</f>
        <v>#DIV/0!</v>
      </c>
      <c r="AB14" s="1579">
        <f>MIN(pH!AF11:AF44,pH!AF51:AF76,pH!AF82:AF105)</f>
        <v>0</v>
      </c>
      <c r="AC14" s="1579">
        <f>MIN(pH!AG11:AG44,pH!AG51:AG76,pH!AG82:AG105)</f>
        <v>0</v>
      </c>
      <c r="AD14" s="1579">
        <f>MIN(pH!AH11:AH44,pH!AH51:AH76,pH!AH82:AH105)</f>
        <v>0</v>
      </c>
      <c r="AE14" s="1579">
        <f>MIN(pH!AI11:AI44,pH!AI51:AI76,pH!AI82:AI105)</f>
        <v>0</v>
      </c>
    </row>
    <row r="15" spans="1:31" s="1560" customFormat="1">
      <c r="A15" s="3570"/>
      <c r="B15" s="3868"/>
      <c r="C15" s="1581" t="s">
        <v>315</v>
      </c>
      <c r="D15" s="1579">
        <f>AVERAGE(pH!D12:D45,pH!D68:D93,pH!D99:D122)</f>
        <v>8.0251428571428551</v>
      </c>
      <c r="E15" s="1579">
        <f>AVERAGE(pH!E12:E45,pH!E68:E93,pH!E99:E122)</f>
        <v>7.1626760563380287</v>
      </c>
      <c r="F15" s="1579">
        <f>AVERAGE(pH!F12:F45,pH!F68:F93,pH!F99:F122)</f>
        <v>7.4035135135135137</v>
      </c>
      <c r="G15" s="1579">
        <f>AVERAGE(pH!G12:G45,pH!G68:G93,pH!G99:G122)</f>
        <v>7.3932432432432469</v>
      </c>
      <c r="H15" s="1579">
        <f>AVERAGE(pH!H12:H45,pH!H68:H93,pH!H99:H122)</f>
        <v>7.5609459459459432</v>
      </c>
      <c r="I15" s="1579">
        <f>AVERAGE(pH!I12:I45,pH!I68:I93,pH!I99:I122)</f>
        <v>7.5501265822784802</v>
      </c>
      <c r="J15" s="1579">
        <f>AVERAGE(pH!J12:J45,pH!J68:J93,pH!J99:J122)</f>
        <v>7.5843037974683556</v>
      </c>
      <c r="K15" s="1579">
        <f>AVERAGE(pH!K12:K45,pH!K68:K93,pH!K99:K122)</f>
        <v>8.0688607594936723</v>
      </c>
      <c r="L15" s="1579">
        <f>AVERAGE(pH!L12:L45,pH!L68:L93,pH!L99:L122)</f>
        <v>7.7959016393442599</v>
      </c>
      <c r="M15" s="1579">
        <f>AVERAGE(pH!M12:M45,pH!M68:M93,pH!M99:M122)</f>
        <v>7.8181249999999993</v>
      </c>
      <c r="N15" s="1579">
        <f>AVERAGE(pH!N12:N45,pH!N68:N93,pH!N99:N122)</f>
        <v>7.7917023809523771</v>
      </c>
      <c r="O15" s="1579">
        <f>AVERAGE(pH!O12:O45,pH!O68:O93,pH!O99:O122)</f>
        <v>7.4886792452830173</v>
      </c>
      <c r="P15" s="1579">
        <f>AVERAGE(pH!P12:P45,pH!P68:P93,pH!P99:P122)</f>
        <v>7.7150632911392423</v>
      </c>
      <c r="Q15" s="1579">
        <f>AVERAGE(pH!Q12:Q45,pH!Q68:Q93,pH!Q99:Q122)</f>
        <v>7.4458227848101295</v>
      </c>
      <c r="R15" s="1579">
        <f>AVERAGE(pH!R11:R45,pH!R68:R93,pH!R99:R122)</f>
        <v>7.7705000000000011</v>
      </c>
      <c r="S15" s="1579">
        <f>AVERAGE(pH!S11:S45,pH!S68:S93,pH!S99:S122)</f>
        <v>7.5931764705882365</v>
      </c>
      <c r="T15" s="1579">
        <f>AVERAGE(pH!X11:X44,pH!X67:X92,pH!X98:X121)</f>
        <v>7.4971604938271605</v>
      </c>
      <c r="U15" s="1579">
        <f>AVERAGE(pH!AD11:AD44,pH!Y67:Y92,pH!Y98:Y121)</f>
        <v>7.4972916666666665</v>
      </c>
      <c r="V15" s="1579">
        <f>AVERAGE(pH!Z11:Z44,pH!Z67:Z92,pH!Z98:Z121)</f>
        <v>7.6098750000000006</v>
      </c>
      <c r="W15" s="1579">
        <f>AVERAGE(pH!AA11:AA44,pH!AA67:AA92,pH!AA98:AA121)</f>
        <v>7.79934156378601</v>
      </c>
      <c r="X15" s="1579">
        <f>AVERAGE(pH!AB11:AB44,pH!AB51:AB76,pH!AB82:AB105)</f>
        <v>8.7530347734457319</v>
      </c>
      <c r="Y15" s="1579" t="e">
        <f>AVERAGE(pH!AC11:AC44,pH!AC51:AC76,pH!AC82:AC105)</f>
        <v>#DIV/0!</v>
      </c>
      <c r="Z15" s="1579" t="e">
        <f>AVERAGE(pH!#REF!,pH!AD51:AD76,pH!AD82:AD105)</f>
        <v>#REF!</v>
      </c>
      <c r="AA15" s="1579" t="e">
        <f>AVERAGE(pH!AE11:AE44,pH!AE51:AE76,pH!AE82:AE105)</f>
        <v>#DIV/0!</v>
      </c>
      <c r="AB15" s="1579" t="e">
        <f>AVERAGE(pH!AF11:AF44,pH!AF51:AF76,pH!AF82:AF105)</f>
        <v>#DIV/0!</v>
      </c>
      <c r="AC15" s="1579" t="e">
        <f>AVERAGE(pH!AG11:AG44,pH!AG51:AG76,pH!AG82:AG105)</f>
        <v>#DIV/0!</v>
      </c>
      <c r="AD15" s="1579" t="e">
        <f>AVERAGE(pH!AH11:AH44,pH!AH51:AH76,pH!AH82:AH105)</f>
        <v>#DIV/0!</v>
      </c>
      <c r="AE15" s="1579" t="e">
        <f>AVERAGE(pH!AI11:AI44,pH!AI51:AI76,pH!AI82:AI105)</f>
        <v>#DIV/0!</v>
      </c>
    </row>
    <row r="16" spans="1:31">
      <c r="A16" s="3570"/>
      <c r="B16" s="3866" t="s">
        <v>170</v>
      </c>
      <c r="C16" s="1581" t="s">
        <v>312</v>
      </c>
      <c r="D16" s="1579">
        <f>MAX(Nitrate!D11:D44,Nitrate!D67:D92,Nitrate!D99:D122)</f>
        <v>12.4</v>
      </c>
      <c r="E16" s="1579">
        <f>MAX(Nitrate!E11:E44,Nitrate!E67:E92,Nitrate!E99:E122)</f>
        <v>23.3</v>
      </c>
      <c r="F16" s="1579">
        <f>MAX(Nitrate!F11:F44,Nitrate!F67:F92,Nitrate!F99:F122)</f>
        <v>10.5</v>
      </c>
      <c r="G16" s="1579">
        <f>MAX(Nitrate!G11:G44,Nitrate!G67:G92,Nitrate!G99:G122)</f>
        <v>14</v>
      </c>
      <c r="H16" s="1579">
        <f>MAX(Nitrate!H11:H44,Nitrate!H67:H92,Nitrate!H99:H122)</f>
        <v>9.3000000000000007</v>
      </c>
      <c r="I16" s="1579">
        <f>MAX(Nitrate!I11:I44,Nitrate!I67:I92,Nitrate!I99:I122)</f>
        <v>10.4</v>
      </c>
      <c r="J16" s="1579">
        <f>MAX(Nitrate!J11:J44,Nitrate!J67:J92,Nitrate!J99:J122)</f>
        <v>11.53</v>
      </c>
      <c r="K16" s="1579">
        <f>MAX(Nitrate!K11:K44,Nitrate!K67:K92,Nitrate!K99:K122)</f>
        <v>11</v>
      </c>
      <c r="L16" s="1579">
        <f>MAX(Nitrate!L11:L44,Nitrate!L67:L92,Nitrate!L99:L122)</f>
        <v>11.4</v>
      </c>
      <c r="M16" s="1579">
        <f>MAX(Nitrate!M11:M44,Nitrate!M67:M92,Nitrate!M99:M122)</f>
        <v>12</v>
      </c>
      <c r="N16" s="1579">
        <f>MAX(Nitrate!N11:N44,Nitrate!N67:N92,Nitrate!N99:N122)</f>
        <v>11.26</v>
      </c>
      <c r="O16" s="1579">
        <f>MAX(Nitrate!O11:O44,Nitrate!O67:O92,Nitrate!O99:O122)</f>
        <v>0</v>
      </c>
      <c r="P16" s="1579">
        <f>MAX(Nitrate!P11:P44,Nitrate!P67:P92,Nitrate!P99:P122)</f>
        <v>11.7</v>
      </c>
      <c r="Q16" s="1579">
        <f>MAX(Nitrate!Q11:Q44,Nitrate!Q67:Q92,Nitrate!Q99:Q122)</f>
        <v>12.65</v>
      </c>
      <c r="R16" s="1579">
        <f>MAX(Nitrate!R11:R44,Nitrate!R67:R92,Nitrate!R99:R122)</f>
        <v>11.4</v>
      </c>
      <c r="S16" s="1579">
        <f>MAX(Nitrate!S11:S44,Nitrate!S67:S92,Nitrate!S99:S122)</f>
        <v>11.6</v>
      </c>
      <c r="T16" s="1579">
        <f>MAX(Nitrate!AD11:AD44,Nitrate!X67:X92,Nitrate!X99:X122)</f>
        <v>12.83</v>
      </c>
      <c r="U16" s="1579" t="e">
        <f>MAX(Nitrate!#REF!,Nitrate!Y67:Y92,Nitrate!Y99:Y122)</f>
        <v>#REF!</v>
      </c>
      <c r="V16" s="1579">
        <f>MAX(Nitrate!Z11:Z44,Nitrate!Z67:Z92,Nitrate!Z99:Z122)</f>
        <v>5.15</v>
      </c>
      <c r="W16" s="1579">
        <f>MAX(Nitrate!AA11:AA44,Nitrate!AA67:AA92,Nitrate!AA99:AA122)</f>
        <v>4.01</v>
      </c>
      <c r="X16" s="1579">
        <f>MAX(Nitrate!AB11:AB44,Nitrate!AB51:AB76,Nitrate!AB83:AB106)</f>
        <v>30</v>
      </c>
      <c r="Y16" s="1579" t="e">
        <f>MAX(Nitrate!AC11:AC44,Nitrate!AC51:AC76,Nitrate!AC83:AC106)</f>
        <v>#DIV/0!</v>
      </c>
      <c r="Z16" s="1579" t="e">
        <f>MAX(Nitrate!#REF!,Nitrate!AD51:AD76,Nitrate!AD83:AD106)</f>
        <v>#REF!</v>
      </c>
      <c r="AA16" s="1579" t="e">
        <f>MAX(Nitrate!AE11:AE44,Nitrate!AE51:AE76,Nitrate!AE83:AE106)</f>
        <v>#DIV/0!</v>
      </c>
      <c r="AB16" s="1579">
        <f>MAX(Nitrate!AF11:AF44,Nitrate!AF51:AF76,Nitrate!AF83:AF106)</f>
        <v>0</v>
      </c>
      <c r="AC16" s="1579">
        <f>MAX(Nitrate!AG11:AG44,Nitrate!AG51:AG76,Nitrate!AG83:AG106)</f>
        <v>0</v>
      </c>
      <c r="AD16" s="1579">
        <f>MAX(Nitrate!AH11:AH44,Nitrate!AH51:AH76,Nitrate!AH83:AH106)</f>
        <v>0</v>
      </c>
      <c r="AE16" s="1579">
        <f>MAX(Nitrate!AI11:AI44,Nitrate!AI51:AI76,Nitrate!AI83:AI106)</f>
        <v>0</v>
      </c>
    </row>
    <row r="17" spans="1:31" s="1560" customFormat="1">
      <c r="A17" s="3570"/>
      <c r="B17" s="3867"/>
      <c r="C17" s="1581" t="s">
        <v>313</v>
      </c>
      <c r="D17" s="1579">
        <f>MIN(Nitrate!D11:D44,Nitrate!D67:D92,Nitrate!D99:D122)</f>
        <v>1E-3</v>
      </c>
      <c r="E17" s="1579">
        <f>MIN(Nitrate!E11:E44,Nitrate!E67:E92,Nitrate!E99:E122)</f>
        <v>1E-3</v>
      </c>
      <c r="F17" s="1579">
        <f>MIN(Nitrate!F11:F44,Nitrate!F67:F92,Nitrate!F99:F122)</f>
        <v>1E-3</v>
      </c>
      <c r="G17" s="1579">
        <f>MIN(Nitrate!G11:G44,Nitrate!G67:G92,Nitrate!G99:G122)</f>
        <v>0</v>
      </c>
      <c r="H17" s="1579">
        <f>MIN(Nitrate!H11:H44,Nitrate!H67:H92,Nitrate!H99:H122)</f>
        <v>1E-3</v>
      </c>
      <c r="I17" s="1579">
        <f>MIN(Nitrate!I11:I44,Nitrate!I67:I92,Nitrate!I99:I122)</f>
        <v>0</v>
      </c>
      <c r="J17" s="1579">
        <f>MIN(Nitrate!J11:J44,Nitrate!J67:J92,Nitrate!J99:J122)</f>
        <v>0</v>
      </c>
      <c r="K17" s="1579">
        <f>MIN(Nitrate!K11:K44,Nitrate!K67:K92,Nitrate!K99:K122)</f>
        <v>0.01</v>
      </c>
      <c r="L17" s="1579">
        <f>MIN(Nitrate!L11:L44,Nitrate!L67:L92,Nitrate!L99:L122)</f>
        <v>1E-3</v>
      </c>
      <c r="M17" s="1579">
        <f>MIN(Nitrate!M11:M44,Nitrate!M67:M92,Nitrate!M99:M122)</f>
        <v>8.4</v>
      </c>
      <c r="N17" s="1579">
        <f>MIN(Nitrate!N11:N44,Nitrate!N67:N92,Nitrate!N99:N122)</f>
        <v>8.2000000000000003E-2</v>
      </c>
      <c r="O17" s="1579">
        <f>MIN(Nitrate!O11:O44,Nitrate!O67:O92,Nitrate!O99:O122)</f>
        <v>0</v>
      </c>
      <c r="P17" s="1579">
        <f>MIN(Nitrate!P11:P44,Nitrate!P67:P92,Nitrate!P99:P122)</f>
        <v>1E-3</v>
      </c>
      <c r="Q17" s="1579">
        <f>MIN(Nitrate!Q11:Q44,Nitrate!Q67:Q92,Nitrate!Q99:Q122)</f>
        <v>1E-3</v>
      </c>
      <c r="R17" s="1579">
        <f>MIN(Nitrate!R11:R44,Nitrate!R67:R92,Nitrate!R99:R122)</f>
        <v>0.14099999999999999</v>
      </c>
      <c r="S17" s="1579">
        <f>MIN(Nitrate!S11:S44,Nitrate!S67:S92,Nitrate!S99:S122)</f>
        <v>0.12</v>
      </c>
      <c r="T17" s="1579">
        <f>MIN(Nitrate!AD11:AD44,Nitrate!X67:X92,Nitrate!X99:X122)</f>
        <v>6.87</v>
      </c>
      <c r="U17" s="1579" t="e">
        <f>MIN(Nitrate!#REF!,Nitrate!Y67:Y92,Nitrate!Y99:Y122)</f>
        <v>#REF!</v>
      </c>
      <c r="V17" s="1579">
        <f>MIN(Nitrate!Z11:Z44,Nitrate!Z67:Z92,Nitrate!Z99:Z122)</f>
        <v>4.8000000000000001E-2</v>
      </c>
      <c r="W17" s="1579">
        <f>MIN(Nitrate!AA11:AA44,Nitrate!AA67:AA92,Nitrate!AA99:AA122)</f>
        <v>0.11700000000000001</v>
      </c>
      <c r="X17" s="1579">
        <f>MIN(Nitrate!AB11:AB44,Nitrate!AB51:AB76,Nitrate!AB83:AB106)</f>
        <v>5.8000000000000003E-2</v>
      </c>
      <c r="Y17" s="1579" t="e">
        <f>MIN(Nitrate!AC11:AC44,Nitrate!AC51:AC76,Nitrate!AC83:AC106)</f>
        <v>#DIV/0!</v>
      </c>
      <c r="Z17" s="1579" t="e">
        <f>MIN(Nitrate!#REF!,Nitrate!AD51:AD76,Nitrate!AD83:AD106)</f>
        <v>#REF!</v>
      </c>
      <c r="AA17" s="1579" t="e">
        <f>MIN(Nitrate!AE11:AE44,Nitrate!AE51:AE76,Nitrate!AE83:AE106)</f>
        <v>#DIV/0!</v>
      </c>
      <c r="AB17" s="1579">
        <f>MIN(Nitrate!AF11:AF44,Nitrate!AF51:AF76,Nitrate!AF83:AF106)</f>
        <v>0</v>
      </c>
      <c r="AC17" s="1579">
        <f>MIN(Nitrate!AG11:AG44,Nitrate!AG51:AG76,Nitrate!AG83:AG106)</f>
        <v>0</v>
      </c>
      <c r="AD17" s="1579">
        <f>MIN(Nitrate!AH11:AH44,Nitrate!AH51:AH76,Nitrate!AH83:AH106)</f>
        <v>0</v>
      </c>
      <c r="AE17" s="1579">
        <f>MIN(Nitrate!AI11:AI44,Nitrate!AI51:AI76,Nitrate!AI83:AI106)</f>
        <v>0</v>
      </c>
    </row>
    <row r="18" spans="1:31" s="1560" customFormat="1">
      <c r="A18" s="3570"/>
      <c r="B18" s="3868"/>
      <c r="C18" s="1581" t="s">
        <v>315</v>
      </c>
      <c r="D18" s="1579">
        <f>AVERAGE(Nitrate!D11:D44,Nitrate!D67:D92,Nitrate!D99:D122)</f>
        <v>5.3386000000000013</v>
      </c>
      <c r="E18" s="1579">
        <f>AVERAGE(Nitrate!E11:E44,Nitrate!E67:E92,Nitrate!E99:E122)</f>
        <v>5.6831750000000003</v>
      </c>
      <c r="F18" s="1579">
        <f>AVERAGE(Nitrate!F11:F44,Nitrate!F67:F92,Nitrate!F99:F122)</f>
        <v>4.8964249999999998</v>
      </c>
      <c r="G18" s="1579">
        <f>AVERAGE(Nitrate!G11:G44,Nitrate!G67:G92,Nitrate!G99:G122)</f>
        <v>7.4642307692307668</v>
      </c>
      <c r="H18" s="1579">
        <f>AVERAGE(Nitrate!H11:H44,Nitrate!H67:H92,Nitrate!H99:H122)</f>
        <v>4.7692250000000005</v>
      </c>
      <c r="I18" s="1579">
        <f>AVERAGE(Nitrate!I11:I44,Nitrate!I67:I92,Nitrate!I99:I122)</f>
        <v>2.7485696202531651</v>
      </c>
      <c r="J18" s="1579">
        <f>AVERAGE(Nitrate!J11:J44,Nitrate!J67:J92,Nitrate!J99:J122)</f>
        <v>3.0423417721518997</v>
      </c>
      <c r="K18" s="1579">
        <f>AVERAGE(Nitrate!K11:K44,Nitrate!K67:K92,Nitrate!K99:K122)</f>
        <v>3.3702151898734165</v>
      </c>
      <c r="L18" s="1579">
        <f>AVERAGE(Nitrate!L11:L44,Nitrate!L67:L92,Nitrate!L99:L122)</f>
        <v>3.5506733333333331</v>
      </c>
      <c r="M18" s="1579">
        <f>AVERAGE(Nitrate!M11:M44,Nitrate!M67:M92,Nitrate!M99:M122)</f>
        <v>10.196153846153846</v>
      </c>
      <c r="N18" s="1579">
        <f>AVERAGE(Nitrate!N11:N44,Nitrate!N67:N92,Nitrate!N99:N122)</f>
        <v>4.7098947368421049</v>
      </c>
      <c r="O18" s="1579" t="e">
        <f>AVERAGE(Nitrate!O11:O44,Nitrate!O67:O92,Nitrate!O99:O122)</f>
        <v>#DIV/0!</v>
      </c>
      <c r="P18" s="1579">
        <f>AVERAGE(Nitrate!P11:P44,Nitrate!P67:P92,Nitrate!P99:P122)</f>
        <v>3.5180759493670863</v>
      </c>
      <c r="Q18" s="1579">
        <f>AVERAGE(Nitrate!Q11:Q44,Nitrate!Q67:Q92,Nitrate!Q99:Q122)</f>
        <v>3.0935833333333327</v>
      </c>
      <c r="R18" s="1579">
        <f>AVERAGE(Nitrate!R11:R44,Nitrate!R67:R92,Nitrate!R99:R122)</f>
        <v>4.3639999999999999</v>
      </c>
      <c r="S18" s="1579">
        <f>AVERAGE(Nitrate!S11:S44,Nitrate!S67:S92,Nitrate!S99:S122)</f>
        <v>4.1998500000000005</v>
      </c>
      <c r="T18" s="1579">
        <f>AVERAGE(Nitrate!AD11:AD44,Nitrate!X67:X92,Nitrate!X99:X122)</f>
        <v>9.5399999999999991</v>
      </c>
      <c r="U18" s="1579" t="e">
        <f>AVERAGE(Nitrate!#REF!,Nitrate!Y67:Y92,Nitrate!Y99:Y122)</f>
        <v>#REF!</v>
      </c>
      <c r="V18" s="1579">
        <f>AVERAGE(Nitrate!Z11:Z44,Nitrate!Z67:Z92,Nitrate!Z99:Z122)</f>
        <v>1.3427796610169498</v>
      </c>
      <c r="W18" s="1579">
        <f>AVERAGE(Nitrate!AA11:AA44,Nitrate!AA67:AA92,Nitrate!AA99:AA122)</f>
        <v>1.087322033898305</v>
      </c>
      <c r="X18" s="1579">
        <f>AVERAGE(Nitrate!AB11:AB44,Nitrate!AB51:AB76,Nitrate!AB83:AB106)</f>
        <v>2.5587903225806445</v>
      </c>
      <c r="Y18" s="1579" t="e">
        <f>AVERAGE(Nitrate!AC11:AC44,Nitrate!AC51:AC76,Nitrate!AC83:AC106)</f>
        <v>#DIV/0!</v>
      </c>
      <c r="Z18" s="1579" t="e">
        <f>AVERAGE(Nitrate!#REF!,Nitrate!AD51:AD76,Nitrate!AD83:AD106)</f>
        <v>#REF!</v>
      </c>
      <c r="AA18" s="1579" t="e">
        <f>AVERAGE(Nitrate!AE11:AE44,Nitrate!AE51:AE76,Nitrate!AE83:AE106)</f>
        <v>#DIV/0!</v>
      </c>
      <c r="AB18" s="1579" t="e">
        <f>AVERAGE(Nitrate!AF11:AF44,Nitrate!AF51:AF76,Nitrate!AF83:AF106)</f>
        <v>#DIV/0!</v>
      </c>
      <c r="AC18" s="1579" t="e">
        <f>AVERAGE(Nitrate!AG11:AG44,Nitrate!AG51:AG76,Nitrate!AG83:AG106)</f>
        <v>#DIV/0!</v>
      </c>
      <c r="AD18" s="1579" t="e">
        <f>AVERAGE(Nitrate!AH11:AH44,Nitrate!AH51:AH76,Nitrate!AH83:AH106)</f>
        <v>#DIV/0!</v>
      </c>
      <c r="AE18" s="1579" t="e">
        <f>AVERAGE(Nitrate!AI11:AI44,Nitrate!AI51:AI76,Nitrate!AI83:AI106)</f>
        <v>#DIV/0!</v>
      </c>
    </row>
    <row r="19" spans="1:31">
      <c r="A19" s="3570"/>
      <c r="B19" s="3866" t="s">
        <v>169</v>
      </c>
      <c r="C19" s="1581" t="s">
        <v>312</v>
      </c>
      <c r="D19" s="1579">
        <f>MAX(Phosphate!D14:D47,Phosphate!D71:D96,Phosphate!D104:D127)</f>
        <v>13.07</v>
      </c>
      <c r="E19" s="1579">
        <f>MAX(Phosphate!E14:E47,Phosphate!E71:E96,Phosphate!E104:E127)</f>
        <v>20.2</v>
      </c>
      <c r="F19" s="1579">
        <f>MAX(Phosphate!F14:F47,Phosphate!F71:F96,Phosphate!F104:F127)</f>
        <v>17.600000000000001</v>
      </c>
      <c r="G19" s="1579">
        <f>MAX(Phosphate!G14:G47,Phosphate!G71:G96,Phosphate!G104:G127)</f>
        <v>17</v>
      </c>
      <c r="H19" s="1579">
        <f>MAX(Phosphate!H14:H47,Phosphate!H71:H96,Phosphate!H104:H127)</f>
        <v>11.58</v>
      </c>
      <c r="I19" s="1579">
        <f>MAX(Phosphate!I14:I47,Phosphate!I71:I96,Phosphate!I104:I127)</f>
        <v>21.35</v>
      </c>
      <c r="J19" s="1579">
        <f>MAX(Phosphate!J14:J47,Phosphate!J71:J96,Phosphate!J104:J127)</f>
        <v>16.13</v>
      </c>
      <c r="K19" s="1579">
        <f>MAX(Phosphate!K14:K47,Phosphate!K71:K96,Phosphate!K104:K127)</f>
        <v>17.399999999999999</v>
      </c>
      <c r="L19" s="1579">
        <f>MAX(Phosphate!L14:L47,Phosphate!L71:L96,Phosphate!L104:L127)</f>
        <v>22.9</v>
      </c>
      <c r="M19" s="1579">
        <f>MAX(Phosphate!M14:M47,Phosphate!M71:M96,Phosphate!M104:M127)</f>
        <v>66.19</v>
      </c>
      <c r="N19" s="1579">
        <f>MAX(Phosphate!N14:N47,Phosphate!N71:N96,Phosphate!N104:N127)</f>
        <v>21.8</v>
      </c>
      <c r="O19" s="1579">
        <f>MAX(Phosphate!O14:O47,Phosphate!O71:O96,Phosphate!O104:O127)</f>
        <v>0</v>
      </c>
      <c r="P19" s="1579">
        <f>MAX(Phosphate!P14:P47,Phosphate!P71:P96,Phosphate!P104:P127)</f>
        <v>46.67</v>
      </c>
      <c r="Q19" s="1579">
        <f>MAX(Phosphate!Q14:Q47,Phosphate!Q71:Q96,Phosphate!Q104:Q127)</f>
        <v>35.46</v>
      </c>
      <c r="R19" s="1579">
        <f>MAX(Phosphate!R14:R47,Phosphate!R71:R96,Phosphate!R104:R127)</f>
        <v>49.66</v>
      </c>
      <c r="S19" s="1579">
        <f>MAX(Phosphate!S14:S47,Phosphate!S71:S96,Phosphate!S104:S127)</f>
        <v>29.21</v>
      </c>
      <c r="T19" s="1579">
        <f>MAX(Phosphate!X14:X47,Phosphate!X71:X96,Phosphate!X104:X127)</f>
        <v>34.6</v>
      </c>
      <c r="U19" s="1579">
        <f>MAX(Phosphate!Y14:Y47,Phosphate!Y71:Y96,Phosphate!Y104:Y127)</f>
        <v>13.43</v>
      </c>
      <c r="V19" s="1579">
        <f>MAX(Phosphate!Z14:Z47,Phosphate!Z71:Z96,Phosphate!Z104:Z127)</f>
        <v>8.24</v>
      </c>
      <c r="W19" s="1579">
        <f>MAX(Phosphate!AA14:AA47,Phosphate!AA71:AA96,Phosphate!AA104:AA127)</f>
        <v>7.04</v>
      </c>
      <c r="X19" s="1579">
        <f>MAX(Phosphate!AB14:AB47,Phosphate!AB55:AB80,Phosphate!AB88:AB111)</f>
        <v>33</v>
      </c>
      <c r="Y19" s="1579" t="e">
        <f>MAX(Phosphate!AC14:AC47,Phosphate!AC55:AC80,Phosphate!AC88:AC111)</f>
        <v>#DIV/0!</v>
      </c>
      <c r="Z19" s="1579" t="e">
        <f>MAX(Phosphate!AD14:AD47,Phosphate!AD55:AD80,Phosphate!AD88:AD111)</f>
        <v>#DIV/0!</v>
      </c>
      <c r="AA19" s="1579" t="e">
        <f>MAX(Phosphate!AE14:AE47,Phosphate!AE55:AE80,Phosphate!AE88:AE111)</f>
        <v>#DIV/0!</v>
      </c>
      <c r="AB19" s="1579">
        <f>MAX(Phosphate!AF14:AF47,Phosphate!AF55:AF80,Phosphate!AF88:AF111)</f>
        <v>0</v>
      </c>
      <c r="AC19" s="1579">
        <f>MAX(Phosphate!AG14:AG47,Phosphate!AG55:AG80,Phosphate!AG88:AG111)</f>
        <v>0</v>
      </c>
      <c r="AD19" s="1579">
        <f>MAX(Phosphate!AH14:AH47,Phosphate!AH55:AH80,Phosphate!AH88:AH111)</f>
        <v>0</v>
      </c>
      <c r="AE19" s="1579">
        <f>MAX(Phosphate!AI14:AI47,Phosphate!AI55:AI80,Phosphate!AI88:AI111)</f>
        <v>0</v>
      </c>
    </row>
    <row r="20" spans="1:31" s="1560" customFormat="1">
      <c r="A20" s="3570"/>
      <c r="B20" s="3867"/>
      <c r="C20" s="1581" t="s">
        <v>313</v>
      </c>
      <c r="D20" s="1579">
        <f>MIN(Phosphate!D14:D47,Phosphate!D71:D96,Phosphate!D104:D127)</f>
        <v>0.60799999999999998</v>
      </c>
      <c r="E20" s="1579">
        <f>MIN(Phosphate!E14:E47,Phosphate!E71:E96,Phosphate!E104:E127)</f>
        <v>0.32600000000000001</v>
      </c>
      <c r="F20" s="1579">
        <f>MIN(Phosphate!F14:F47,Phosphate!F71:F96,Phosphate!F104:F127)</f>
        <v>6.4000000000000001E-2</v>
      </c>
      <c r="G20" s="1579">
        <f>MIN(Phosphate!G14:G47,Phosphate!G71:G96,Phosphate!G104:G127)</f>
        <v>0.35</v>
      </c>
      <c r="H20" s="1579">
        <f>MIN(Phosphate!H14:H47,Phosphate!H71:H96,Phosphate!H104:H127)</f>
        <v>0.32300000000000001</v>
      </c>
      <c r="I20" s="1579">
        <f>MIN(Phosphate!I14:I47,Phosphate!I71:I96,Phosphate!I104:I127)</f>
        <v>6.0999999999999999E-2</v>
      </c>
      <c r="J20" s="1579">
        <f>MIN(Phosphate!J14:J47,Phosphate!J71:J96,Phosphate!J104:J127)</f>
        <v>7.1999999999999995E-2</v>
      </c>
      <c r="K20" s="1579">
        <f>MIN(Phosphate!K14:K47,Phosphate!K71:K96,Phosphate!K104:K127)</f>
        <v>7.0000000000000007E-2</v>
      </c>
      <c r="L20" s="1579">
        <f>MIN(Phosphate!L14:L47,Phosphate!L71:L96,Phosphate!L104:L127)</f>
        <v>3.5000000000000003E-2</v>
      </c>
      <c r="M20" s="1579">
        <f>MIN(Phosphate!M14:M47,Phosphate!M71:M96,Phosphate!M104:M127)</f>
        <v>0.109</v>
      </c>
      <c r="N20" s="1579">
        <f>MIN(Phosphate!N14:N47,Phosphate!N71:N96,Phosphate!N104:N127)</f>
        <v>7.0000000000000007E-2</v>
      </c>
      <c r="O20" s="1579">
        <f>MIN(Phosphate!O14:O47,Phosphate!O71:O96,Phosphate!O104:O127)</f>
        <v>0</v>
      </c>
      <c r="P20" s="1579">
        <f>MIN(Phosphate!P14:P47,Phosphate!P71:P96,Phosphate!P104:P127)</f>
        <v>4.1000000000000002E-2</v>
      </c>
      <c r="Q20" s="1579">
        <f>MIN(Phosphate!Q14:Q47,Phosphate!Q71:Q96,Phosphate!Q104:Q127)</f>
        <v>5.7000000000000002E-2</v>
      </c>
      <c r="R20" s="1579">
        <f>MIN(Phosphate!R14:R47,Phosphate!R71:R96,Phosphate!R104:R127)</f>
        <v>7.2999999999999995E-2</v>
      </c>
      <c r="S20" s="1579">
        <f>MIN(Phosphate!S14:S47,Phosphate!S71:S96,Phosphate!S104:S127)</f>
        <v>0.09</v>
      </c>
      <c r="T20" s="1579">
        <f>MIN(Phosphate!X14:X47,Phosphate!X71:X96,Phosphate!X104:X127)</f>
        <v>4.3999999999999997E-2</v>
      </c>
      <c r="U20" s="1579">
        <f>MIN(Phosphate!Y14:Y47,Phosphate!Y71:Y96,Phosphate!Y104:Y127)</f>
        <v>4.3999999999999997E-2</v>
      </c>
      <c r="V20" s="1579">
        <f>MIN(Phosphate!Z14:Z47,Phosphate!Z71:Z96,Phosphate!Z104:Z127)</f>
        <v>4.3999999999999997E-2</v>
      </c>
      <c r="W20" s="1579">
        <f>MIN(Phosphate!AA14:AA47,Phosphate!AA71:AA96,Phosphate!AA104:AA127)</f>
        <v>4.4999999999999998E-2</v>
      </c>
      <c r="X20" s="1579">
        <f>MIN(Phosphate!AB14:AB47,Phosphate!AB55:AB80,Phosphate!AB88:AB111)</f>
        <v>0</v>
      </c>
      <c r="Y20" s="1579" t="e">
        <f>MIN(Phosphate!AC14:AC47,Phosphate!AC55:AC80,Phosphate!AC88:AC111)</f>
        <v>#DIV/0!</v>
      </c>
      <c r="Z20" s="1579" t="e">
        <f>MIN(Phosphate!AD14:AD47,Phosphate!AD55:AD80,Phosphate!AD88:AD111)</f>
        <v>#DIV/0!</v>
      </c>
      <c r="AA20" s="1579" t="e">
        <f>MIN(Phosphate!AE14:AE47,Phosphate!AE55:AE80,Phosphate!AE88:AE111)</f>
        <v>#DIV/0!</v>
      </c>
      <c r="AB20" s="1579">
        <f>MIN(Phosphate!AF14:AF47,Phosphate!AF55:AF80,Phosphate!AF88:AF111)</f>
        <v>0</v>
      </c>
      <c r="AC20" s="1579">
        <f>MIN(Phosphate!AG14:AG47,Phosphate!AG55:AG80,Phosphate!AG88:AG111)</f>
        <v>0</v>
      </c>
      <c r="AD20" s="1579">
        <f>MIN(Phosphate!AH14:AH47,Phosphate!AH55:AH80,Phosphate!AH88:AH111)</f>
        <v>0</v>
      </c>
      <c r="AE20" s="1579">
        <f>MIN(Phosphate!AI14:AI47,Phosphate!AI55:AI80,Phosphate!AI88:AI111)</f>
        <v>0</v>
      </c>
    </row>
    <row r="21" spans="1:31" s="1560" customFormat="1">
      <c r="A21" s="3570"/>
      <c r="B21" s="3868"/>
      <c r="C21" s="1581" t="s">
        <v>315</v>
      </c>
      <c r="D21" s="1579">
        <f>AVERAGE(Phosphate!D14:D47,Phosphate!D71:D96,Phosphate!D104:D127)</f>
        <v>6.0934249999999999</v>
      </c>
      <c r="E21" s="1579">
        <f>AVERAGE(Phosphate!E14:E47,Phosphate!E71:E96,Phosphate!E104:E127)</f>
        <v>8.0247250000000001</v>
      </c>
      <c r="F21" s="1579">
        <f>AVERAGE(Phosphate!F14:F47,Phosphate!F71:F96,Phosphate!F104:F127)</f>
        <v>7.0570499999999985</v>
      </c>
      <c r="G21" s="1579">
        <f>AVERAGE(Phosphate!G14:G47,Phosphate!G71:G96,Phosphate!G104:G127)</f>
        <v>6.7609999999999983</v>
      </c>
      <c r="H21" s="1579">
        <f>AVERAGE(Phosphate!H14:H47,Phosphate!H71:H96,Phosphate!H104:H127)</f>
        <v>6.5992499999999978</v>
      </c>
      <c r="I21" s="1579">
        <f>AVERAGE(Phosphate!I14:I47,Phosphate!I71:I96,Phosphate!I104:I127)</f>
        <v>4.8890379746835455</v>
      </c>
      <c r="J21" s="1579">
        <f>AVERAGE(Phosphate!J14:J47,Phosphate!J71:J96,Phosphate!J104:J127)</f>
        <v>4.9402531645569621</v>
      </c>
      <c r="K21" s="1579">
        <f>AVERAGE(Phosphate!K14:K47,Phosphate!K71:K96,Phosphate!K104:K127)</f>
        <v>4.9543037974683539</v>
      </c>
      <c r="L21" s="1579">
        <f>AVERAGE(Phosphate!L14:L47,Phosphate!L71:L96,Phosphate!L104:L127)</f>
        <v>6.228512499999999</v>
      </c>
      <c r="M21" s="1579">
        <f>AVERAGE(Phosphate!M14:M47,Phosphate!M71:M96,Phosphate!M104:M127)</f>
        <v>14.125580000000003</v>
      </c>
      <c r="N21" s="1579">
        <f>AVERAGE(Phosphate!N14:N47,Phosphate!N71:N96,Phosphate!N104:N127)</f>
        <v>5.4830123456790147</v>
      </c>
      <c r="O21" s="1579" t="e">
        <f>AVERAGE(Phosphate!O14:O47,Phosphate!O71:O96,Phosphate!O104:O127)</f>
        <v>#DIV/0!</v>
      </c>
      <c r="P21" s="1579">
        <f>AVERAGE(Phosphate!P14:P47,Phosphate!P71:P96,Phosphate!P104:P127)</f>
        <v>8.3748860759493642</v>
      </c>
      <c r="Q21" s="1579">
        <f>AVERAGE(Phosphate!Q14:Q47,Phosphate!Q71:Q96,Phosphate!Q104:Q127)</f>
        <v>7.0931089743589766</v>
      </c>
      <c r="R21" s="1579">
        <f>AVERAGE(Phosphate!R14:R47,Phosphate!R71:R96,Phosphate!R104:R127)</f>
        <v>7.3617468354430349</v>
      </c>
      <c r="S21" s="1579">
        <f>AVERAGE(Phosphate!S14:S47,Phosphate!S71:S96,Phosphate!S104:S127)</f>
        <v>6.0504761904761901</v>
      </c>
      <c r="T21" s="1579">
        <f>AVERAGE(Phosphate!X14:X47,Phosphate!X71:X96,Phosphate!X104:X127)</f>
        <v>7.3032857142857139</v>
      </c>
      <c r="U21" s="1579">
        <f>AVERAGE(Phosphate!Y14:Y47,Phosphate!Y71:Y96,Phosphate!Y104:Y127)</f>
        <v>3.8174085365853654</v>
      </c>
      <c r="V21" s="1579">
        <f>AVERAGE(Phosphate!Z14:Z47,Phosphate!Z71:Z96,Phosphate!Z104:Z127)</f>
        <v>1.9585975609756099</v>
      </c>
      <c r="W21" s="1579">
        <f>AVERAGE(Phosphate!AA14:AA47,Phosphate!AA71:AA96,Phosphate!AA104:AA127)</f>
        <v>1.9927730923694777</v>
      </c>
      <c r="X21" s="1579">
        <f>AVERAGE(Phosphate!AB14:AB47,Phosphate!AB55:AB80,Phosphate!AB88:AB111)</f>
        <v>2.4252072072072073</v>
      </c>
      <c r="Y21" s="1579" t="e">
        <f>AVERAGE(Phosphate!AC14:AC47,Phosphate!AC55:AC80,Phosphate!AC88:AC111)</f>
        <v>#DIV/0!</v>
      </c>
      <c r="Z21" s="1579" t="e">
        <f>AVERAGE(Phosphate!AD14:AD47,Phosphate!AD55:AD80,Phosphate!AD88:AD111)</f>
        <v>#DIV/0!</v>
      </c>
      <c r="AA21" s="1579" t="e">
        <f>AVERAGE(Phosphate!AE14:AE47,Phosphate!AE55:AE80,Phosphate!AE88:AE111)</f>
        <v>#DIV/0!</v>
      </c>
      <c r="AB21" s="1579" t="e">
        <f>AVERAGE(Phosphate!AF14:AF47,Phosphate!AF55:AF80,Phosphate!AF88:AF111)</f>
        <v>#DIV/0!</v>
      </c>
      <c r="AC21" s="1579" t="e">
        <f>AVERAGE(Phosphate!AG14:AG47,Phosphate!AG55:AG80,Phosphate!AG88:AG111)</f>
        <v>#DIV/0!</v>
      </c>
      <c r="AD21" s="1579" t="e">
        <f>AVERAGE(Phosphate!AH14:AH47,Phosphate!AH55:AH80,Phosphate!AH88:AH111)</f>
        <v>#DIV/0!</v>
      </c>
      <c r="AE21" s="1579" t="e">
        <f>AVERAGE(Phosphate!AI14:AI47,Phosphate!AI55:AI80,Phosphate!AI88:AI111)</f>
        <v>#DIV/0!</v>
      </c>
    </row>
    <row r="22" spans="1:31">
      <c r="A22" s="3570"/>
      <c r="B22" s="3866" t="s">
        <v>198</v>
      </c>
      <c r="C22" s="1581" t="s">
        <v>312</v>
      </c>
      <c r="D22" s="1579">
        <f>MAX('Oil &amp; Grease'!D15:D40)</f>
        <v>5.17</v>
      </c>
      <c r="E22" s="1579">
        <f>MAX('Oil &amp; Grease'!E15:E40)</f>
        <v>5</v>
      </c>
      <c r="F22" s="1579">
        <f>MAX('Oil &amp; Grease'!F15:F40)</f>
        <v>4.4000000000000004</v>
      </c>
      <c r="G22" s="1579">
        <f>MAX('Oil &amp; Grease'!G15:G40)</f>
        <v>4.0999999999999996</v>
      </c>
      <c r="H22" s="1579">
        <f>MAX('Oil &amp; Grease'!H15:H40)</f>
        <v>6.1</v>
      </c>
      <c r="I22" s="1579">
        <f>MAX('Oil &amp; Grease'!I15:I40)</f>
        <v>6.5</v>
      </c>
      <c r="J22" s="1579">
        <f>MAX('Oil &amp; Grease'!J15:J40)</f>
        <v>6.5</v>
      </c>
      <c r="K22" s="1579">
        <f>MAX('Oil &amp; Grease'!K15:K40)</f>
        <v>4.63</v>
      </c>
      <c r="L22" s="1579">
        <f>MAX('Oil &amp; Grease'!L15:L40)</f>
        <v>5.57</v>
      </c>
      <c r="M22" s="1579">
        <f>MAX('Oil &amp; Grease'!M15:M40)</f>
        <v>6.6</v>
      </c>
      <c r="N22" s="1579">
        <f>MAX('Oil &amp; Grease'!N15:N40)</f>
        <v>5.9</v>
      </c>
      <c r="O22" s="1579">
        <f>MAX('Oil &amp; Grease'!O15:O40)</f>
        <v>0</v>
      </c>
      <c r="P22" s="1579">
        <f>MAX('Oil &amp; Grease'!P15:P40)</f>
        <v>6.6</v>
      </c>
      <c r="Q22" s="1579">
        <f>MAX('Oil &amp; Grease'!Q15:Q40)</f>
        <v>7.37</v>
      </c>
      <c r="R22" s="1579">
        <f>MAX('Oil &amp; Grease'!R15:R40)</f>
        <v>0</v>
      </c>
      <c r="S22" s="1579">
        <f>MAX('Oil &amp; Grease'!S15:S40)</f>
        <v>8.1</v>
      </c>
      <c r="T22" s="1579">
        <f>MAX('Oil &amp; Grease'!X15:X40)</f>
        <v>9.9700000000000006</v>
      </c>
      <c r="U22" s="1579">
        <f>MAX('Oil &amp; Grease'!Y15:Y40)</f>
        <v>19.57</v>
      </c>
      <c r="V22" s="1579">
        <f>MAX('Oil &amp; Grease'!Z15:Z40)</f>
        <v>24</v>
      </c>
      <c r="W22" s="1579">
        <f>MAX('Oil &amp; Grease'!AA15:AA40)</f>
        <v>0</v>
      </c>
      <c r="X22" s="1579">
        <f>MAX('Oil &amp; Grease'!AB15:AB40)</f>
        <v>0</v>
      </c>
      <c r="Y22" s="1579">
        <f>MAX('Oil &amp; Grease'!AC15:AC40)</f>
        <v>0</v>
      </c>
      <c r="Z22" s="1579">
        <f>MAX('Oil &amp; Grease'!AD15:AD40)</f>
        <v>0</v>
      </c>
      <c r="AA22" s="1579">
        <f>MAX('Oil &amp; Grease'!AE15:AE40)</f>
        <v>0</v>
      </c>
      <c r="AB22" s="1579">
        <f>MAX('Oil &amp; Grease'!AF15:AF40)</f>
        <v>0</v>
      </c>
      <c r="AC22" s="1579">
        <f>MAX('Oil &amp; Grease'!AG15:AG40)</f>
        <v>0</v>
      </c>
      <c r="AD22" s="1579">
        <f>MAX('Oil &amp; Grease'!AH15:AH40)</f>
        <v>0</v>
      </c>
      <c r="AE22" s="1579">
        <f>MAX('Oil &amp; Grease'!AI15:AI40)</f>
        <v>0</v>
      </c>
    </row>
    <row r="23" spans="1:31">
      <c r="A23" s="3570"/>
      <c r="B23" s="3867"/>
      <c r="C23" s="1581" t="s">
        <v>313</v>
      </c>
      <c r="D23" s="1579">
        <f>MIN('Oil &amp; Grease'!D15:D40)</f>
        <v>2.57</v>
      </c>
      <c r="E23" s="1579">
        <f>MIN('Oil &amp; Grease'!E15:E40)</f>
        <v>1.8</v>
      </c>
      <c r="F23" s="1579">
        <f>MIN('Oil &amp; Grease'!F15:F40)</f>
        <v>1.4</v>
      </c>
      <c r="G23" s="1579">
        <f>MIN('Oil &amp; Grease'!G15:G40)</f>
        <v>1.9</v>
      </c>
      <c r="H23" s="1579">
        <f>MIN('Oil &amp; Grease'!H15:H40)</f>
        <v>2.4</v>
      </c>
      <c r="I23" s="1579">
        <f>MIN('Oil &amp; Grease'!I15:I40)</f>
        <v>2.25</v>
      </c>
      <c r="J23" s="1579">
        <f>MIN('Oil &amp; Grease'!J15:J40)</f>
        <v>2.0670000000000002</v>
      </c>
      <c r="K23" s="1579">
        <f>MIN('Oil &amp; Grease'!K15:K40)</f>
        <v>2.0699999999999998</v>
      </c>
      <c r="L23" s="1579">
        <f>MIN('Oil &amp; Grease'!L15:L40)</f>
        <v>2.5299999999999998</v>
      </c>
      <c r="M23" s="1579">
        <f>MIN('Oil &amp; Grease'!M15:M40)</f>
        <v>3.6</v>
      </c>
      <c r="N23" s="1579">
        <f>MIN('Oil &amp; Grease'!N15:N40)</f>
        <v>1.07</v>
      </c>
      <c r="O23" s="1579">
        <f>MIN('Oil &amp; Grease'!O15:O40)</f>
        <v>0</v>
      </c>
      <c r="P23" s="1579">
        <f>MIN('Oil &amp; Grease'!P15:P40)</f>
        <v>3.4</v>
      </c>
      <c r="Q23" s="1579">
        <f>MIN('Oil &amp; Grease'!Q15:Q40)</f>
        <v>3.5</v>
      </c>
      <c r="R23" s="1579">
        <f>MIN('Oil &amp; Grease'!R15:R40)</f>
        <v>0</v>
      </c>
      <c r="S23" s="1579">
        <f>MIN('Oil &amp; Grease'!S15:S40)</f>
        <v>2.36</v>
      </c>
      <c r="T23" s="1579">
        <f>MIN('Oil &amp; Grease'!X15:X40)</f>
        <v>2.63</v>
      </c>
      <c r="U23" s="1579">
        <f>MIN('Oil &amp; Grease'!Y15:Y40)</f>
        <v>2.33</v>
      </c>
      <c r="V23" s="1579">
        <f>MIN('Oil &amp; Grease'!Z15:Z40)</f>
        <v>11.67</v>
      </c>
      <c r="W23" s="1579">
        <f>MIN('Oil &amp; Grease'!AA15:AA40)</f>
        <v>0</v>
      </c>
      <c r="X23" s="1579">
        <f>MIN('Oil &amp; Grease'!AB15:AB40)</f>
        <v>0</v>
      </c>
      <c r="Y23" s="1579">
        <f>MIN('Oil &amp; Grease'!AC15:AC40)</f>
        <v>0</v>
      </c>
      <c r="Z23" s="1579">
        <f>MIN('Oil &amp; Grease'!AD15:AD40)</f>
        <v>0</v>
      </c>
      <c r="AA23" s="1579">
        <f>MIN('Oil &amp; Grease'!AE15:AE40)</f>
        <v>0</v>
      </c>
      <c r="AB23" s="1579">
        <f>MIN('Oil &amp; Grease'!AF15:AF40)</f>
        <v>0</v>
      </c>
      <c r="AC23" s="1579">
        <f>MIN('Oil &amp; Grease'!AG15:AG40)</f>
        <v>0</v>
      </c>
      <c r="AD23" s="1579">
        <f>MIN('Oil &amp; Grease'!AH15:AH40)</f>
        <v>0</v>
      </c>
      <c r="AE23" s="1579">
        <f>MIN('Oil &amp; Grease'!AI15:AI40)</f>
        <v>0</v>
      </c>
    </row>
    <row r="24" spans="1:31">
      <c r="A24" s="3571"/>
      <c r="B24" s="3868"/>
      <c r="C24" s="1581" t="s">
        <v>315</v>
      </c>
      <c r="D24" s="1579">
        <f>AVERAGE('Oil &amp; Grease'!D15:D40)</f>
        <v>4.0619230769230779</v>
      </c>
      <c r="E24" s="1579">
        <f>AVERAGE('Oil &amp; Grease'!E15:E40)</f>
        <v>3.0211538461538461</v>
      </c>
      <c r="F24" s="1579">
        <f>AVERAGE('Oil &amp; Grease'!F15:F40)</f>
        <v>2.8384615384615395</v>
      </c>
      <c r="G24" s="1579">
        <f>AVERAGE('Oil &amp; Grease'!G15:G40)</f>
        <v>2.8884615384615384</v>
      </c>
      <c r="H24" s="1579">
        <f>AVERAGE('Oil &amp; Grease'!H15:H40)</f>
        <v>3.8984615384615378</v>
      </c>
      <c r="I24" s="1579">
        <f>AVERAGE('Oil &amp; Grease'!I15:I40)</f>
        <v>3.65</v>
      </c>
      <c r="J24" s="1579">
        <f>AVERAGE('Oil &amp; Grease'!J15:J40)</f>
        <v>3.4352692307692312</v>
      </c>
      <c r="K24" s="1579">
        <f>AVERAGE('Oil &amp; Grease'!K15:K40)</f>
        <v>3.7189473684210523</v>
      </c>
      <c r="L24" s="1579">
        <f>AVERAGE('Oil &amp; Grease'!L15:L40)</f>
        <v>4.2964000000000002</v>
      </c>
      <c r="M24" s="1579">
        <f>AVERAGE('Oil &amp; Grease'!M15:M40)</f>
        <v>4.5599999999999996</v>
      </c>
      <c r="N24" s="1579">
        <f>AVERAGE('Oil &amp; Grease'!N15:N40)</f>
        <v>4.0653846153846152</v>
      </c>
      <c r="O24" s="1579" t="e">
        <f>AVERAGE('Oil &amp; Grease'!O15:O40)</f>
        <v>#DIV/0!</v>
      </c>
      <c r="P24" s="1579">
        <f>AVERAGE('Oil &amp; Grease'!P15:P40)</f>
        <v>5.215789473684211</v>
      </c>
      <c r="Q24" s="1579">
        <f>AVERAGE('Oil &amp; Grease'!Q15:Q40)</f>
        <v>4.6163157894736848</v>
      </c>
      <c r="R24" s="1579" t="e">
        <f>AVERAGE('Oil &amp; Grease'!R15:R40)</f>
        <v>#DIV/0!</v>
      </c>
      <c r="S24" s="1579">
        <f>AVERAGE('Oil &amp; Grease'!S15:S40)</f>
        <v>4.6203846153846158</v>
      </c>
      <c r="T24" s="1579">
        <f>AVERAGE('Oil &amp; Grease'!X15:X40)</f>
        <v>4.9784615384615396</v>
      </c>
      <c r="U24" s="1579">
        <f>AVERAGE('Oil &amp; Grease'!Y15:Y40)</f>
        <v>5.81076923076923</v>
      </c>
      <c r="V24" s="1579">
        <f>AVERAGE('Oil &amp; Grease'!Z15:Z40)</f>
        <v>18.2</v>
      </c>
      <c r="W24" s="1579" t="e">
        <f>AVERAGE('Oil &amp; Grease'!AA15:AA40)</f>
        <v>#DIV/0!</v>
      </c>
      <c r="X24" s="1579" t="e">
        <f>AVERAGE('Oil &amp; Grease'!AB15:AB40)</f>
        <v>#DIV/0!</v>
      </c>
      <c r="Y24" s="1579" t="e">
        <f>AVERAGE('Oil &amp; Grease'!AC15:AC40)</f>
        <v>#DIV/0!</v>
      </c>
      <c r="Z24" s="1579" t="e">
        <f>AVERAGE('Oil &amp; Grease'!AD15:AD40)</f>
        <v>#DIV/0!</v>
      </c>
      <c r="AA24" s="1579" t="e">
        <f>AVERAGE('Oil &amp; Grease'!AE15:AE40)</f>
        <v>#DIV/0!</v>
      </c>
      <c r="AB24" s="1579" t="e">
        <f>AVERAGE('Oil &amp; Grease'!AF15:AF40)</f>
        <v>#DIV/0!</v>
      </c>
      <c r="AC24" s="1579" t="e">
        <f>AVERAGE('Oil &amp; Grease'!AG15:AG40)</f>
        <v>#DIV/0!</v>
      </c>
      <c r="AD24" s="1579" t="e">
        <f>AVERAGE('Oil &amp; Grease'!AH15:AH40)</f>
        <v>#DIV/0!</v>
      </c>
      <c r="AE24" s="1579" t="e">
        <f>AVERAGE('Oil &amp; Grease'!AI15:AI40)</f>
        <v>#DIV/0!</v>
      </c>
    </row>
    <row r="25" spans="1:31">
      <c r="A25" s="3569" t="s">
        <v>316</v>
      </c>
      <c r="B25" s="3869" t="s">
        <v>201</v>
      </c>
      <c r="C25" s="1581" t="s">
        <v>312</v>
      </c>
      <c r="D25" s="1580">
        <f>MAX(DO!E145:E158)</f>
        <v>7.63</v>
      </c>
      <c r="E25" s="1580">
        <f>MAX(DO!F145:F158)</f>
        <v>6.0149999999999997</v>
      </c>
      <c r="F25" s="1580">
        <f>MAX(DO!G145:G158)</f>
        <v>3.75</v>
      </c>
      <c r="G25" s="1580">
        <f>MAX(DO!H145:H158)</f>
        <v>5.3233333333333333</v>
      </c>
      <c r="H25" s="1580">
        <f>MAX(DO!I145:I158)</f>
        <v>5.4966666666666661</v>
      </c>
      <c r="I25" s="1580">
        <f>MAX(DO!J145:J158)</f>
        <v>4.0999999999999996</v>
      </c>
      <c r="J25" s="1580">
        <f>MAX(DO!K145:K158)</f>
        <v>5.2666666666666666</v>
      </c>
      <c r="K25" s="1580">
        <f>MAX(DO!L145:L158)</f>
        <v>5.666666666666667</v>
      </c>
      <c r="L25" s="1580">
        <f>MAX(DO!M145:M158)</f>
        <v>5.0666666666666664</v>
      </c>
      <c r="M25" s="1580">
        <f>MAX(DO!N145:N158)</f>
        <v>5.15</v>
      </c>
      <c r="N25" s="1580">
        <f>MAX(DO!O145:O158)</f>
        <v>5.63</v>
      </c>
      <c r="O25" s="1580">
        <f>MAX(DO!P145:P158)</f>
        <v>0</v>
      </c>
      <c r="P25" s="1580">
        <f>MAX(DO!Q145:Q158)</f>
        <v>6.1</v>
      </c>
      <c r="Q25" s="1580">
        <f>MAX(DO!R145:R158)</f>
        <v>4.7</v>
      </c>
      <c r="R25" s="1580">
        <f>MAX(DO!S145:S158)</f>
        <v>8.5399999999999991</v>
      </c>
      <c r="S25" s="1580">
        <f>MAX(DO!T145:T158)</f>
        <v>8.4499999999999993</v>
      </c>
      <c r="T25" s="1580">
        <f>MAX(DO!AA145:AA158)</f>
        <v>0</v>
      </c>
      <c r="U25" s="1580">
        <f>MAX(DO!AB145:AB158)</f>
        <v>0</v>
      </c>
      <c r="V25" s="1580">
        <f>MAX(DO!AC145:AC158)</f>
        <v>0</v>
      </c>
      <c r="W25" s="1580">
        <f>MAX(DO!AD145:AD158)</f>
        <v>0</v>
      </c>
      <c r="X25" s="1580">
        <f>MAX(DO!AE145:AE158)</f>
        <v>0</v>
      </c>
      <c r="Y25" s="1580">
        <f>MAX(DO!AF145:AF158)</f>
        <v>0</v>
      </c>
      <c r="Z25" s="1580">
        <f>MAX(DO!AG145:AG158)</f>
        <v>0</v>
      </c>
      <c r="AA25" s="1580">
        <f>MAX(DO!AH145:AH158)</f>
        <v>0</v>
      </c>
      <c r="AB25" s="1580">
        <f>MAX(DO!AI145:AI158)</f>
        <v>0</v>
      </c>
      <c r="AC25" s="1580">
        <f>MAX(DO!AJ145:AJ158)</f>
        <v>0</v>
      </c>
      <c r="AD25" s="1580">
        <f>MAX(DO!AK145:AK158)</f>
        <v>0</v>
      </c>
      <c r="AE25" s="1580">
        <f>MAX(DO!AL145:AL158)</f>
        <v>0</v>
      </c>
    </row>
    <row r="26" spans="1:31" s="1560" customFormat="1">
      <c r="A26" s="3570"/>
      <c r="B26" s="3870"/>
      <c r="C26" s="1581" t="s">
        <v>313</v>
      </c>
      <c r="D26" s="1580">
        <f>MIN(DO!E145:E158)</f>
        <v>0.05</v>
      </c>
      <c r="E26" s="1580">
        <f>MIN(DO!F145:F158)</f>
        <v>1.32</v>
      </c>
      <c r="F26" s="1580">
        <f>MIN(DO!G145:G158)</f>
        <v>1.27</v>
      </c>
      <c r="G26" s="1580">
        <f>MIN(DO!H145:H158)</f>
        <v>0.87666666666666659</v>
      </c>
      <c r="H26" s="1580">
        <f>MIN(DO!I145:I158)</f>
        <v>0.53333333333333333</v>
      </c>
      <c r="I26" s="1580">
        <f>MIN(DO!J145:J158)</f>
        <v>0</v>
      </c>
      <c r="J26" s="1580">
        <f>MIN(DO!K145:K158)</f>
        <v>0</v>
      </c>
      <c r="K26" s="1580">
        <f>MIN(DO!L145:L158)</f>
        <v>0</v>
      </c>
      <c r="L26" s="1580">
        <f>MIN(DO!M145:M158)</f>
        <v>0</v>
      </c>
      <c r="M26" s="1580">
        <f>MIN(DO!N145:N158)</f>
        <v>0</v>
      </c>
      <c r="N26" s="1580">
        <f>MIN(DO!O145:O158)</f>
        <v>0</v>
      </c>
      <c r="O26" s="1580">
        <f>MIN(DO!P145:P158)</f>
        <v>0</v>
      </c>
      <c r="P26" s="1580">
        <f>MIN(DO!Q145:Q158)</f>
        <v>0.2</v>
      </c>
      <c r="Q26" s="1580">
        <f>MIN(DO!R145:R158)</f>
        <v>0.51</v>
      </c>
      <c r="R26" s="1580">
        <f>MIN(DO!S145:S158)</f>
        <v>1.83</v>
      </c>
      <c r="S26" s="1580">
        <f>MIN(DO!T145:T158)</f>
        <v>0.44</v>
      </c>
      <c r="T26" s="1580">
        <f>MIN(DO!AA145:AA158)</f>
        <v>0</v>
      </c>
      <c r="U26" s="1580">
        <f>MIN(DO!AB145:AB158)</f>
        <v>0</v>
      </c>
      <c r="V26" s="1580">
        <f>MIN(DO!AC145:AC158)</f>
        <v>0</v>
      </c>
      <c r="W26" s="1580">
        <f>MIN(DO!AD145:AD158)</f>
        <v>0</v>
      </c>
      <c r="X26" s="1580">
        <f>MIN(DO!AE145:AE158)</f>
        <v>0</v>
      </c>
      <c r="Y26" s="1580">
        <f>MIN(DO!AF145:AF158)</f>
        <v>0</v>
      </c>
      <c r="Z26" s="1580">
        <f>MIN(DO!AG145:AG158)</f>
        <v>0</v>
      </c>
      <c r="AA26" s="1580">
        <f>MIN(DO!AH145:AH158)</f>
        <v>0</v>
      </c>
      <c r="AB26" s="1580">
        <f>MIN(DO!AI145:AI158)</f>
        <v>0</v>
      </c>
      <c r="AC26" s="1580">
        <f>MIN(DO!AJ145:AJ158)</f>
        <v>0</v>
      </c>
      <c r="AD26" s="1580">
        <f>MIN(DO!AK145:AK158)</f>
        <v>0</v>
      </c>
      <c r="AE26" s="1580">
        <f>MIN(DO!AL145:AL158)</f>
        <v>0</v>
      </c>
    </row>
    <row r="27" spans="1:31" s="1560" customFormat="1">
      <c r="A27" s="3570"/>
      <c r="B27" s="3871"/>
      <c r="C27" s="1581" t="s">
        <v>315</v>
      </c>
      <c r="D27" s="1580">
        <f>AVERAGE(DO!E145:E158)</f>
        <v>2.7971428571428563</v>
      </c>
      <c r="E27" s="1580">
        <f>AVERAGE(DO!F145:F158)</f>
        <v>2.8971428571428572</v>
      </c>
      <c r="F27" s="1580">
        <f>AVERAGE(DO!G145:G158)</f>
        <v>2.2596428571428566</v>
      </c>
      <c r="G27" s="1580">
        <f>AVERAGE(DO!H145:H158)</f>
        <v>3.0949999999999998</v>
      </c>
      <c r="H27" s="1580">
        <f>AVERAGE(DO!I145:I158)</f>
        <v>2.5369047619047618</v>
      </c>
      <c r="I27" s="1580">
        <f>AVERAGE(DO!J145:J158)</f>
        <v>2.4476190476190487</v>
      </c>
      <c r="J27" s="1580">
        <f>AVERAGE(DO!K145:K158)</f>
        <v>3.5071428571428571</v>
      </c>
      <c r="K27" s="1580">
        <f>AVERAGE(DO!L145:L158)</f>
        <v>3.0261904761904761</v>
      </c>
      <c r="L27" s="1580">
        <f>AVERAGE(DO!M145:M158)</f>
        <v>2.3404761904761906</v>
      </c>
      <c r="M27" s="1580">
        <f>AVERAGE(DO!N145:N158)</f>
        <v>1.8578571428571424</v>
      </c>
      <c r="N27" s="1580">
        <f>AVERAGE(DO!O145:O158)</f>
        <v>2.782142857142857</v>
      </c>
      <c r="O27" s="1580" t="e">
        <f>AVERAGE(DO!P145:P158)</f>
        <v>#DIV/0!</v>
      </c>
      <c r="P27" s="1580">
        <f>AVERAGE(DO!Q145:Q158)</f>
        <v>2.2435714285714288</v>
      </c>
      <c r="Q27" s="1580">
        <f>AVERAGE(DO!R145:R158)</f>
        <v>1.1492307692307693</v>
      </c>
      <c r="R27" s="1580">
        <f>AVERAGE(DO!S145:S158)</f>
        <v>4.7</v>
      </c>
      <c r="S27" s="1580">
        <f>AVERAGE(DO!T145:T158)</f>
        <v>3.347857142857142</v>
      </c>
      <c r="T27" s="1580" t="e">
        <f>AVERAGE(DO!AA145:AA158)</f>
        <v>#DIV/0!</v>
      </c>
      <c r="U27" s="1580" t="e">
        <f>AVERAGE(DO!AB145:AB158)</f>
        <v>#DIV/0!</v>
      </c>
      <c r="V27" s="1580" t="e">
        <f>AVERAGE(DO!AC145:AC158)</f>
        <v>#DIV/0!</v>
      </c>
      <c r="W27" s="1580" t="e">
        <f>AVERAGE(DO!AD145:AD158)</f>
        <v>#DIV/0!</v>
      </c>
      <c r="X27" s="1580" t="e">
        <f>AVERAGE(DO!AE145:AE158)</f>
        <v>#DIV/0!</v>
      </c>
      <c r="Y27" s="1580" t="e">
        <f>AVERAGE(DO!AF145:AF158)</f>
        <v>#DIV/0!</v>
      </c>
      <c r="Z27" s="1580" t="e">
        <f>AVERAGE(DO!AG145:AG158)</f>
        <v>#DIV/0!</v>
      </c>
      <c r="AA27" s="1580" t="e">
        <f>AVERAGE(DO!AH145:AH158)</f>
        <v>#DIV/0!</v>
      </c>
      <c r="AB27" s="1580" t="e">
        <f>AVERAGE(DO!AI145:AI158)</f>
        <v>#DIV/0!</v>
      </c>
      <c r="AC27" s="1580" t="e">
        <f>AVERAGE(DO!AJ145:AJ158)</f>
        <v>#DIV/0!</v>
      </c>
      <c r="AD27" s="1580" t="e">
        <f>AVERAGE(DO!AK145:AK158)</f>
        <v>#DIV/0!</v>
      </c>
      <c r="AE27" s="1580" t="e">
        <f>AVERAGE(DO!AL145:AL158)</f>
        <v>#DIV/0!</v>
      </c>
    </row>
    <row r="28" spans="1:31">
      <c r="A28" s="3570"/>
      <c r="B28" s="3869" t="s">
        <v>203</v>
      </c>
      <c r="C28" s="1581" t="s">
        <v>312</v>
      </c>
      <c r="D28" s="1580">
        <f>MAX(BOD!D139:D152)</f>
        <v>146</v>
      </c>
      <c r="E28" s="1580">
        <f>MAX(BOD!E139:E152)</f>
        <v>134.25</v>
      </c>
      <c r="F28" s="1580">
        <f>MAX(BOD!F139:F152)</f>
        <v>84.333333333333329</v>
      </c>
      <c r="G28" s="1580">
        <f>MAX(BOD!G139:G152)</f>
        <v>110</v>
      </c>
      <c r="H28" s="1580">
        <f>MAX(BOD!H139:H152)</f>
        <v>68</v>
      </c>
      <c r="I28" s="1580">
        <f>MAX(BOD!I139:I152)</f>
        <v>81.333333333333329</v>
      </c>
      <c r="J28" s="1580">
        <f>MAX(BOD!J139:J152)</f>
        <v>57.44</v>
      </c>
      <c r="K28" s="1580">
        <f>MAX(BOD!K139:K152)</f>
        <v>70.666666666666671</v>
      </c>
      <c r="L28" s="1580">
        <f>MAX(BOD!L139:L152)</f>
        <v>82.666666666666671</v>
      </c>
      <c r="M28" s="1580">
        <f>MAX(BOD!M139:M152)</f>
        <v>99</v>
      </c>
      <c r="N28" s="1580">
        <f>MAX(BOD!N139:N152)</f>
        <v>101.33</v>
      </c>
      <c r="O28" s="1580">
        <f>MAX(BOD!O139:O152)</f>
        <v>0</v>
      </c>
      <c r="P28" s="1580">
        <f>MAX(BOD!P139:P152)</f>
        <v>109.33</v>
      </c>
      <c r="Q28" s="1580">
        <f>MAX(BOD!Q139:Q152)</f>
        <v>0</v>
      </c>
      <c r="R28" s="1580">
        <f>MAX(BOD!R139:R152)</f>
        <v>139.5</v>
      </c>
      <c r="S28" s="1580">
        <f>MAX(BOD!S139:S152)</f>
        <v>169</v>
      </c>
      <c r="T28" s="1580">
        <f>MAX(BOD!X139:X152)</f>
        <v>138</v>
      </c>
      <c r="U28" s="1580">
        <f>MAX(BOD!Y139:Y152)</f>
        <v>0</v>
      </c>
      <c r="V28" s="1580">
        <f>MAX(BOD!Z139:Z152)</f>
        <v>0</v>
      </c>
      <c r="W28" s="1580">
        <f>MAX(BOD!AA139:AA152)</f>
        <v>0</v>
      </c>
      <c r="X28" s="1580">
        <f>MAX(BOD!AF123:AF136)</f>
        <v>0</v>
      </c>
      <c r="Y28" s="1580">
        <f>MAX(BOD!AG123:AG136)</f>
        <v>0</v>
      </c>
      <c r="Z28" s="1580">
        <f>MAX(BOD!AH123:AH136)</f>
        <v>0</v>
      </c>
      <c r="AA28" s="1580">
        <f>MAX(BOD!AI123:AI136)</f>
        <v>0</v>
      </c>
      <c r="AB28" s="1580">
        <f>MAX(BOD!AJ123:AJ136)</f>
        <v>0</v>
      </c>
      <c r="AC28" s="1580">
        <f>MAX(BOD!AK123:AK136)</f>
        <v>0</v>
      </c>
      <c r="AD28" s="1580">
        <f>MAX(BOD!AL123:AL136)</f>
        <v>0</v>
      </c>
      <c r="AE28" s="1580">
        <f>MAX(BOD!AM123:AM136)</f>
        <v>0</v>
      </c>
    </row>
    <row r="29" spans="1:31" s="1560" customFormat="1">
      <c r="A29" s="3570"/>
      <c r="B29" s="3870"/>
      <c r="C29" s="1581" t="s">
        <v>313</v>
      </c>
      <c r="D29" s="1580">
        <f>MIN(BOD!D139:D152)</f>
        <v>9</v>
      </c>
      <c r="E29" s="1580">
        <f>MIN(BOD!E139:E152)</f>
        <v>6.5</v>
      </c>
      <c r="F29" s="1580">
        <f>MIN(BOD!F139:F152)</f>
        <v>5</v>
      </c>
      <c r="G29" s="1580">
        <f>MIN(BOD!G139:G152)</f>
        <v>6</v>
      </c>
      <c r="H29" s="1580">
        <f>MIN(BOD!H139:H152)</f>
        <v>3.6666666666666665</v>
      </c>
      <c r="I29" s="1580">
        <f>MIN(BOD!I139:I152)</f>
        <v>4.333333333333333</v>
      </c>
      <c r="J29" s="1580">
        <f>MIN(BOD!J139:J152)</f>
        <v>5.1100000000000003</v>
      </c>
      <c r="K29" s="1580">
        <f>MIN(BOD!K139:K152)</f>
        <v>5</v>
      </c>
      <c r="L29" s="1580">
        <f>MIN(BOD!L139:L152)</f>
        <v>6.666666666666667</v>
      </c>
      <c r="M29" s="1580">
        <f>MIN(BOD!M139:M152)</f>
        <v>8.67</v>
      </c>
      <c r="N29" s="1580">
        <f>MIN(BOD!N139:N152)</f>
        <v>6</v>
      </c>
      <c r="O29" s="1580">
        <f>MIN(BOD!O139:O152)</f>
        <v>0</v>
      </c>
      <c r="P29" s="1580">
        <f>MIN(BOD!P139:P152)</f>
        <v>9.33</v>
      </c>
      <c r="Q29" s="1580">
        <f>MIN(BOD!Q139:Q152)</f>
        <v>0</v>
      </c>
      <c r="R29" s="1580">
        <f>MIN(BOD!R139:R152)</f>
        <v>6</v>
      </c>
      <c r="S29" s="1580">
        <f>MIN(BOD!S139:S152)</f>
        <v>3.67</v>
      </c>
      <c r="T29" s="1580">
        <f>MIN(BOD!X139:X152)</f>
        <v>9.67</v>
      </c>
      <c r="U29" s="1580">
        <f>MIN(BOD!Y139:Y152)</f>
        <v>0</v>
      </c>
      <c r="V29" s="1580">
        <f>MIN(BOD!Z139:Z152)</f>
        <v>0</v>
      </c>
      <c r="W29" s="1580">
        <f>MIN(BOD!AA139:AA152)</f>
        <v>0</v>
      </c>
      <c r="X29" s="1580">
        <f>MIN(BOD!AF123:AF136)</f>
        <v>0</v>
      </c>
      <c r="Y29" s="1580">
        <f>MIN(BOD!AG123:AG136)</f>
        <v>0</v>
      </c>
      <c r="Z29" s="1580">
        <f>MIN(BOD!AH123:AH136)</f>
        <v>0</v>
      </c>
      <c r="AA29" s="1580">
        <f>MIN(BOD!AI123:AI136)</f>
        <v>0</v>
      </c>
      <c r="AB29" s="1580">
        <f>MIN(BOD!AJ123:AJ136)</f>
        <v>0</v>
      </c>
      <c r="AC29" s="1580">
        <f>MIN(BOD!AK123:AK136)</f>
        <v>0</v>
      </c>
      <c r="AD29" s="1580">
        <f>MIN(BOD!AL123:AL136)</f>
        <v>0</v>
      </c>
      <c r="AE29" s="1580">
        <f>MIN(BOD!AM123:AM136)</f>
        <v>0</v>
      </c>
    </row>
    <row r="30" spans="1:31" s="1560" customFormat="1">
      <c r="A30" s="3570"/>
      <c r="B30" s="3871"/>
      <c r="C30" s="1581" t="s">
        <v>315</v>
      </c>
      <c r="D30" s="1580">
        <f>AVERAGE(BOD!D139:D152)</f>
        <v>42.285714285714285</v>
      </c>
      <c r="E30" s="1580">
        <f>AVERAGE(BOD!E139:E152)</f>
        <v>38.017857142857146</v>
      </c>
      <c r="F30" s="1580">
        <f>AVERAGE(BOD!F139:F152)</f>
        <v>24.535714285714285</v>
      </c>
      <c r="G30" s="1580">
        <f>AVERAGE(BOD!G139:G152)</f>
        <v>31.142857142857142</v>
      </c>
      <c r="H30" s="1580">
        <f>AVERAGE(BOD!H139:H152)</f>
        <v>24.61904761904762</v>
      </c>
      <c r="I30" s="1580">
        <f>AVERAGE(BOD!I139:I152)</f>
        <v>29.166666666666661</v>
      </c>
      <c r="J30" s="1580">
        <f>AVERAGE(BOD!J139:J152)</f>
        <v>23.769285714285711</v>
      </c>
      <c r="K30" s="1580">
        <f>AVERAGE(BOD!K139:K152)</f>
        <v>21.047619047619047</v>
      </c>
      <c r="L30" s="1580">
        <f>AVERAGE(BOD!L139:L152)</f>
        <v>31.857142857142854</v>
      </c>
      <c r="M30" s="1580">
        <f>AVERAGE(BOD!M139:M152)</f>
        <v>40.952857142857148</v>
      </c>
      <c r="N30" s="1580">
        <f>AVERAGE(BOD!N139:N152)</f>
        <v>30.404285714285709</v>
      </c>
      <c r="O30" s="1580" t="e">
        <f>AVERAGE(BOD!O139:O152)</f>
        <v>#DIV/0!</v>
      </c>
      <c r="P30" s="1580">
        <f>AVERAGE(BOD!P139:P152)</f>
        <v>45.118571428571421</v>
      </c>
      <c r="Q30" s="1580" t="e">
        <f>AVERAGE(BOD!Q139:Q152)</f>
        <v>#DIV/0!</v>
      </c>
      <c r="R30" s="1580">
        <f>AVERAGE(BOD!R139:R152)</f>
        <v>35.928571428571431</v>
      </c>
      <c r="S30" s="1580">
        <f>AVERAGE(BOD!S139:S152)</f>
        <v>36.04785714285714</v>
      </c>
      <c r="T30" s="1580">
        <f>AVERAGE(BOD!X139:X152)</f>
        <v>58.570714285714295</v>
      </c>
      <c r="U30" s="1580" t="e">
        <f>AVERAGE(BOD!Y139:Y152)</f>
        <v>#DIV/0!</v>
      </c>
      <c r="V30" s="1580" t="e">
        <f>AVERAGE(BOD!Z139:Z152)</f>
        <v>#DIV/0!</v>
      </c>
      <c r="W30" s="1580" t="e">
        <f>AVERAGE(BOD!AA139:AA152)</f>
        <v>#DIV/0!</v>
      </c>
      <c r="X30" s="1580" t="e">
        <f>AVERAGE(BOD!AF123:AF136)</f>
        <v>#DIV/0!</v>
      </c>
      <c r="Y30" s="1580" t="e">
        <f>AVERAGE(BOD!AG123:AG136)</f>
        <v>#DIV/0!</v>
      </c>
      <c r="Z30" s="1580" t="e">
        <f>AVERAGE(BOD!AH123:AH136)</f>
        <v>#DIV/0!</v>
      </c>
      <c r="AA30" s="1580" t="e">
        <f>AVERAGE(BOD!AI123:AI136)</f>
        <v>#DIV/0!</v>
      </c>
      <c r="AB30" s="1580" t="e">
        <f>AVERAGE(BOD!AJ123:AJ136)</f>
        <v>#DIV/0!</v>
      </c>
      <c r="AC30" s="1580" t="e">
        <f>AVERAGE(BOD!AK123:AK136)</f>
        <v>#DIV/0!</v>
      </c>
      <c r="AD30" s="1580" t="e">
        <f>AVERAGE(BOD!AL123:AL136)</f>
        <v>#DIV/0!</v>
      </c>
      <c r="AE30" s="1580" t="e">
        <f>AVERAGE(BOD!AM123:AM136)</f>
        <v>#DIV/0!</v>
      </c>
    </row>
    <row r="31" spans="1:31">
      <c r="A31" s="3570"/>
      <c r="B31" s="3869" t="s">
        <v>204</v>
      </c>
      <c r="C31" s="1581" t="s">
        <v>312</v>
      </c>
      <c r="D31" s="1580">
        <f>MAX(TSS!D139:D152)</f>
        <v>62</v>
      </c>
      <c r="E31" s="1580">
        <f>MAX(TSS!E139:E152)</f>
        <v>87.5</v>
      </c>
      <c r="F31" s="1580">
        <f>MAX(TSS!F139:F152)</f>
        <v>48.666666666666664</v>
      </c>
      <c r="G31" s="1580">
        <f>MAX(TSS!G139:G152)</f>
        <v>46.166666666666664</v>
      </c>
      <c r="H31" s="1580">
        <f>MAX(TSS!H139:H152)</f>
        <v>51</v>
      </c>
      <c r="I31" s="1580">
        <f>MAX(TSS!I139:I152)</f>
        <v>37.333333333333336</v>
      </c>
      <c r="J31" s="1580">
        <f>MAX(TSS!J139:J152)</f>
        <v>35.89</v>
      </c>
      <c r="K31" s="1580">
        <f>MAX(TSS!K139:K152)</f>
        <v>35.333333333333336</v>
      </c>
      <c r="L31" s="1580">
        <f>MAX(TSS!L139:L152)</f>
        <v>50.666666666666664</v>
      </c>
      <c r="M31" s="1580">
        <f>MAX(TSS!M139:M152)</f>
        <v>55.33</v>
      </c>
      <c r="N31" s="1580">
        <f>MAX(TSS!N139:N152)</f>
        <v>43</v>
      </c>
      <c r="O31" s="1580">
        <f>MAX(TSS!O139:O152)</f>
        <v>0</v>
      </c>
      <c r="P31" s="1580">
        <f>MAX(TSS!P139:P152)</f>
        <v>0</v>
      </c>
      <c r="Q31" s="1580">
        <f>MAX(TSS!Q139:Q152)</f>
        <v>0</v>
      </c>
      <c r="R31" s="1580">
        <f>MAX(TSS!R139:R152)</f>
        <v>568.33000000000004</v>
      </c>
      <c r="S31" s="1580">
        <f>MAX(TSS!S139:S152)</f>
        <v>84</v>
      </c>
      <c r="T31" s="1580" t="e">
        <f>MAX(TSS!#REF!)</f>
        <v>#REF!</v>
      </c>
      <c r="U31" s="1580">
        <f>MAX(TSS!Y139:Y152)</f>
        <v>0</v>
      </c>
      <c r="V31" s="1580">
        <f>MAX(TSS!Z139:Z152)</f>
        <v>0</v>
      </c>
      <c r="W31" s="1580">
        <f>MAX(TSS!AA139:AA152)</f>
        <v>0</v>
      </c>
      <c r="X31" s="1580" t="e">
        <f>MAX(TSS!AB123:AB136)</f>
        <v>#VALUE!</v>
      </c>
      <c r="Y31" s="1580" t="e">
        <f>MAX(TSS!AC123:AC136)</f>
        <v>#DIV/0!</v>
      </c>
      <c r="Z31" s="1580" t="e">
        <f>MAX(TSS!AD123:AD136)</f>
        <v>#DIV/0!</v>
      </c>
      <c r="AA31" s="1580" t="e">
        <f>MAX(TSS!AE123:AE136)</f>
        <v>#DIV/0!</v>
      </c>
      <c r="AB31" s="1580">
        <f>MAX(TSS!AF123:AF136)</f>
        <v>0</v>
      </c>
      <c r="AC31" s="1580">
        <f>MAX(TSS!AG123:AG136)</f>
        <v>0</v>
      </c>
      <c r="AD31" s="1580">
        <f>MAX(TSS!AH123:AH136)</f>
        <v>0</v>
      </c>
      <c r="AE31" s="1580">
        <f>MAX(TSS!AI123:AI136)</f>
        <v>0</v>
      </c>
    </row>
    <row r="32" spans="1:31" s="1560" customFormat="1">
      <c r="A32" s="3570"/>
      <c r="B32" s="3870"/>
      <c r="C32" s="1581" t="s">
        <v>313</v>
      </c>
      <c r="D32" s="1580">
        <f>MIN(TSS!D139:D152)</f>
        <v>11</v>
      </c>
      <c r="E32" s="1580">
        <f>MIN(TSS!E139:E152)</f>
        <v>6.5</v>
      </c>
      <c r="F32" s="1580">
        <f>MIN(TSS!F139:F152)</f>
        <v>4.666666666666667</v>
      </c>
      <c r="G32" s="1580">
        <f>MIN(TSS!G139:G152)</f>
        <v>5</v>
      </c>
      <c r="H32" s="1580">
        <f>MIN(TSS!H139:H152)</f>
        <v>5</v>
      </c>
      <c r="I32" s="1580">
        <f>MIN(TSS!I139:I152)</f>
        <v>5</v>
      </c>
      <c r="J32" s="1580">
        <f>MIN(TSS!J139:J152)</f>
        <v>5.67</v>
      </c>
      <c r="K32" s="1580">
        <f>MIN(TSS!K139:K152)</f>
        <v>6.666666666666667</v>
      </c>
      <c r="L32" s="1580">
        <f>MIN(TSS!L139:L152)</f>
        <v>8</v>
      </c>
      <c r="M32" s="1580">
        <f>MIN(TSS!M139:M152)</f>
        <v>11.67</v>
      </c>
      <c r="N32" s="1580">
        <f>MIN(TSS!N139:N152)</f>
        <v>7</v>
      </c>
      <c r="O32" s="1580">
        <f>MIN(TSS!O139:O152)</f>
        <v>0</v>
      </c>
      <c r="P32" s="1580">
        <f>MIN(TSS!P139:P152)</f>
        <v>0</v>
      </c>
      <c r="Q32" s="1580">
        <f>MIN(TSS!Q139:Q152)</f>
        <v>0</v>
      </c>
      <c r="R32" s="1580">
        <f>MIN(TSS!R139:R152)</f>
        <v>25.33</v>
      </c>
      <c r="S32" s="1580">
        <f>MIN(TSS!S139:S152)</f>
        <v>25</v>
      </c>
      <c r="T32" s="1580" t="e">
        <f>MIN(TSS!#REF!)</f>
        <v>#REF!</v>
      </c>
      <c r="U32" s="1580">
        <f>MIN(TSS!Y139:Y152)</f>
        <v>0</v>
      </c>
      <c r="V32" s="1580">
        <f>MIN(TSS!Z139:Z152)</f>
        <v>0</v>
      </c>
      <c r="W32" s="1580">
        <f>MIN(TSS!AA139:AA152)</f>
        <v>0</v>
      </c>
      <c r="X32" s="1580" t="e">
        <f>MIN(TSS!AB123:AB136)</f>
        <v>#VALUE!</v>
      </c>
      <c r="Y32" s="1580" t="e">
        <f>MIN(TSS!AC123:AC136)</f>
        <v>#DIV/0!</v>
      </c>
      <c r="Z32" s="1580" t="e">
        <f>MIN(TSS!AD123:AD136)</f>
        <v>#DIV/0!</v>
      </c>
      <c r="AA32" s="1580" t="e">
        <f>MIN(TSS!AE123:AE136)</f>
        <v>#DIV/0!</v>
      </c>
      <c r="AB32" s="1580">
        <f>MIN(TSS!AF123:AF136)</f>
        <v>0</v>
      </c>
      <c r="AC32" s="1580">
        <f>MIN(TSS!AG123:AG136)</f>
        <v>0</v>
      </c>
      <c r="AD32" s="1580">
        <f>MIN(TSS!AH123:AH136)</f>
        <v>0</v>
      </c>
      <c r="AE32" s="1580">
        <f>MIN(TSS!AI123:AI136)</f>
        <v>0</v>
      </c>
    </row>
    <row r="33" spans="1:31" s="1560" customFormat="1">
      <c r="A33" s="3570"/>
      <c r="B33" s="3871"/>
      <c r="C33" s="1581" t="s">
        <v>315</v>
      </c>
      <c r="D33" s="1580">
        <f>AVERAGE(TSS!D139:D152)</f>
        <v>28.5</v>
      </c>
      <c r="E33" s="1580">
        <f>AVERAGE(TSS!E139:E152)</f>
        <v>22.285714285714285</v>
      </c>
      <c r="F33" s="1580">
        <f>AVERAGE(TSS!F139:F152)</f>
        <v>16.268095238095238</v>
      </c>
      <c r="G33" s="1580">
        <f>AVERAGE(TSS!G139:G152)</f>
        <v>19.428571428571427</v>
      </c>
      <c r="H33" s="1580">
        <f>AVERAGE(TSS!H139:H152)</f>
        <v>21.904761904761902</v>
      </c>
      <c r="I33" s="1580">
        <f>AVERAGE(TSS!I139:I152)</f>
        <v>19.666666666666664</v>
      </c>
      <c r="J33" s="1580">
        <f>AVERAGE(TSS!J139:J152)</f>
        <v>18.722857142857144</v>
      </c>
      <c r="K33" s="1580">
        <f>AVERAGE(TSS!K139:K152)</f>
        <v>15.404761904761907</v>
      </c>
      <c r="L33" s="1580">
        <f>AVERAGE(TSS!L139:L152)</f>
        <v>23.214285714285712</v>
      </c>
      <c r="M33" s="1580">
        <f>AVERAGE(TSS!M139:M152)</f>
        <v>30.417857142857141</v>
      </c>
      <c r="N33" s="1580">
        <f>AVERAGE(TSS!N139:N152)</f>
        <v>22.5</v>
      </c>
      <c r="O33" s="1580" t="e">
        <f>AVERAGE(TSS!O139:O152)</f>
        <v>#DIV/0!</v>
      </c>
      <c r="P33" s="1580" t="e">
        <f>AVERAGE(TSS!P139:P152)</f>
        <v>#DIV/0!</v>
      </c>
      <c r="Q33" s="1580" t="e">
        <f>AVERAGE(TSS!Q139:Q152)</f>
        <v>#DIV/0!</v>
      </c>
      <c r="R33" s="1580">
        <f>AVERAGE(TSS!R139:R152)</f>
        <v>95</v>
      </c>
      <c r="S33" s="1580">
        <f>AVERAGE(TSS!S139:S152)</f>
        <v>43.714285714285715</v>
      </c>
      <c r="T33" s="1580" t="e">
        <f>AVERAGE(TSS!#REF!)</f>
        <v>#REF!</v>
      </c>
      <c r="U33" s="1580" t="e">
        <f>AVERAGE(TSS!Y139:Y152)</f>
        <v>#DIV/0!</v>
      </c>
      <c r="V33" s="1580" t="e">
        <f>AVERAGE(TSS!Z139:Z152)</f>
        <v>#DIV/0!</v>
      </c>
      <c r="W33" s="1580" t="e">
        <f>AVERAGE(TSS!AA139:AA152)</f>
        <v>#DIV/0!</v>
      </c>
      <c r="X33" s="1580" t="e">
        <f>AVERAGE(TSS!AB123:AB136)</f>
        <v>#VALUE!</v>
      </c>
      <c r="Y33" s="1580" t="e">
        <f>AVERAGE(TSS!AC123:AC136)</f>
        <v>#DIV/0!</v>
      </c>
      <c r="Z33" s="1580" t="e">
        <f>AVERAGE(TSS!AD123:AD136)</f>
        <v>#DIV/0!</v>
      </c>
      <c r="AA33" s="1580" t="e">
        <f>AVERAGE(TSS!AE123:AE136)</f>
        <v>#DIV/0!</v>
      </c>
      <c r="AB33" s="1580" t="e">
        <f>AVERAGE(TSS!AF123:AF136)</f>
        <v>#DIV/0!</v>
      </c>
      <c r="AC33" s="1580" t="e">
        <f>AVERAGE(TSS!AG123:AG136)</f>
        <v>#DIV/0!</v>
      </c>
      <c r="AD33" s="1580" t="e">
        <f>AVERAGE(TSS!AH123:AH136)</f>
        <v>#DIV/0!</v>
      </c>
      <c r="AE33" s="1580" t="e">
        <f>AVERAGE(TSS!AI123:AI136)</f>
        <v>#DIV/0!</v>
      </c>
    </row>
    <row r="34" spans="1:31">
      <c r="A34" s="3570"/>
      <c r="B34" s="3869" t="s">
        <v>199</v>
      </c>
      <c r="C34" s="1581" t="s">
        <v>312</v>
      </c>
      <c r="D34" s="1580">
        <f>MAX(pH!D200:D213)</f>
        <v>7.3</v>
      </c>
      <c r="E34" s="1580">
        <f>MAX(pH!E200:E213)</f>
        <v>7.2450000000000001</v>
      </c>
      <c r="F34" s="1580">
        <f>MAX(pH!F200:F213)</f>
        <v>7.4649999999999999</v>
      </c>
      <c r="G34" s="1580">
        <f>MAX(pH!G200:G213)</f>
        <v>8.07</v>
      </c>
      <c r="H34" s="1580">
        <f>MAX(pH!H200:H213)</f>
        <v>8.9566666666666652</v>
      </c>
      <c r="I34" s="1580">
        <f>MAX(pH!I200:I213)</f>
        <v>7.3299999999999992</v>
      </c>
      <c r="J34" s="1580">
        <f>MAX(pH!J200:J213)</f>
        <v>7.6233333333333322</v>
      </c>
      <c r="K34" s="1580">
        <f>MAX(pH!K200:K213)</f>
        <v>7.5133333333333328</v>
      </c>
      <c r="L34" s="1580">
        <f>MAX(pH!L200:L213)</f>
        <v>7.583333333333333</v>
      </c>
      <c r="M34" s="1580">
        <f>MAX(pH!M200:M213)</f>
        <v>7.88</v>
      </c>
      <c r="N34" s="1580">
        <f>MAX(pH!N200:N213)</f>
        <v>7.24</v>
      </c>
      <c r="O34" s="1580">
        <f>MAX(pH!O200:O213)</f>
        <v>0</v>
      </c>
      <c r="P34" s="1580">
        <f>MAX(pH!P200:P213)</f>
        <v>0</v>
      </c>
      <c r="Q34" s="1580">
        <f>MAX(pH!Q200:Q213)</f>
        <v>7.52</v>
      </c>
      <c r="R34" s="1580">
        <f>MAX(pH!R200:R213)</f>
        <v>7.49</v>
      </c>
      <c r="S34" s="1580">
        <f>MAX(pH!S200:S213)</f>
        <v>0</v>
      </c>
      <c r="T34" s="1580">
        <f>MAX(pH!X199:X199)</f>
        <v>0</v>
      </c>
      <c r="U34" s="1580">
        <f>MAX(pH!Y199:Y212)</f>
        <v>0</v>
      </c>
      <c r="V34" s="1580">
        <f>MAX(pH!Z199:Z212)</f>
        <v>0</v>
      </c>
      <c r="W34" s="1580">
        <f>MAX(pH!AA199:AA212)</f>
        <v>0</v>
      </c>
      <c r="X34" s="1580">
        <f>MAX(pH!AB183:AB196)</f>
        <v>0</v>
      </c>
      <c r="Y34" s="1580">
        <f>MAX(pH!AC183:AC196)</f>
        <v>0</v>
      </c>
      <c r="Z34" s="1580">
        <f>MAX(pH!AD183:AD196)</f>
        <v>0</v>
      </c>
      <c r="AA34" s="1580">
        <f>MAX(pH!AE183:AE196)</f>
        <v>0</v>
      </c>
      <c r="AB34" s="1580">
        <f>MAX(pH!AF183:AF196)</f>
        <v>0</v>
      </c>
      <c r="AC34" s="1580">
        <f>MAX(pH!AG183:AG196)</f>
        <v>0</v>
      </c>
      <c r="AD34" s="1580">
        <f>MAX(pH!AH183:AH196)</f>
        <v>0</v>
      </c>
      <c r="AE34" s="1580">
        <f>MAX(pH!AI183:AI196)</f>
        <v>0</v>
      </c>
    </row>
    <row r="35" spans="1:31" s="1560" customFormat="1">
      <c r="A35" s="3570"/>
      <c r="B35" s="3870"/>
      <c r="C35" s="1581" t="s">
        <v>313</v>
      </c>
      <c r="D35" s="1580">
        <f>MIN(pH!D200:D213)</f>
        <v>6.53</v>
      </c>
      <c r="E35" s="1580">
        <f>MIN(pH!E200:E213)</f>
        <v>6.45</v>
      </c>
      <c r="F35" s="1580">
        <f>MIN(pH!F200:F213)</f>
        <v>6.99</v>
      </c>
      <c r="G35" s="1580">
        <f>MIN(pH!G200:G213)</f>
        <v>7.1166666666666671</v>
      </c>
      <c r="H35" s="1580">
        <f>MIN(pH!H200:H213)</f>
        <v>4.0949999999999998</v>
      </c>
      <c r="I35" s="1580">
        <f>MIN(pH!I200:I213)</f>
        <v>6.6033333333333344</v>
      </c>
      <c r="J35" s="1580">
        <f>MIN(pH!J200:J213)</f>
        <v>7.0933333333333337</v>
      </c>
      <c r="K35" s="1580">
        <f>MIN(pH!K200:K213)</f>
        <v>6.9633333333333338</v>
      </c>
      <c r="L35" s="1580">
        <f>MIN(pH!L200:L213)</f>
        <v>7.0766666666666671</v>
      </c>
      <c r="M35" s="1580">
        <f>MIN(pH!M200:M213)</f>
        <v>7.04</v>
      </c>
      <c r="N35" s="1580">
        <f>MIN(pH!N200:N213)</f>
        <v>6.88</v>
      </c>
      <c r="O35" s="1580">
        <f>MIN(pH!O200:O213)</f>
        <v>0</v>
      </c>
      <c r="P35" s="1580">
        <f>MIN(pH!P200:P213)</f>
        <v>0</v>
      </c>
      <c r="Q35" s="1580">
        <f>MIN(pH!Q200:Q213)</f>
        <v>6.94</v>
      </c>
      <c r="R35" s="1580">
        <f>MIN(pH!R200:R213)</f>
        <v>7</v>
      </c>
      <c r="S35" s="1580">
        <f>MIN(pH!S200:S213)</f>
        <v>0</v>
      </c>
      <c r="T35" s="1580">
        <f>MIN(pH!X199:X199)</f>
        <v>0</v>
      </c>
      <c r="U35" s="1580">
        <f>MIN(pH!Y199:Y212)</f>
        <v>0</v>
      </c>
      <c r="V35" s="1580">
        <f>MIN(pH!Z199:Z212)</f>
        <v>0</v>
      </c>
      <c r="W35" s="1580">
        <f>MIN(pH!AA199:AA212)</f>
        <v>0</v>
      </c>
      <c r="X35" s="1580">
        <f>MIN(pH!AB183:AB196)</f>
        <v>0</v>
      </c>
      <c r="Y35" s="1580">
        <f>MIN(pH!AC183:AC196)</f>
        <v>0</v>
      </c>
      <c r="Z35" s="1580">
        <f>MIN(pH!AD183:AD196)</f>
        <v>0</v>
      </c>
      <c r="AA35" s="1580">
        <f>MIN(pH!AE183:AE196)</f>
        <v>0</v>
      </c>
      <c r="AB35" s="1580">
        <f>MIN(pH!AF183:AF196)</f>
        <v>0</v>
      </c>
      <c r="AC35" s="1580">
        <f>MIN(pH!AG183:AG196)</f>
        <v>0</v>
      </c>
      <c r="AD35" s="1580">
        <f>MIN(pH!AH183:AH196)</f>
        <v>0</v>
      </c>
      <c r="AE35" s="1580">
        <f>MIN(pH!AI183:AI196)</f>
        <v>0</v>
      </c>
    </row>
    <row r="36" spans="1:31" s="1560" customFormat="1">
      <c r="A36" s="3570"/>
      <c r="B36" s="3871"/>
      <c r="C36" s="1581" t="s">
        <v>315</v>
      </c>
      <c r="D36" s="1580">
        <f>AVERAGE(pH!D200:D213)</f>
        <v>7.029285714285713</v>
      </c>
      <c r="E36" s="1580">
        <f>AVERAGE(pH!E200:E213)</f>
        <v>6.9782142857142864</v>
      </c>
      <c r="F36" s="1580">
        <f>AVERAGE(pH!F200:F213)</f>
        <v>7.1642857142857137</v>
      </c>
      <c r="G36" s="1580">
        <f>AVERAGE(pH!G200:G213)</f>
        <v>7.6721428571428572</v>
      </c>
      <c r="H36" s="1580">
        <f>AVERAGE(pH!H200:H213)</f>
        <v>5.8641666666666667</v>
      </c>
      <c r="I36" s="1580">
        <f>AVERAGE(pH!I200:I213)</f>
        <v>7.0514285714285716</v>
      </c>
      <c r="J36" s="1580">
        <f>AVERAGE(pH!J200:J213)</f>
        <v>7.3247619047619041</v>
      </c>
      <c r="K36" s="1580">
        <f>AVERAGE(pH!K200:K213)</f>
        <v>7.2164285714285707</v>
      </c>
      <c r="L36" s="1580">
        <f>AVERAGE(pH!L200:L213)</f>
        <v>7.2495238095238088</v>
      </c>
      <c r="M36" s="1580">
        <f>AVERAGE(pH!M200:M213)</f>
        <v>7.29</v>
      </c>
      <c r="N36" s="1580">
        <f>AVERAGE(pH!N200:N213)</f>
        <v>7.06</v>
      </c>
      <c r="O36" s="1580" t="e">
        <f>AVERAGE(pH!O200:O213)</f>
        <v>#DIV/0!</v>
      </c>
      <c r="P36" s="1580" t="e">
        <f>AVERAGE(pH!P200:P213)</f>
        <v>#DIV/0!</v>
      </c>
      <c r="Q36" s="1580">
        <f>AVERAGE(pH!Q200:Q213)</f>
        <v>7.2057142857142855</v>
      </c>
      <c r="R36" s="1580">
        <f>AVERAGE(pH!R200:R213)</f>
        <v>7.2635714285714288</v>
      </c>
      <c r="S36" s="1580" t="e">
        <f>AVERAGE(pH!S200:S213)</f>
        <v>#DIV/0!</v>
      </c>
      <c r="T36" s="1580" t="e">
        <f>AVERAGE(pH!X199:X199)</f>
        <v>#DIV/0!</v>
      </c>
      <c r="U36" s="1580" t="e">
        <f>AVERAGE(pH!Y199:Y212)</f>
        <v>#DIV/0!</v>
      </c>
      <c r="V36" s="1580" t="e">
        <f>AVERAGE(pH!Z199:Z212)</f>
        <v>#DIV/0!</v>
      </c>
      <c r="W36" s="1580" t="e">
        <f>AVERAGE(pH!AA199:AA212)</f>
        <v>#DIV/0!</v>
      </c>
      <c r="X36" s="1580">
        <f>AVERAGE(pH!AB183:AB196)</f>
        <v>0</v>
      </c>
      <c r="Y36" s="1580">
        <f>AVERAGE(pH!AC183:AC196)</f>
        <v>0</v>
      </c>
      <c r="Z36" s="1580">
        <f>AVERAGE(pH!AD183:AD196)</f>
        <v>0</v>
      </c>
      <c r="AA36" s="1580">
        <f>AVERAGE(pH!AE183:AE196)</f>
        <v>0</v>
      </c>
      <c r="AB36" s="1580" t="e">
        <f>AVERAGE(pH!AF183:AF196)</f>
        <v>#DIV/0!</v>
      </c>
      <c r="AC36" s="1580" t="e">
        <f>AVERAGE(pH!AG183:AG196)</f>
        <v>#DIV/0!</v>
      </c>
      <c r="AD36" s="1580" t="e">
        <f>AVERAGE(pH!AH183:AH196)</f>
        <v>#DIV/0!</v>
      </c>
      <c r="AE36" s="1580" t="e">
        <f>AVERAGE(pH!AI183:AI196)</f>
        <v>#DIV/0!</v>
      </c>
    </row>
    <row r="37" spans="1:31">
      <c r="A37" s="3570"/>
      <c r="B37" s="3869" t="s">
        <v>170</v>
      </c>
      <c r="C37" s="1581" t="s">
        <v>312</v>
      </c>
      <c r="D37" s="1580">
        <f>MAX(Nitrate!D197:D210)</f>
        <v>10.199999999999999</v>
      </c>
      <c r="E37" s="1580">
        <f>MAX(Nitrate!E197:E210)</f>
        <v>13.675000000000001</v>
      </c>
      <c r="F37" s="1580">
        <f>MAX(Nitrate!F197:F210)</f>
        <v>10.683333333333332</v>
      </c>
      <c r="G37" s="1580">
        <f>MAX(Nitrate!G197:G210)</f>
        <v>11.086666666666668</v>
      </c>
      <c r="H37" s="1580">
        <f>MAX(Nitrate!H197:H210)</f>
        <v>12.866666666666665</v>
      </c>
      <c r="I37" s="1580">
        <f>MAX(Nitrate!I197:I210)</f>
        <v>12.266666666666667</v>
      </c>
      <c r="J37" s="1580">
        <f>MAX(Nitrate!J197:J210)</f>
        <v>9.8666666666666671</v>
      </c>
      <c r="K37" s="1580">
        <f>MAX(Nitrate!K197:K210)</f>
        <v>9.6666666666666661</v>
      </c>
      <c r="L37" s="1580">
        <f>MAX(Nitrate!L197:L210)</f>
        <v>11.033333333333333</v>
      </c>
      <c r="M37" s="1580">
        <f>MAX(Nitrate!M197:M210)</f>
        <v>10.85</v>
      </c>
      <c r="N37" s="1580">
        <f>MAX(Nitrate!N197:N210)</f>
        <v>0</v>
      </c>
      <c r="O37" s="1580">
        <f>MAX(Nitrate!O197:O210)</f>
        <v>0</v>
      </c>
      <c r="P37" s="1580">
        <f>MAX(Nitrate!P197:P210)</f>
        <v>11.03</v>
      </c>
      <c r="Q37" s="1580">
        <f>MAX(Nitrate!Q197:Q210)</f>
        <v>0</v>
      </c>
      <c r="R37" s="1580">
        <f>MAX(Nitrate!R197:R210)</f>
        <v>0.47</v>
      </c>
      <c r="S37" s="1580">
        <f>MAX(Nitrate!S197:S210)</f>
        <v>1.75</v>
      </c>
      <c r="T37" s="1580">
        <f>MAX(Nitrate!X197:X210)</f>
        <v>0</v>
      </c>
      <c r="U37" s="1580">
        <f>MAX(Nitrate!Y197:Y210)</f>
        <v>0</v>
      </c>
      <c r="V37" s="1580">
        <f>MAX(Nitrate!Z197:Z210)</f>
        <v>0</v>
      </c>
      <c r="W37" s="1580">
        <f>MAX(Nitrate!AA197:AA210)</f>
        <v>0</v>
      </c>
      <c r="X37" s="1580">
        <f>MAX(Nitrate!AB181:AB194)</f>
        <v>0</v>
      </c>
      <c r="Y37" s="1580">
        <f>MAX(Nitrate!AC181:AC194)</f>
        <v>0</v>
      </c>
      <c r="Z37" s="1580">
        <f>MAX(Nitrate!AD181:AD194)</f>
        <v>0</v>
      </c>
      <c r="AA37" s="1580">
        <f>MAX(Nitrate!AE181:AE194)</f>
        <v>0</v>
      </c>
      <c r="AB37" s="1580">
        <f>MAX(Nitrate!AF181:AF194)</f>
        <v>0</v>
      </c>
      <c r="AC37" s="1580">
        <f>MAX(Nitrate!AG181:AG194)</f>
        <v>0</v>
      </c>
      <c r="AD37" s="1580">
        <f>MAX(Nitrate!AH181:AH194)</f>
        <v>0</v>
      </c>
      <c r="AE37" s="1580">
        <f>MAX(Nitrate!AI181:AI194)</f>
        <v>0</v>
      </c>
    </row>
    <row r="38" spans="1:31" s="1560" customFormat="1">
      <c r="A38" s="3570"/>
      <c r="B38" s="3870"/>
      <c r="C38" s="1581" t="s">
        <v>313</v>
      </c>
      <c r="D38" s="1580">
        <f>MIN(Nitrate!D197:D210)</f>
        <v>1.3</v>
      </c>
      <c r="E38" s="1580">
        <f>MIN(Nitrate!E197:E210)</f>
        <v>1.4</v>
      </c>
      <c r="F38" s="1580">
        <f>MIN(Nitrate!F197:F210)</f>
        <v>1.4166666666666667</v>
      </c>
      <c r="G38" s="1580">
        <f>MIN(Nitrate!G197:G210)</f>
        <v>1.7999999999999998</v>
      </c>
      <c r="H38" s="1580">
        <f>MIN(Nitrate!H197:H210)</f>
        <v>2.7000000000000006</v>
      </c>
      <c r="I38" s="1580">
        <f>MIN(Nitrate!I197:I210)</f>
        <v>1.18</v>
      </c>
      <c r="J38" s="1580">
        <f>MIN(Nitrate!J197:J210)</f>
        <v>1.0033333333333332</v>
      </c>
      <c r="K38" s="1580">
        <f>MIN(Nitrate!K197:K210)</f>
        <v>1.3666666666666665</v>
      </c>
      <c r="L38" s="1580">
        <f>MIN(Nitrate!L197:L210)</f>
        <v>1.0999999999999999</v>
      </c>
      <c r="M38" s="1580">
        <f>MIN(Nitrate!M197:M210)</f>
        <v>1.83</v>
      </c>
      <c r="N38" s="1580">
        <f>MIN(Nitrate!N197:N210)</f>
        <v>0</v>
      </c>
      <c r="O38" s="1580">
        <f>MIN(Nitrate!O197:O210)</f>
        <v>0</v>
      </c>
      <c r="P38" s="1580">
        <f>MIN(Nitrate!P197:P210)</f>
        <v>1.47</v>
      </c>
      <c r="Q38" s="1580">
        <f>MIN(Nitrate!Q197:Q210)</f>
        <v>0</v>
      </c>
      <c r="R38" s="1580">
        <f>MIN(Nitrate!R197:R210)</f>
        <v>0.34</v>
      </c>
      <c r="S38" s="1580">
        <f>MIN(Nitrate!S197:S210)</f>
        <v>0.11</v>
      </c>
      <c r="T38" s="1580">
        <f>MIN(Nitrate!X197:X210)</f>
        <v>0</v>
      </c>
      <c r="U38" s="1580">
        <f>MIN(Nitrate!Y197:Y210)</f>
        <v>0</v>
      </c>
      <c r="V38" s="1580">
        <f>MIN(Nitrate!Z197:Z210)</f>
        <v>0</v>
      </c>
      <c r="W38" s="1580">
        <f>MIN(Nitrate!AA197:AA210)</f>
        <v>0</v>
      </c>
      <c r="X38" s="1580">
        <f>MIN(Nitrate!AB181:AB194)</f>
        <v>0</v>
      </c>
      <c r="Y38" s="1580">
        <f>MIN(Nitrate!AC181:AC194)</f>
        <v>0</v>
      </c>
      <c r="Z38" s="1580">
        <f>MIN(Nitrate!AD181:AD194)</f>
        <v>0</v>
      </c>
      <c r="AA38" s="1580">
        <f>MIN(Nitrate!AE181:AE194)</f>
        <v>0</v>
      </c>
      <c r="AB38" s="1580">
        <f>MIN(Nitrate!AF181:AF194)</f>
        <v>0</v>
      </c>
      <c r="AC38" s="1580">
        <f>MIN(Nitrate!AG181:AG194)</f>
        <v>0</v>
      </c>
      <c r="AD38" s="1580">
        <f>MIN(Nitrate!AH181:AH194)</f>
        <v>0</v>
      </c>
      <c r="AE38" s="1580">
        <f>MIN(Nitrate!AI181:AI194)</f>
        <v>0</v>
      </c>
    </row>
    <row r="39" spans="1:31" s="1560" customFormat="1">
      <c r="A39" s="3570"/>
      <c r="B39" s="3871"/>
      <c r="C39" s="1581" t="s">
        <v>315</v>
      </c>
      <c r="D39" s="1580">
        <f>AVERAGE(Nitrate!D197:D210)</f>
        <v>4.125</v>
      </c>
      <c r="E39" s="1580">
        <f>AVERAGE(Nitrate!E197:E210)</f>
        <v>4.8821428571428571</v>
      </c>
      <c r="F39" s="1580">
        <f>AVERAGE(Nitrate!F197:F210)</f>
        <v>4.4702380952380949</v>
      </c>
      <c r="G39" s="1580">
        <f>AVERAGE(Nitrate!G197:G210)</f>
        <v>5.1466666666666674</v>
      </c>
      <c r="H39" s="1580">
        <f>AVERAGE(Nitrate!H197:H210)</f>
        <v>5.7523809523809524</v>
      </c>
      <c r="I39" s="1580">
        <f>AVERAGE(Nitrate!I197:I210)</f>
        <v>6.2009523809523808</v>
      </c>
      <c r="J39" s="1580">
        <f>AVERAGE(Nitrate!J197:J210)</f>
        <v>5.0480952380952386</v>
      </c>
      <c r="K39" s="1580">
        <f>AVERAGE(Nitrate!K197:K210)</f>
        <v>5.0214285714285722</v>
      </c>
      <c r="L39" s="1580">
        <f>AVERAGE(Nitrate!L197:L210)</f>
        <v>5.2857142857142856</v>
      </c>
      <c r="M39" s="1580">
        <f>AVERAGE(Nitrate!M197:M210)</f>
        <v>6.0642857142857149</v>
      </c>
      <c r="N39" s="1580" t="e">
        <f>AVERAGE(Nitrate!N197:N210)</f>
        <v>#DIV/0!</v>
      </c>
      <c r="O39" s="1580" t="e">
        <f>AVERAGE(Nitrate!O197:O210)</f>
        <v>#DIV/0!</v>
      </c>
      <c r="P39" s="1580">
        <f>AVERAGE(Nitrate!P197:P210)</f>
        <v>5.9728571428571424</v>
      </c>
      <c r="Q39" s="1580" t="e">
        <f>AVERAGE(Nitrate!Q197:Q210)</f>
        <v>#DIV/0!</v>
      </c>
      <c r="R39" s="1580">
        <f>AVERAGE(Nitrate!R197:R210)</f>
        <v>0.40785714285714286</v>
      </c>
      <c r="S39" s="1580">
        <f>AVERAGE(Nitrate!S197:S210)</f>
        <v>0.75857142857142856</v>
      </c>
      <c r="T39" s="1580" t="e">
        <f>AVERAGE(Nitrate!X197:X210)</f>
        <v>#DIV/0!</v>
      </c>
      <c r="U39" s="1580" t="e">
        <f>AVERAGE(Nitrate!Y197:Y210)</f>
        <v>#DIV/0!</v>
      </c>
      <c r="V39" s="1580" t="e">
        <f>AVERAGE(Nitrate!Z197:Z210)</f>
        <v>#DIV/0!</v>
      </c>
      <c r="W39" s="1580" t="e">
        <f>AVERAGE(Nitrate!AA197:AA210)</f>
        <v>#DIV/0!</v>
      </c>
      <c r="X39" s="1580" t="e">
        <f>AVERAGE(Nitrate!AB181:AB194)</f>
        <v>#DIV/0!</v>
      </c>
      <c r="Y39" s="1580" t="e">
        <f>AVERAGE(Nitrate!AC181:AC194)</f>
        <v>#DIV/0!</v>
      </c>
      <c r="Z39" s="1580" t="e">
        <f>AVERAGE(Nitrate!AD181:AD194)</f>
        <v>#DIV/0!</v>
      </c>
      <c r="AA39" s="1580" t="e">
        <f>AVERAGE(Nitrate!AE181:AE194)</f>
        <v>#DIV/0!</v>
      </c>
      <c r="AB39" s="1580" t="e">
        <f>AVERAGE(Nitrate!AF181:AF194)</f>
        <v>#DIV/0!</v>
      </c>
      <c r="AC39" s="1580" t="e">
        <f>AVERAGE(Nitrate!AG181:AG194)</f>
        <v>#DIV/0!</v>
      </c>
      <c r="AD39" s="1580" t="e">
        <f>AVERAGE(Nitrate!AH181:AH194)</f>
        <v>#DIV/0!</v>
      </c>
      <c r="AE39" s="1580" t="e">
        <f>AVERAGE(Nitrate!AI181:AI194)</f>
        <v>#DIV/0!</v>
      </c>
    </row>
    <row r="40" spans="1:31">
      <c r="A40" s="3570"/>
      <c r="B40" s="3869" t="s">
        <v>169</v>
      </c>
      <c r="C40" s="1581" t="s">
        <v>312</v>
      </c>
      <c r="D40" s="1580">
        <f>MAX(Phosphate!D201:D214)</f>
        <v>61.4</v>
      </c>
      <c r="E40" s="1580">
        <f>MAX(Phosphate!E201:E214)</f>
        <v>43.12</v>
      </c>
      <c r="F40" s="1580">
        <f>MAX(Phosphate!F201:F214)</f>
        <v>52.543333333333329</v>
      </c>
      <c r="G40" s="1580">
        <f>MAX(Phosphate!G201:G214)</f>
        <v>43.963333333333338</v>
      </c>
      <c r="H40" s="1580">
        <f>MAX(Phosphate!H201:H214)</f>
        <v>37.999999999999993</v>
      </c>
      <c r="I40" s="1580">
        <f>MAX(Phosphate!I201:I214)</f>
        <v>50.516666666666673</v>
      </c>
      <c r="J40" s="1580">
        <f>MAX(Phosphate!J201:J214)</f>
        <v>19.690000000000001</v>
      </c>
      <c r="K40" s="1580">
        <f>MAX(Phosphate!K201:K214)</f>
        <v>14.016666666666666</v>
      </c>
      <c r="L40" s="1580">
        <f>MAX(Phosphate!L201:L214)</f>
        <v>13.396666666666667</v>
      </c>
      <c r="M40" s="1580">
        <f>MAX(Phosphate!M201:M214)</f>
        <v>17.8</v>
      </c>
      <c r="N40" s="1580">
        <f>MAX(Phosphate!N201:N214)</f>
        <v>18.71</v>
      </c>
      <c r="O40" s="1580">
        <f>MAX(Phosphate!O201:O214)</f>
        <v>0</v>
      </c>
      <c r="P40" s="1580">
        <f>MAX(Phosphate!P201:P214)</f>
        <v>0</v>
      </c>
      <c r="Q40" s="1580">
        <f>MAX(Phosphate!Q201:Q214)</f>
        <v>0</v>
      </c>
      <c r="R40" s="1580">
        <f>MAX(Phosphate!R201:R214)</f>
        <v>1.37</v>
      </c>
      <c r="S40" s="1580">
        <f>MAX(Phosphate!S201:S214)</f>
        <v>0.09</v>
      </c>
      <c r="T40" s="1580">
        <f>MAX(Phosphate!X201:X214)</f>
        <v>0</v>
      </c>
      <c r="U40" s="1580">
        <f>MAX(Phosphate!Y201:Y214)</f>
        <v>0</v>
      </c>
      <c r="V40" s="1580">
        <f>MAX(Phosphate!Z201:Z214)</f>
        <v>0</v>
      </c>
      <c r="W40" s="1580">
        <f>MAX(Phosphate!AA201:AA214)</f>
        <v>0</v>
      </c>
      <c r="X40" s="1580" t="e">
        <f>MAX(Phosphate!AB185:AB198)</f>
        <v>#DIV/0!</v>
      </c>
      <c r="Y40" s="1580" t="e">
        <f>MAX(Phosphate!AC185:AC198)</f>
        <v>#DIV/0!</v>
      </c>
      <c r="Z40" s="1580">
        <f>MAX(Phosphate!AD195:AD198)</f>
        <v>0</v>
      </c>
      <c r="AA40" s="1580">
        <f>MAX(Phosphate!AE195:AE198)</f>
        <v>0</v>
      </c>
      <c r="AB40" s="1580">
        <f>MAX(Phosphate!AF185:AF198)</f>
        <v>0</v>
      </c>
      <c r="AC40" s="1580">
        <f>MAX(Phosphate!AG185:AG198)</f>
        <v>0</v>
      </c>
      <c r="AD40" s="1580">
        <f>MAX(Phosphate!AH185:AH198)</f>
        <v>0</v>
      </c>
      <c r="AE40" s="1580">
        <f>MAX(Phosphate!AI185:AI198)</f>
        <v>0</v>
      </c>
    </row>
    <row r="41" spans="1:31" s="1560" customFormat="1">
      <c r="A41" s="3570"/>
      <c r="B41" s="3870"/>
      <c r="C41" s="1581" t="s">
        <v>313</v>
      </c>
      <c r="D41" s="1580">
        <f>MIN(Phosphate!D201:D214)</f>
        <v>2.0099999999999998</v>
      </c>
      <c r="E41" s="1580">
        <f>MIN(Phosphate!E201:E214)</f>
        <v>2.2400000000000002</v>
      </c>
      <c r="F41" s="1580">
        <f>MIN(Phosphate!F201:F214)</f>
        <v>3.77</v>
      </c>
      <c r="G41" s="1580">
        <f>MIN(Phosphate!G201:G214)</f>
        <v>4.68</v>
      </c>
      <c r="H41" s="1580">
        <f>MIN(Phosphate!H201:H214)</f>
        <v>3.5666666666666664</v>
      </c>
      <c r="I41" s="1580">
        <f>MIN(Phosphate!I201:I214)</f>
        <v>1.8733333333333333</v>
      </c>
      <c r="J41" s="1580">
        <f>MIN(Phosphate!J201:J214)</f>
        <v>6.0666666666666664</v>
      </c>
      <c r="K41" s="1580">
        <f>MIN(Phosphate!K201:K214)</f>
        <v>2.3033333333333332</v>
      </c>
      <c r="L41" s="1580">
        <f>MIN(Phosphate!L201:L214)</f>
        <v>1.0366666666666668</v>
      </c>
      <c r="M41" s="1580">
        <f>MIN(Phosphate!M201:M214)</f>
        <v>1.08</v>
      </c>
      <c r="N41" s="1580">
        <f>MIN(Phosphate!N201:N214)</f>
        <v>0.94</v>
      </c>
      <c r="O41" s="1580">
        <f>MIN(Phosphate!O201:O214)</f>
        <v>0</v>
      </c>
      <c r="P41" s="1580">
        <f>MIN(Phosphate!P201:P214)</f>
        <v>0</v>
      </c>
      <c r="Q41" s="1580">
        <f>MIN(Phosphate!Q201:Q214)</f>
        <v>0</v>
      </c>
      <c r="R41" s="1580">
        <f>MIN(Phosphate!R201:R214)</f>
        <v>0.3</v>
      </c>
      <c r="S41" s="1580">
        <f>MIN(Phosphate!S201:S214)</f>
        <v>0.02</v>
      </c>
      <c r="T41" s="1580">
        <f>MIN(Phosphate!X201:X214)</f>
        <v>0</v>
      </c>
      <c r="U41" s="1580">
        <f>MIN(Phosphate!Y201:Y214)</f>
        <v>0</v>
      </c>
      <c r="V41" s="1580">
        <f>MIN(Phosphate!Z201:Z214)</f>
        <v>0</v>
      </c>
      <c r="W41" s="1580">
        <f>MIN(Phosphate!AA201:AA214)</f>
        <v>0</v>
      </c>
      <c r="X41" s="1580" t="e">
        <f>MIN(Phosphate!AB185:AB198)</f>
        <v>#DIV/0!</v>
      </c>
      <c r="Y41" s="1580" t="e">
        <f>MIN(Phosphate!AC185:AC198)</f>
        <v>#DIV/0!</v>
      </c>
      <c r="Z41" s="1580">
        <f>MIN(Phosphate!AD195:AD198)</f>
        <v>0</v>
      </c>
      <c r="AA41" s="1580">
        <f>MIN(Phosphate!AE195:AE198)</f>
        <v>0</v>
      </c>
      <c r="AB41" s="1580">
        <f>MIN(Phosphate!AF185:AF198)</f>
        <v>0</v>
      </c>
      <c r="AC41" s="1580">
        <f>MIN(Phosphate!AG185:AG198)</f>
        <v>0</v>
      </c>
      <c r="AD41" s="1580">
        <f>MIN(Phosphate!AH185:AH198)</f>
        <v>0</v>
      </c>
      <c r="AE41" s="1580">
        <f>MIN(Phosphate!AI185:AI198)</f>
        <v>0</v>
      </c>
    </row>
    <row r="42" spans="1:31" s="1560" customFormat="1">
      <c r="A42" s="3570"/>
      <c r="B42" s="3871"/>
      <c r="C42" s="1581" t="s">
        <v>315</v>
      </c>
      <c r="D42" s="1580">
        <f>AVERAGE(Phosphate!D201:D214)</f>
        <v>21.654285714285717</v>
      </c>
      <c r="E42" s="1580">
        <f>AVERAGE(Phosphate!E201:E214)</f>
        <v>13.478928571428572</v>
      </c>
      <c r="F42" s="1580">
        <f>AVERAGE(Phosphate!F201:F214)</f>
        <v>13.04452380952381</v>
      </c>
      <c r="G42" s="1580">
        <f>AVERAGE(Phosphate!G201:G214)</f>
        <v>16.471785714285712</v>
      </c>
      <c r="H42" s="1580">
        <f>AVERAGE(Phosphate!H201:H214)</f>
        <v>13.059523809523808</v>
      </c>
      <c r="I42" s="1580">
        <f>AVERAGE(Phosphate!I201:I214)</f>
        <v>20.131666666666668</v>
      </c>
      <c r="J42" s="1580">
        <f>AVERAGE(Phosphate!J201:J214)</f>
        <v>10.882619047619048</v>
      </c>
      <c r="K42" s="1580">
        <f>AVERAGE(Phosphate!K201:K214)</f>
        <v>6.8642857142857139</v>
      </c>
      <c r="L42" s="1580">
        <f>AVERAGE(Phosphate!L201:L214)</f>
        <v>5.8378571428571435</v>
      </c>
      <c r="M42" s="1580">
        <f>AVERAGE(Phosphate!M201:M214)</f>
        <v>8.6364285714285707</v>
      </c>
      <c r="N42" s="1580">
        <f>AVERAGE(Phosphate!N201:N214)</f>
        <v>8.1585714285714275</v>
      </c>
      <c r="O42" s="1580" t="e">
        <f>AVERAGE(Phosphate!O201:O214)</f>
        <v>#DIV/0!</v>
      </c>
      <c r="P42" s="1580" t="e">
        <f>AVERAGE(Phosphate!P201:P214)</f>
        <v>#DIV/0!</v>
      </c>
      <c r="Q42" s="1580" t="e">
        <f>AVERAGE(Phosphate!Q201:Q214)</f>
        <v>#DIV/0!</v>
      </c>
      <c r="R42" s="1580">
        <f>AVERAGE(Phosphate!R201:R214)</f>
        <v>0.55285714285714282</v>
      </c>
      <c r="S42" s="1580">
        <f>AVERAGE(Phosphate!S201:S214)</f>
        <v>4.7142857142857153E-2</v>
      </c>
      <c r="T42" s="1580" t="e">
        <f>AVERAGE(Phosphate!X201:X214)</f>
        <v>#DIV/0!</v>
      </c>
      <c r="U42" s="1580" t="e">
        <f>AVERAGE(Phosphate!Y201:Y214)</f>
        <v>#DIV/0!</v>
      </c>
      <c r="V42" s="1580" t="e">
        <f>AVERAGE(Phosphate!Z201:Z214)</f>
        <v>#DIV/0!</v>
      </c>
      <c r="W42" s="1580" t="e">
        <f>AVERAGE(Phosphate!AA201:AA214)</f>
        <v>#DIV/0!</v>
      </c>
      <c r="X42" s="1580" t="e">
        <f>AVERAGE(Phosphate!AB185:AB198)</f>
        <v>#DIV/0!</v>
      </c>
      <c r="Y42" s="1580" t="e">
        <f>AVERAGE(Phosphate!AC185:AC198)</f>
        <v>#DIV/0!</v>
      </c>
      <c r="Z42" s="1580" t="e">
        <f>AVERAGE(Phosphate!AD195:AD198)</f>
        <v>#DIV/0!</v>
      </c>
      <c r="AA42" s="1580" t="e">
        <f>AVERAGE(Phosphate!AE195:AE198)</f>
        <v>#DIV/0!</v>
      </c>
      <c r="AB42" s="1580" t="e">
        <f>AVERAGE(Phosphate!AF185:AF198)</f>
        <v>#DIV/0!</v>
      </c>
      <c r="AC42" s="1580" t="e">
        <f>AVERAGE(Phosphate!AG185:AG198)</f>
        <v>#DIV/0!</v>
      </c>
      <c r="AD42" s="1580" t="e">
        <f>AVERAGE(Phosphate!AH185:AH198)</f>
        <v>#DIV/0!</v>
      </c>
      <c r="AE42" s="1580" t="e">
        <f>AVERAGE(Phosphate!AI185:AI198)</f>
        <v>#DIV/0!</v>
      </c>
    </row>
    <row r="43" spans="1:31">
      <c r="A43" s="3570"/>
      <c r="B43" s="3869" t="s">
        <v>198</v>
      </c>
      <c r="C43" s="1581" t="s">
        <v>312</v>
      </c>
      <c r="D43" s="1580">
        <f>MAX('Oil &amp; Grease'!D48:D61)</f>
        <v>3.5</v>
      </c>
      <c r="E43" s="1580">
        <f>MAX('Oil &amp; Grease'!E48:E61)</f>
        <v>2.56</v>
      </c>
      <c r="F43" s="1580">
        <f>MAX('Oil &amp; Grease'!F48:F61)</f>
        <v>2.89</v>
      </c>
      <c r="G43" s="1580">
        <f>MAX('Oil &amp; Grease'!G48:G61)</f>
        <v>2.2999999999999998</v>
      </c>
      <c r="H43" s="1580">
        <f>MAX('Oil &amp; Grease'!H48:H61)</f>
        <v>2.68</v>
      </c>
      <c r="I43" s="1580">
        <f>MAX('Oil &amp; Grease'!I48:I61)</f>
        <v>2.4</v>
      </c>
      <c r="J43" s="1580">
        <f>MAX('Oil &amp; Grease'!J48:J61)</f>
        <v>1.4133333333333333</v>
      </c>
      <c r="K43" s="1580">
        <f>MAX('Oil &amp; Grease'!K48:K61)</f>
        <v>1.5533333333333335</v>
      </c>
      <c r="L43" s="1580">
        <f>MAX('Oil &amp; Grease'!L48:L61)</f>
        <v>1.51</v>
      </c>
      <c r="M43" s="1580">
        <f>MAX('Oil &amp; Grease'!M48:M61)</f>
        <v>2.15</v>
      </c>
      <c r="N43" s="1580">
        <f>MAX('Oil &amp; Grease'!N48:N61)</f>
        <v>1.67</v>
      </c>
      <c r="O43" s="1580">
        <f>MAX('Oil &amp; Grease'!O48:O61)</f>
        <v>0</v>
      </c>
      <c r="P43" s="1580">
        <f>MAX('Oil &amp; Grease'!P48:P61)</f>
        <v>0</v>
      </c>
      <c r="Q43" s="1580">
        <f>MAX('Oil &amp; Grease'!Q48:Q61)</f>
        <v>0</v>
      </c>
      <c r="R43" s="1580">
        <f>MAX('Oil &amp; Grease'!R48:R61)</f>
        <v>0</v>
      </c>
      <c r="S43" s="1580">
        <f>MAX('Oil &amp; Grease'!S48:S61)</f>
        <v>11.33</v>
      </c>
      <c r="T43" s="1580">
        <f>MAX('Oil &amp; Grease'!X48:X61)</f>
        <v>0</v>
      </c>
      <c r="U43" s="1580">
        <f>MAX('Oil &amp; Grease'!Y48:Y61)</f>
        <v>0</v>
      </c>
      <c r="V43" s="1580">
        <f>MAX('Oil &amp; Grease'!Z48:Z61)</f>
        <v>0</v>
      </c>
      <c r="W43" s="1580">
        <f>MAX('Oil &amp; Grease'!AA48:AA61)</f>
        <v>0</v>
      </c>
      <c r="X43" s="1580">
        <f>MAX('Oil &amp; Grease'!AB48:AB61)</f>
        <v>0</v>
      </c>
      <c r="Y43" s="1580">
        <f>MAX('Oil &amp; Grease'!AC48:AC61)</f>
        <v>0</v>
      </c>
      <c r="Z43" s="1580">
        <f>MAX('Oil &amp; Grease'!AD48:AD61)</f>
        <v>0</v>
      </c>
      <c r="AA43" s="1580">
        <f>MAX('Oil &amp; Grease'!AE48:AE61)</f>
        <v>0</v>
      </c>
      <c r="AB43" s="1580">
        <f>MAX('Oil &amp; Grease'!AF48:AF61)</f>
        <v>0</v>
      </c>
      <c r="AC43" s="1580">
        <f>MAX('Oil &amp; Grease'!AG48:AG61)</f>
        <v>0</v>
      </c>
      <c r="AD43" s="1580">
        <f>MAX('Oil &amp; Grease'!AH48:AH61)</f>
        <v>0</v>
      </c>
      <c r="AE43" s="1580">
        <f>MAX('Oil &amp; Grease'!AI48:AI61)</f>
        <v>0</v>
      </c>
    </row>
    <row r="44" spans="1:31" s="1560" customFormat="1">
      <c r="A44" s="3570"/>
      <c r="B44" s="3870"/>
      <c r="C44" s="1581" t="s">
        <v>313</v>
      </c>
      <c r="D44" s="1580">
        <f>MIN('Oil &amp; Grease'!D48:D61)</f>
        <v>1.55</v>
      </c>
      <c r="E44" s="1580">
        <f>MIN('Oil &amp; Grease'!E48:E61)</f>
        <v>1.49</v>
      </c>
      <c r="F44" s="1580">
        <f>MIN('Oil &amp; Grease'!F48:F61)</f>
        <v>1.88</v>
      </c>
      <c r="G44" s="1580">
        <f>MIN('Oil &amp; Grease'!G48:G61)</f>
        <v>1.34</v>
      </c>
      <c r="H44" s="1580">
        <f>MIN('Oil &amp; Grease'!H48:H61)</f>
        <v>1.24</v>
      </c>
      <c r="I44" s="1580">
        <f>MIN('Oil &amp; Grease'!I48:I61)</f>
        <v>1.1466666666666667</v>
      </c>
      <c r="J44" s="1580">
        <f>MIN('Oil &amp; Grease'!J48:J61)</f>
        <v>1.07</v>
      </c>
      <c r="K44" s="1580">
        <f>MIN('Oil &amp; Grease'!K48:K61)</f>
        <v>0.93666666666666665</v>
      </c>
      <c r="L44" s="1580">
        <f>MIN('Oil &amp; Grease'!L48:L61)</f>
        <v>0.79333333333333333</v>
      </c>
      <c r="M44" s="1580">
        <f>MIN('Oil &amp; Grease'!M48:M61)</f>
        <v>0.85</v>
      </c>
      <c r="N44" s="1580">
        <f>MIN('Oil &amp; Grease'!N48:N61)</f>
        <v>0.5</v>
      </c>
      <c r="O44" s="1580">
        <f>MIN('Oil &amp; Grease'!O48:O61)</f>
        <v>0</v>
      </c>
      <c r="P44" s="1580">
        <f>MIN('Oil &amp; Grease'!P48:P61)</f>
        <v>0</v>
      </c>
      <c r="Q44" s="1580">
        <f>MIN('Oil &amp; Grease'!Q48:Q61)</f>
        <v>0</v>
      </c>
      <c r="R44" s="1580">
        <f>MIN('Oil &amp; Grease'!R48:R61)</f>
        <v>0</v>
      </c>
      <c r="S44" s="1580">
        <f>MIN('Oil &amp; Grease'!S48:S61)</f>
        <v>1.33</v>
      </c>
      <c r="T44" s="1580">
        <f>MIN('Oil &amp; Grease'!X48:X61)</f>
        <v>0</v>
      </c>
      <c r="U44" s="1580">
        <f>MIN('Oil &amp; Grease'!Y48:Y61)</f>
        <v>0</v>
      </c>
      <c r="V44" s="1580">
        <f>MIN('Oil &amp; Grease'!Z48:Z61)</f>
        <v>0</v>
      </c>
      <c r="W44" s="1580">
        <f>MIN('Oil &amp; Grease'!AA48:AA61)</f>
        <v>0</v>
      </c>
      <c r="X44" s="1580">
        <f>MIN('Oil &amp; Grease'!AB48:AB61)</f>
        <v>0</v>
      </c>
      <c r="Y44" s="1580">
        <f>MIN('Oil &amp; Grease'!AC48:AC61)</f>
        <v>0</v>
      </c>
      <c r="Z44" s="1580">
        <f>MIN('Oil &amp; Grease'!AD48:AD61)</f>
        <v>0</v>
      </c>
      <c r="AA44" s="1580">
        <f>MIN('Oil &amp; Grease'!AE48:AE61)</f>
        <v>0</v>
      </c>
      <c r="AB44" s="1580">
        <f>MIN('Oil &amp; Grease'!AF48:AF61)</f>
        <v>0</v>
      </c>
      <c r="AC44" s="1580">
        <f>MIN('Oil &amp; Grease'!AG48:AG61)</f>
        <v>0</v>
      </c>
      <c r="AD44" s="1580">
        <f>MIN('Oil &amp; Grease'!AH48:AH61)</f>
        <v>0</v>
      </c>
      <c r="AE44" s="1580">
        <f>MIN('Oil &amp; Grease'!AI48:AI61)</f>
        <v>0</v>
      </c>
    </row>
    <row r="45" spans="1:31" s="1560" customFormat="1">
      <c r="A45" s="3570"/>
      <c r="B45" s="3871"/>
      <c r="C45" s="1581" t="s">
        <v>315</v>
      </c>
      <c r="D45" s="1580">
        <f>AVERAGE('Oil &amp; Grease'!D48:D61)</f>
        <v>2.2785714285714285</v>
      </c>
      <c r="E45" s="1580">
        <f>AVERAGE('Oil &amp; Grease'!E48:E61)</f>
        <v>2.0778571428571424</v>
      </c>
      <c r="F45" s="1580">
        <f>AVERAGE('Oil &amp; Grease'!F48:F61)</f>
        <v>2.1478571428571427</v>
      </c>
      <c r="G45" s="1580">
        <f>AVERAGE('Oil &amp; Grease'!G48:G61)</f>
        <v>1.9042857142857146</v>
      </c>
      <c r="H45" s="1580">
        <f>AVERAGE('Oil &amp; Grease'!H48:H61)</f>
        <v>2.0457142857142854</v>
      </c>
      <c r="I45" s="1580">
        <f>AVERAGE('Oil &amp; Grease'!I48:I61)</f>
        <v>1.6649999999999998</v>
      </c>
      <c r="J45" s="1580">
        <f>AVERAGE('Oil &amp; Grease'!J48:J61)</f>
        <v>1.2321428571428572</v>
      </c>
      <c r="K45" s="1580">
        <f>AVERAGE('Oil &amp; Grease'!K48:K61)</f>
        <v>1.1121428571428571</v>
      </c>
      <c r="L45" s="1580">
        <f>AVERAGE('Oil &amp; Grease'!L48:L61)</f>
        <v>1.1364285714285713</v>
      </c>
      <c r="M45" s="1580">
        <f>AVERAGE('Oil &amp; Grease'!M48:M61)</f>
        <v>1.2585714285714285</v>
      </c>
      <c r="N45" s="1580">
        <f>AVERAGE('Oil &amp; Grease'!N48:N61)</f>
        <v>1.1664285714285714</v>
      </c>
      <c r="O45" s="1580" t="e">
        <f>AVERAGE('Oil &amp; Grease'!O48:O61)</f>
        <v>#DIV/0!</v>
      </c>
      <c r="P45" s="1580" t="e">
        <f>AVERAGE('Oil &amp; Grease'!P48:P61)</f>
        <v>#DIV/0!</v>
      </c>
      <c r="Q45" s="1580" t="e">
        <f>AVERAGE('Oil &amp; Grease'!Q48:Q61)</f>
        <v>#DIV/0!</v>
      </c>
      <c r="R45" s="1580" t="e">
        <f>AVERAGE('Oil &amp; Grease'!R48:R61)</f>
        <v>#DIV/0!</v>
      </c>
      <c r="S45" s="1580">
        <f>AVERAGE('Oil &amp; Grease'!S48:S61)</f>
        <v>3.1150000000000007</v>
      </c>
      <c r="T45" s="1580" t="e">
        <f>AVERAGE('Oil &amp; Grease'!X48:X61)</f>
        <v>#DIV/0!</v>
      </c>
      <c r="U45" s="1580" t="e">
        <f>AVERAGE('Oil &amp; Grease'!Y48:Y61)</f>
        <v>#DIV/0!</v>
      </c>
      <c r="V45" s="1580" t="e">
        <f>AVERAGE('Oil &amp; Grease'!Z48:Z61)</f>
        <v>#DIV/0!</v>
      </c>
      <c r="W45" s="1580" t="e">
        <f>AVERAGE('Oil &amp; Grease'!AA48:AA61)</f>
        <v>#DIV/0!</v>
      </c>
      <c r="X45" s="1580" t="e">
        <f>AVERAGE('Oil &amp; Grease'!AB48:AB61)</f>
        <v>#DIV/0!</v>
      </c>
      <c r="Y45" s="1580" t="e">
        <f>AVERAGE('Oil &amp; Grease'!AC48:AC61)</f>
        <v>#DIV/0!</v>
      </c>
      <c r="Z45" s="1580" t="e">
        <f>AVERAGE('Oil &amp; Grease'!AD48:AD61)</f>
        <v>#DIV/0!</v>
      </c>
      <c r="AA45" s="1580" t="e">
        <f>AVERAGE('Oil &amp; Grease'!AE48:AE61)</f>
        <v>#DIV/0!</v>
      </c>
      <c r="AB45" s="1580" t="e">
        <f>AVERAGE('Oil &amp; Grease'!AF48:AF61)</f>
        <v>#DIV/0!</v>
      </c>
      <c r="AC45" s="1580" t="e">
        <f>AVERAGE('Oil &amp; Grease'!AG48:AG61)</f>
        <v>#DIV/0!</v>
      </c>
      <c r="AD45" s="1580" t="e">
        <f>AVERAGE('Oil &amp; Grease'!AH48:AH61)</f>
        <v>#DIV/0!</v>
      </c>
      <c r="AE45" s="1580" t="e">
        <f>AVERAGE('Oil &amp; Grease'!AI48:AI61)</f>
        <v>#DIV/0!</v>
      </c>
    </row>
    <row r="46" spans="1:31">
      <c r="A46" s="3570"/>
      <c r="B46" s="3869" t="s">
        <v>207</v>
      </c>
      <c r="C46" s="1581" t="s">
        <v>312</v>
      </c>
      <c r="D46" s="1098">
        <f>MAX('Fecal Coliform'!C114:C127)</f>
        <v>210000000</v>
      </c>
      <c r="E46" s="1098">
        <f>MAX('Fecal Coliform'!D114:D127)</f>
        <v>3604344600.6174321</v>
      </c>
      <c r="F46" s="1098">
        <f>MAX('Fecal Coliform'!E114:E127)</f>
        <v>55981924.438344836</v>
      </c>
      <c r="G46" s="1098">
        <f>MAX('Fecal Coliform'!F114:F127)</f>
        <v>31568022.985400427</v>
      </c>
      <c r="H46" s="1098">
        <f>MAX('Fecal Coliform'!G114:G127)</f>
        <v>62048368.229954384</v>
      </c>
      <c r="I46" s="1098">
        <f>MAX('Fecal Coliform'!H114:H127)</f>
        <v>138949967.32850939</v>
      </c>
      <c r="J46" s="1098">
        <f>MAX('Fecal Coliform'!I114:I127)</f>
        <v>76562766.207598656</v>
      </c>
      <c r="K46" s="1098">
        <f>MAX('Fecal Coliform'!J114:J127)</f>
        <v>586707699.1502502</v>
      </c>
      <c r="L46" s="1098">
        <f>MAX('Fecal Coliform'!K114:K127)</f>
        <v>18071333333.333332</v>
      </c>
      <c r="M46" s="1098">
        <f>MAX('Fecal Coliform'!L114:L127)</f>
        <v>380666667</v>
      </c>
      <c r="N46" s="1098">
        <f>MAX('Fecal Coliform'!M114:M127)</f>
        <v>117333333</v>
      </c>
      <c r="O46" s="1098">
        <f>MAX('Fecal Coliform'!N114:N127)</f>
        <v>0</v>
      </c>
      <c r="P46" s="1098">
        <f>MAX('Fecal Coliform'!O114:O127)</f>
        <v>2284533914.3559637</v>
      </c>
      <c r="Q46" s="1098">
        <f>MAX('Fecal Coliform'!P114:P127)</f>
        <v>0</v>
      </c>
      <c r="R46" s="1098">
        <f>MAX('Fecal Coliform'!Q114:Q127)</f>
        <v>62100000</v>
      </c>
      <c r="S46" s="1098">
        <f>MAX('Fecal Coliform'!R114:R127)</f>
        <v>84300000</v>
      </c>
      <c r="T46" s="1098">
        <f>MAX('Fecal Coliform'!S114:S127)</f>
        <v>27100000</v>
      </c>
      <c r="U46" s="1098" t="e">
        <f>MAX('Fecal Coliform'!#REF!)</f>
        <v>#REF!</v>
      </c>
      <c r="V46" s="1098">
        <f>MAX('Fecal Coliform'!T114:T127)</f>
        <v>129000000</v>
      </c>
      <c r="W46" s="1098" t="e">
        <f>MAX('Fecal Coliform'!#REF!)</f>
        <v>#REF!</v>
      </c>
      <c r="X46" s="1098">
        <f>MAX('Fecal Coliform'!U114:U127)</f>
        <v>1790000000</v>
      </c>
      <c r="Y46" s="1098" t="e">
        <f>MAX('Fecal Coliform'!#REF!)</f>
        <v>#REF!</v>
      </c>
      <c r="Z46" s="1098">
        <f>MAX('Fecal Coliform'!V114:V127)</f>
        <v>128000000000</v>
      </c>
      <c r="AA46" s="1098">
        <f>MAX('Fecal Coliform'!W114:W127)</f>
        <v>0</v>
      </c>
      <c r="AB46" s="1098">
        <f>MAX('Fecal Coliform'!X114:X127)</f>
        <v>0</v>
      </c>
      <c r="AC46" s="1098">
        <f>MAX('Fecal Coliform'!Y114:Y127)</f>
        <v>0</v>
      </c>
      <c r="AD46" s="1098">
        <f>MAX('Fecal Coliform'!Z114:Z127)</f>
        <v>0</v>
      </c>
      <c r="AE46" s="1098">
        <f>MAX('Fecal Coliform'!AA114:AA127)</f>
        <v>0</v>
      </c>
    </row>
    <row r="47" spans="1:31" s="1560" customFormat="1">
      <c r="A47" s="3570"/>
      <c r="B47" s="3870"/>
      <c r="C47" s="1581" t="s">
        <v>313</v>
      </c>
      <c r="D47" s="1098">
        <f>MIN('Fecal Coliform'!C114:C127)</f>
        <v>7150</v>
      </c>
      <c r="E47" s="1098">
        <f>MIN('Fecal Coliform'!D114:D127)</f>
        <v>287280.3508769786</v>
      </c>
      <c r="F47" s="1098">
        <f>MIN('Fecal Coliform'!E114:E127)</f>
        <v>17294.817296583769</v>
      </c>
      <c r="G47" s="1098">
        <f>MIN('Fecal Coliform'!F114:F127)</f>
        <v>9444.1861162200748</v>
      </c>
      <c r="H47" s="1098">
        <f>MIN('Fecal Coliform'!G114:G127)</f>
        <v>8246.211251235316</v>
      </c>
      <c r="I47" s="1098">
        <f>MIN('Fecal Coliform'!H114:H127)</f>
        <v>564956.00983635604</v>
      </c>
      <c r="J47" s="1098">
        <f>MIN('Fecal Coliform'!I114:I127)</f>
        <v>11477.587096634321</v>
      </c>
      <c r="K47" s="1098">
        <f>MIN('Fecal Coliform'!J114:J127)</f>
        <v>136458.80225673929</v>
      </c>
      <c r="L47" s="1098">
        <f>MIN('Fecal Coliform'!K114:K127)</f>
        <v>454000</v>
      </c>
      <c r="M47" s="1098">
        <f>MIN('Fecal Coliform'!L114:L127)</f>
        <v>111833</v>
      </c>
      <c r="N47" s="1098">
        <f>MIN('Fecal Coliform'!M114:M127)</f>
        <v>5457</v>
      </c>
      <c r="O47" s="1098">
        <f>MIN('Fecal Coliform'!N114:N127)</f>
        <v>0</v>
      </c>
      <c r="P47" s="1098">
        <f>MIN('Fecal Coliform'!O114:O127)</f>
        <v>34898.755028755048</v>
      </c>
      <c r="Q47" s="1098">
        <f>MIN('Fecal Coliform'!P114:P127)</f>
        <v>0</v>
      </c>
      <c r="R47" s="1098">
        <f>MIN('Fecal Coliform'!Q114:Q127)</f>
        <v>2770</v>
      </c>
      <c r="S47" s="1098">
        <f>MIN('Fecal Coliform'!R114:R127)</f>
        <v>1630</v>
      </c>
      <c r="T47" s="1098">
        <f>MIN('Fecal Coliform'!S114:S127)</f>
        <v>3590</v>
      </c>
      <c r="U47" s="1098" t="e">
        <f>MIN('Fecal Coliform'!#REF!)</f>
        <v>#REF!</v>
      </c>
      <c r="V47" s="1098">
        <f>MIN('Fecal Coliform'!T114:T127)</f>
        <v>504000</v>
      </c>
      <c r="W47" s="1098" t="e">
        <f>MIN('Fecal Coliform'!#REF!)</f>
        <v>#REF!</v>
      </c>
      <c r="X47" s="1098">
        <f>MIN('Fecal Coliform'!U114:U127)</f>
        <v>71100</v>
      </c>
      <c r="Y47" s="1098" t="e">
        <f>MIN('Fecal Coliform'!#REF!)</f>
        <v>#REF!</v>
      </c>
      <c r="Z47" s="1098">
        <f>MIN('Fecal Coliform'!V114:V127)</f>
        <v>9000</v>
      </c>
      <c r="AA47" s="1098">
        <f>MIN('Fecal Coliform'!W114:W127)</f>
        <v>0</v>
      </c>
      <c r="AB47" s="1098">
        <f>MIN('Fecal Coliform'!X114:X127)</f>
        <v>0</v>
      </c>
      <c r="AC47" s="1098">
        <f>MIN('Fecal Coliform'!Y114:Y127)</f>
        <v>0</v>
      </c>
      <c r="AD47" s="1098">
        <f>MIN('Fecal Coliform'!Z114:Z127)</f>
        <v>0</v>
      </c>
      <c r="AE47" s="1098">
        <f>MIN('Fecal Coliform'!AA114:AA127)</f>
        <v>0</v>
      </c>
    </row>
    <row r="48" spans="1:31" s="1560" customFormat="1">
      <c r="A48" s="3570"/>
      <c r="B48" s="3871"/>
      <c r="C48" s="1581" t="s">
        <v>315</v>
      </c>
      <c r="D48" s="1098">
        <f>AVERAGE('Fecal Coliform'!C114:C127)</f>
        <v>36711582.142857142</v>
      </c>
      <c r="E48" s="1098">
        <f>AVERAGE('Fecal Coliform'!D114:D127)</f>
        <v>606130870.8689152</v>
      </c>
      <c r="F48" s="1098">
        <f>AVERAGE('Fecal Coliform'!E114:E127)</f>
        <v>11404864.114459138</v>
      </c>
      <c r="G48" s="1098">
        <f>AVERAGE('Fecal Coliform'!F114:F127)</f>
        <v>5000537.5376828481</v>
      </c>
      <c r="H48" s="1098">
        <f>AVERAGE('Fecal Coliform'!G114:G127)</f>
        <v>8637940.82547931</v>
      </c>
      <c r="I48" s="1098">
        <f>AVERAGE('Fecal Coliform'!H114:H127)</f>
        <v>16058464.700412383</v>
      </c>
      <c r="J48" s="1098">
        <f>AVERAGE('Fecal Coliform'!I114:I127)</f>
        <v>12464070.227728214</v>
      </c>
      <c r="K48" s="1098">
        <f>AVERAGE('Fecal Coliform'!J114:J127)</f>
        <v>99373330.470721945</v>
      </c>
      <c r="L48" s="1098">
        <f>AVERAGE('Fecal Coliform'!K114:K127)</f>
        <v>1368838033.3333337</v>
      </c>
      <c r="M48" s="1098">
        <f>AVERAGE('Fecal Coliform'!L114:L127)</f>
        <v>82274416.714285716</v>
      </c>
      <c r="N48" s="1098">
        <f>AVERAGE('Fecal Coliform'!M114:M127)</f>
        <v>27544199.142857142</v>
      </c>
      <c r="O48" s="1098" t="e">
        <f>AVERAGE('Fecal Coliform'!N114:N127)</f>
        <v>#DIV/0!</v>
      </c>
      <c r="P48" s="1098">
        <f>AVERAGE('Fecal Coliform'!O114:O127)</f>
        <v>412656695.90225667</v>
      </c>
      <c r="Q48" s="1098" t="e">
        <f>AVERAGE('Fecal Coliform'!P114:P127)</f>
        <v>#DIV/0!</v>
      </c>
      <c r="R48" s="1098">
        <f>AVERAGE('Fecal Coliform'!Q114:Q127)</f>
        <v>9367626.4285714291</v>
      </c>
      <c r="S48" s="1098">
        <f>AVERAGE('Fecal Coliform'!R114:R127)</f>
        <v>15332016.428571429</v>
      </c>
      <c r="T48" s="1098">
        <f>AVERAGE('Fecal Coliform'!S114:S127)</f>
        <v>5193320.7142857146</v>
      </c>
      <c r="U48" s="1098" t="e">
        <f>AVERAGE('Fecal Coliform'!#REF!)</f>
        <v>#REF!</v>
      </c>
      <c r="V48" s="1098">
        <f>AVERAGE('Fecal Coliform'!T114:T127)</f>
        <v>35651214.285714284</v>
      </c>
      <c r="W48" s="1098" t="e">
        <f>AVERAGE('Fecal Coliform'!#REF!)</f>
        <v>#REF!</v>
      </c>
      <c r="X48" s="1098">
        <f>AVERAGE('Fecal Coliform'!U114:U127)</f>
        <v>186687578.57142857</v>
      </c>
      <c r="Y48" s="1098" t="e">
        <f>AVERAGE('Fecal Coliform'!#REF!)</f>
        <v>#REF!</v>
      </c>
      <c r="Z48" s="1098">
        <f>AVERAGE('Fecal Coliform'!V114:V127)</f>
        <v>18526322571.42857</v>
      </c>
      <c r="AA48" s="1098" t="e">
        <f>AVERAGE('Fecal Coliform'!W114:W127)</f>
        <v>#DIV/0!</v>
      </c>
      <c r="AB48" s="1098" t="e">
        <f>AVERAGE('Fecal Coliform'!X114:X127)</f>
        <v>#DIV/0!</v>
      </c>
      <c r="AC48" s="1098" t="e">
        <f>AVERAGE('Fecal Coliform'!Y114:Y127)</f>
        <v>#DIV/0!</v>
      </c>
      <c r="AD48" s="1098" t="e">
        <f>AVERAGE('Fecal Coliform'!Z114:Z127)</f>
        <v>#DIV/0!</v>
      </c>
      <c r="AE48" s="1098" t="e">
        <f>AVERAGE('Fecal Coliform'!AA114:AA127)</f>
        <v>#DIV/0!</v>
      </c>
    </row>
    <row r="49" spans="1:31">
      <c r="A49" s="3570"/>
      <c r="B49" s="3869" t="s">
        <v>206</v>
      </c>
      <c r="C49" s="1581" t="s">
        <v>312</v>
      </c>
      <c r="D49" s="1098">
        <f>MAX('Total Coliform'!C126:C139)</f>
        <v>355000000</v>
      </c>
      <c r="E49" s="1098">
        <f>MAX('Total Coliform'!D126:D139)</f>
        <v>24390000000</v>
      </c>
      <c r="F49" s="1098">
        <f>MAX('Total Coliform'!E126:E139)</f>
        <v>147333333.33333334</v>
      </c>
      <c r="G49" s="1098">
        <f>MAX('Total Coliform'!F126:F139)</f>
        <v>67833333.333333328</v>
      </c>
      <c r="H49" s="1098">
        <f>MAX('Total Coliform'!G126:G139)</f>
        <v>3067150000</v>
      </c>
      <c r="I49" s="1098">
        <f>MAX('Total Coliform'!H126:H139)</f>
        <v>355333333.33333331</v>
      </c>
      <c r="J49" s="1098">
        <f>MAX('Total Coliform'!I126:I139)</f>
        <v>842333333.33333337</v>
      </c>
      <c r="K49" s="1098">
        <f>MAX('Total Coliform'!J126:J139)</f>
        <v>30709000000</v>
      </c>
      <c r="L49" s="1098">
        <f>MAX('Total Coliform'!L126:L139)</f>
        <v>30738000000</v>
      </c>
      <c r="M49" s="1098">
        <f>MAX('Total Coliform'!M126:M139)</f>
        <v>428666666.67000002</v>
      </c>
      <c r="N49" s="1098">
        <f>MAX('Total Coliform'!N126:N139)</f>
        <v>227333333.33000001</v>
      </c>
      <c r="O49" s="1098" t="e">
        <f>MAX('Total Coliform'!#REF!)</f>
        <v>#REF!</v>
      </c>
      <c r="P49" s="1098">
        <f>MAX('Total Coliform'!Q126:Q139)</f>
        <v>4921879115.6428165</v>
      </c>
      <c r="Q49" s="1098">
        <f>MAX('Total Coliform'!R126:R139)</f>
        <v>0</v>
      </c>
      <c r="R49" s="1098">
        <f>MAX('Total Coliform'!S126:S139)</f>
        <v>85200000</v>
      </c>
      <c r="S49" s="1098">
        <f>MAX('Total Coliform'!T126:T139)</f>
        <v>26400000</v>
      </c>
      <c r="T49" s="1098">
        <f>MAX('Total Coliform'!U126:U139)</f>
        <v>80100000</v>
      </c>
      <c r="U49" s="1098">
        <f>MAX('Total Coliform'!V126:V139)</f>
        <v>161000000</v>
      </c>
      <c r="V49" s="1098">
        <f>MAX('Total Coliform'!W126:W139)</f>
        <v>2590000000</v>
      </c>
      <c r="W49" s="1098">
        <f>MAX('Total Coliform'!X126:X139)</f>
        <v>132000000000</v>
      </c>
      <c r="X49" s="1098" t="e">
        <f>MAX('Total Coliform'!#REF!)</f>
        <v>#REF!</v>
      </c>
      <c r="Y49" s="1098">
        <f>MAX('Total Coliform'!Y126:Y139)</f>
        <v>0</v>
      </c>
      <c r="Z49" s="1098" t="e">
        <f>MAX('Total Coliform'!#REF!)</f>
        <v>#REF!</v>
      </c>
      <c r="AA49" s="1098">
        <f>MAX('Total Coliform'!Z126:Z139)</f>
        <v>0</v>
      </c>
      <c r="AB49" s="1098" t="e">
        <f>MAX('Total Coliform'!#REF!)</f>
        <v>#REF!</v>
      </c>
      <c r="AC49" s="1098">
        <f>MAX('Total Coliform'!AA126:AA139)</f>
        <v>0</v>
      </c>
      <c r="AD49" s="1098">
        <f>MAX('Total Coliform'!AB126:AB139)</f>
        <v>0</v>
      </c>
      <c r="AE49" s="1098">
        <f>MAX('Total Coliform'!AC126:AC139)</f>
        <v>0</v>
      </c>
    </row>
    <row r="50" spans="1:31">
      <c r="A50" s="3570"/>
      <c r="B50" s="3870"/>
      <c r="C50" s="1581" t="s">
        <v>313</v>
      </c>
      <c r="D50" s="1098">
        <f>MIN('Total Coliform'!C126:C139)</f>
        <v>34000</v>
      </c>
      <c r="E50" s="1098">
        <f>MIN('Total Coliform'!D126:D139)</f>
        <v>760000</v>
      </c>
      <c r="F50" s="1098">
        <f>MIN('Total Coliform'!E126:E139)</f>
        <v>114666.66666666667</v>
      </c>
      <c r="G50" s="1098">
        <f>MIN('Total Coliform'!F126:F139)</f>
        <v>23100</v>
      </c>
      <c r="H50" s="1098">
        <f>MIN('Total Coliform'!G126:G139)</f>
        <v>58666.666666666664</v>
      </c>
      <c r="I50" s="1098">
        <f>MIN('Total Coliform'!H126:H139)</f>
        <v>2513333.3333333335</v>
      </c>
      <c r="J50" s="1098">
        <f>MIN('Total Coliform'!I126:I139)</f>
        <v>77333.333333333328</v>
      </c>
      <c r="K50" s="1098">
        <f>MIN('Total Coliform'!J126:J139)</f>
        <v>530000</v>
      </c>
      <c r="L50" s="1098">
        <f>MIN('Total Coliform'!L126:L139)</f>
        <v>823333.33333333337</v>
      </c>
      <c r="M50" s="1098">
        <f>MIN('Total Coliform'!M126:M139)</f>
        <v>165166.67000000001</v>
      </c>
      <c r="N50" s="1098">
        <f>MIN('Total Coliform'!N126:N139)</f>
        <v>10766.67</v>
      </c>
      <c r="O50" s="1098" t="e">
        <f>MIN('Total Coliform'!#REF!)</f>
        <v>#REF!</v>
      </c>
      <c r="P50" s="1098">
        <f>MIN('Total Coliform'!Q126:Q139)</f>
        <v>27976.170201254285</v>
      </c>
      <c r="Q50" s="1098">
        <f>MIN('Total Coliform'!R126:R139)</f>
        <v>0</v>
      </c>
      <c r="R50" s="1098">
        <f>MIN('Total Coliform'!S126:S139)</f>
        <v>9530</v>
      </c>
      <c r="S50" s="1098">
        <f>MIN('Total Coliform'!T126:T139)</f>
        <v>9210</v>
      </c>
      <c r="T50" s="1098">
        <f>MIN('Total Coliform'!U126:U139)</f>
        <v>3770</v>
      </c>
      <c r="U50" s="1098">
        <f>MIN('Total Coliform'!V126:V139)</f>
        <v>621000</v>
      </c>
      <c r="V50" s="1098">
        <f>MIN('Total Coliform'!W126:W139)</f>
        <v>159000</v>
      </c>
      <c r="W50" s="1098">
        <f>MIN('Total Coliform'!X126:X139)</f>
        <v>27700</v>
      </c>
      <c r="X50" s="1098" t="e">
        <f>MIN('Total Coliform'!#REF!)</f>
        <v>#REF!</v>
      </c>
      <c r="Y50" s="1098">
        <f>MIN('Total Coliform'!Y126:Y139)</f>
        <v>0</v>
      </c>
      <c r="Z50" s="1098" t="e">
        <f>MIN('Total Coliform'!#REF!)</f>
        <v>#REF!</v>
      </c>
      <c r="AA50" s="1098">
        <f>MIN('Total Coliform'!Z126:Z139)</f>
        <v>0</v>
      </c>
      <c r="AB50" s="1098" t="e">
        <f>MIN('Total Coliform'!#REF!)</f>
        <v>#REF!</v>
      </c>
      <c r="AC50" s="1098">
        <f>MIN('Total Coliform'!AA126:AA139)</f>
        <v>0</v>
      </c>
      <c r="AD50" s="1098">
        <f>MIN('Total Coliform'!AB126:AB139)</f>
        <v>0</v>
      </c>
      <c r="AE50" s="1098">
        <f>MIN('Total Coliform'!AC126:AC139)</f>
        <v>0</v>
      </c>
    </row>
    <row r="51" spans="1:31">
      <c r="A51" s="3571"/>
      <c r="B51" s="3871"/>
      <c r="C51" s="1581" t="s">
        <v>315</v>
      </c>
      <c r="D51" s="1098">
        <f>AVERAGE('Total Coliform'!C126:C139)</f>
        <v>61147428.571428575</v>
      </c>
      <c r="E51" s="1098">
        <f>AVERAGE('Total Coliform'!D126:D139)</f>
        <v>4899905821.4285717</v>
      </c>
      <c r="F51" s="1098">
        <f>AVERAGE('Total Coliform'!E126:E139)</f>
        <v>35338142.857142851</v>
      </c>
      <c r="G51" s="1098">
        <f>AVERAGE('Total Coliform'!F126:F139)</f>
        <v>14921411.904761901</v>
      </c>
      <c r="H51" s="1098">
        <f>AVERAGE('Total Coliform'!G126:G139)</f>
        <v>335961095.23809528</v>
      </c>
      <c r="I51" s="1098">
        <f>AVERAGE('Total Coliform'!H126:H139)</f>
        <v>52552547.619047619</v>
      </c>
      <c r="J51" s="1098">
        <f>AVERAGE('Total Coliform'!I126:I139)</f>
        <v>121550642.85714288</v>
      </c>
      <c r="K51" s="1098">
        <f>AVERAGE('Total Coliform'!J126:J139)</f>
        <v>3347967179.4871793</v>
      </c>
      <c r="L51" s="1098">
        <f>AVERAGE('Total Coliform'!L126:L139)</f>
        <v>2333327509.5238094</v>
      </c>
      <c r="M51" s="1098">
        <f>AVERAGE('Total Coliform'!M126:M139)</f>
        <v>118048464.28571428</v>
      </c>
      <c r="N51" s="1098">
        <f>AVERAGE('Total Coliform'!N126:N139)</f>
        <v>46992674.00071428</v>
      </c>
      <c r="O51" s="1098" t="e">
        <f>AVERAGE('Total Coliform'!#REF!)</f>
        <v>#REF!</v>
      </c>
      <c r="P51" s="1098">
        <f>AVERAGE('Total Coliform'!Q126:Q139)</f>
        <v>934759813.9792769</v>
      </c>
      <c r="Q51" s="1098" t="e">
        <f>AVERAGE('Total Coliform'!R126:R139)</f>
        <v>#DIV/0!</v>
      </c>
      <c r="R51" s="1098">
        <f>AVERAGE('Total Coliform'!S126:S139)</f>
        <v>12513323.571428571</v>
      </c>
      <c r="S51" s="1098">
        <f>AVERAGE('Total Coliform'!T126:T139)</f>
        <v>7461357.8571428573</v>
      </c>
      <c r="T51" s="1098">
        <f>AVERAGE('Total Coliform'!U126:U139)</f>
        <v>12083055</v>
      </c>
      <c r="U51" s="1098">
        <f>AVERAGE('Total Coliform'!V126:V139)</f>
        <v>46417214.285714284</v>
      </c>
      <c r="V51" s="1098">
        <f>AVERAGE('Total Coliform'!W126:W139)</f>
        <v>258192785.7142857</v>
      </c>
      <c r="W51" s="1098">
        <f>AVERAGE('Total Coliform'!X126:X139)</f>
        <v>19787939835.714287</v>
      </c>
      <c r="X51" s="1098" t="e">
        <f>AVERAGE('Total Coliform'!#REF!)</f>
        <v>#REF!</v>
      </c>
      <c r="Y51" s="1098" t="e">
        <f>AVERAGE('Total Coliform'!Y126:Y139)</f>
        <v>#DIV/0!</v>
      </c>
      <c r="Z51" s="1098" t="e">
        <f>AVERAGE('Total Coliform'!#REF!)</f>
        <v>#REF!</v>
      </c>
      <c r="AA51" s="1098" t="e">
        <f>AVERAGE('Total Coliform'!Z126:Z139)</f>
        <v>#DIV/0!</v>
      </c>
      <c r="AB51" s="1098" t="e">
        <f>AVERAGE('Total Coliform'!#REF!)</f>
        <v>#REF!</v>
      </c>
      <c r="AC51" s="1098" t="e">
        <f>AVERAGE('Total Coliform'!AA126:AA139)</f>
        <v>#DIV/0!</v>
      </c>
      <c r="AD51" s="1098" t="e">
        <f>AVERAGE('Total Coliform'!AB126:AB139)</f>
        <v>#DIV/0!</v>
      </c>
      <c r="AE51" s="1098" t="e">
        <f>AVERAGE('Total Coliform'!AC126:AC139)</f>
        <v>#DIV/0!</v>
      </c>
    </row>
    <row r="52" spans="1:31">
      <c r="A52" s="3569" t="s">
        <v>317</v>
      </c>
      <c r="B52" s="3869" t="s">
        <v>201</v>
      </c>
      <c r="C52" s="1581" t="s">
        <v>312</v>
      </c>
      <c r="D52" s="1580">
        <f>MAX(DO!E211:E219)</f>
        <v>8.5333333333333332</v>
      </c>
      <c r="E52" s="1580">
        <f>MAX(DO!F211:F219)</f>
        <v>8.1</v>
      </c>
      <c r="F52" s="1580">
        <f>MAX(DO!G211:G219)</f>
        <v>8.8333333333333339</v>
      </c>
      <c r="G52" s="1580">
        <f>MAX(DO!H211:H219)</f>
        <v>8.8666666666666671</v>
      </c>
      <c r="H52" s="1580">
        <f>MAX(DO!I211:I219)</f>
        <v>8.9</v>
      </c>
      <c r="I52" s="1580">
        <f>MAX(DO!J211:J219)</f>
        <v>7.9</v>
      </c>
      <c r="J52" s="1580">
        <f>MAX(DO!K211:K219)</f>
        <v>9.1</v>
      </c>
      <c r="K52" s="1580">
        <f>MAX(DO!L211:L219)</f>
        <v>9.1999999999999993</v>
      </c>
      <c r="L52" s="1580">
        <f>MAX(DO!M211:M219)</f>
        <v>8.1999999999999993</v>
      </c>
      <c r="M52" s="1580">
        <f>MAX(DO!N211:N219)</f>
        <v>9.1</v>
      </c>
      <c r="N52" s="1580">
        <f>MAX(DO!O211:O219)</f>
        <v>9</v>
      </c>
      <c r="O52" s="1580">
        <f>MAX(DO!P211:P219)</f>
        <v>0</v>
      </c>
      <c r="P52" s="1580">
        <f>MAX(DO!Q211:Q219)</f>
        <v>8.8699999999999992</v>
      </c>
      <c r="Q52" s="1580">
        <f>MAX(DO!R211:R219)</f>
        <v>10.4</v>
      </c>
      <c r="R52" s="1580">
        <f>MAX(DO!S211:S219)</f>
        <v>11.27</v>
      </c>
      <c r="S52" s="1580">
        <f>MAX(DO!T211:T219)</f>
        <v>8.1999999999999993</v>
      </c>
      <c r="T52" s="1580">
        <f>MAX(DO!AA211:AA219)</f>
        <v>0</v>
      </c>
      <c r="U52" s="1580">
        <f>MAX(DO!AB211:AB219)</f>
        <v>8.2666666666666657</v>
      </c>
      <c r="V52" s="1580">
        <f>MAX(DO!AC211:AC219)</f>
        <v>0</v>
      </c>
      <c r="W52" s="1580">
        <f>MAX(DO!AD211:AD219)</f>
        <v>0</v>
      </c>
      <c r="X52" s="1580">
        <f>MAX(DO!AE211:AE219)</f>
        <v>0</v>
      </c>
      <c r="Y52" s="1580">
        <f>MAX(DO!AF211:AF219)</f>
        <v>0</v>
      </c>
      <c r="Z52" s="1580">
        <f>MAX(DO!AG211:AG219)</f>
        <v>0</v>
      </c>
      <c r="AA52" s="1580">
        <f>MAX(DO!AH211:AH219)</f>
        <v>0</v>
      </c>
      <c r="AB52" s="1580">
        <f>MAX(DO!AI211:AI219)</f>
        <v>0</v>
      </c>
      <c r="AC52" s="1580">
        <f>MAX(DO!AJ211:AJ219)</f>
        <v>0</v>
      </c>
      <c r="AD52" s="1580">
        <f>MAX(DO!AK211:AK219)</f>
        <v>0</v>
      </c>
      <c r="AE52" s="1580">
        <f>MAX(DO!AL211:AL219)</f>
        <v>0</v>
      </c>
    </row>
    <row r="53" spans="1:31" s="1560" customFormat="1">
      <c r="A53" s="3570"/>
      <c r="B53" s="3870"/>
      <c r="C53" s="1581" t="s">
        <v>313</v>
      </c>
      <c r="D53" s="1580">
        <f>MIN(DO!E211:E219)</f>
        <v>7.6333333333333329</v>
      </c>
      <c r="E53" s="1580">
        <f>MIN(DO!F211:F219)</f>
        <v>7.7</v>
      </c>
      <c r="F53" s="1580">
        <f>MIN(DO!G211:G219)</f>
        <v>7.1666666666666696</v>
      </c>
      <c r="G53" s="1580">
        <f>MIN(DO!H211:H219)</f>
        <v>6.4333333333333336</v>
      </c>
      <c r="H53" s="1580">
        <f>MIN(DO!I211:I219)</f>
        <v>7.4</v>
      </c>
      <c r="I53" s="1580">
        <f>MIN(DO!J211:J219)</f>
        <v>6.6</v>
      </c>
      <c r="J53" s="1580">
        <f>MIN(DO!K211:K219)</f>
        <v>6.7</v>
      </c>
      <c r="K53" s="1580">
        <f>MIN(DO!L211:L219)</f>
        <v>7.6</v>
      </c>
      <c r="L53" s="1580">
        <f>MIN(DO!M211:M219)</f>
        <v>7</v>
      </c>
      <c r="M53" s="1580">
        <f>MIN(DO!N211:N219)</f>
        <v>7.7</v>
      </c>
      <c r="N53" s="1580">
        <f>MIN(DO!O211:O219)</f>
        <v>6.1</v>
      </c>
      <c r="O53" s="1580">
        <f>MIN(DO!P211:P219)</f>
        <v>0</v>
      </c>
      <c r="P53" s="1580">
        <f>MIN(DO!Q211:Q219)</f>
        <v>8.07</v>
      </c>
      <c r="Q53" s="1580">
        <f>MIN(DO!R211:R219)</f>
        <v>8.1999999999999993</v>
      </c>
      <c r="R53" s="1580">
        <f>MIN(DO!S211:S219)</f>
        <v>7.6</v>
      </c>
      <c r="S53" s="1580">
        <f>MIN(DO!T211:T219)</f>
        <v>6.7</v>
      </c>
      <c r="T53" s="1580">
        <f>MIN(DO!AA211:AA219)</f>
        <v>0</v>
      </c>
      <c r="U53" s="1580">
        <f>MIN(DO!AB211:AB219)</f>
        <v>6.8666666666666671</v>
      </c>
      <c r="V53" s="1580">
        <f>MIN(DO!AC211:AC219)</f>
        <v>0</v>
      </c>
      <c r="W53" s="1580">
        <f>MIN(DO!AD211:AD219)</f>
        <v>0</v>
      </c>
      <c r="X53" s="1580">
        <f>MIN(DO!AE211:AE219)</f>
        <v>0</v>
      </c>
      <c r="Y53" s="1580">
        <f>MIN(DO!AF211:AF219)</f>
        <v>0</v>
      </c>
      <c r="Z53" s="1580">
        <f>MIN(DO!AG211:AG219)</f>
        <v>0</v>
      </c>
      <c r="AA53" s="1580">
        <f>MIN(DO!AH211:AH219)</f>
        <v>0</v>
      </c>
      <c r="AB53" s="1580">
        <f>MIN(DO!AI211:AI219)</f>
        <v>0</v>
      </c>
      <c r="AC53" s="1580">
        <f>MIN(DO!AJ211:AJ219)</f>
        <v>0</v>
      </c>
      <c r="AD53" s="1580">
        <f>MIN(DO!AK211:AK219)</f>
        <v>0</v>
      </c>
      <c r="AE53" s="1580">
        <f>MIN(DO!AL211:AL219)</f>
        <v>0</v>
      </c>
    </row>
    <row r="54" spans="1:31" s="1560" customFormat="1">
      <c r="A54" s="3570"/>
      <c r="B54" s="3871"/>
      <c r="C54" s="1581" t="s">
        <v>315</v>
      </c>
      <c r="D54" s="1580">
        <f>AVERAGE(DO!E211:E219)</f>
        <v>8.1733333333333338</v>
      </c>
      <c r="E54" s="1580">
        <f>AVERAGE(DO!F211:F219)</f>
        <v>7.9599999999999991</v>
      </c>
      <c r="F54" s="1580">
        <f>AVERAGE(DO!G211:G219)</f>
        <v>7.8400000000000007</v>
      </c>
      <c r="G54" s="1580">
        <f>AVERAGE(DO!H211:H219)</f>
        <v>7.9</v>
      </c>
      <c r="H54" s="1580">
        <f>AVERAGE(DO!I211:I219)</f>
        <v>8.0666666666666664</v>
      </c>
      <c r="I54" s="1580">
        <f>AVERAGE(DO!J211:J219)</f>
        <v>7.4333333333333336</v>
      </c>
      <c r="J54" s="1580">
        <f>AVERAGE(DO!K211:K219)</f>
        <v>7.7888888888888896</v>
      </c>
      <c r="K54" s="1580">
        <f>AVERAGE(DO!L211:L219)</f>
        <v>8.4777777777777779</v>
      </c>
      <c r="L54" s="1580">
        <f>AVERAGE(DO!M211:M219)</f>
        <v>7.7666666666666675</v>
      </c>
      <c r="M54" s="1580">
        <f>AVERAGE(DO!N211:N219)</f>
        <v>8.4</v>
      </c>
      <c r="N54" s="1580">
        <f>AVERAGE(DO!O211:O219)</f>
        <v>7.7333333333333325</v>
      </c>
      <c r="O54" s="1580" t="e">
        <f>AVERAGE(DO!P211:P219)</f>
        <v>#DIV/0!</v>
      </c>
      <c r="P54" s="1580">
        <f>AVERAGE(DO!Q211:Q219)</f>
        <v>8.5288888888888899</v>
      </c>
      <c r="Q54" s="1580">
        <f>AVERAGE(DO!R211:R219)</f>
        <v>8.8888888888888893</v>
      </c>
      <c r="R54" s="1580">
        <f>AVERAGE(DO!S211:S219)</f>
        <v>9.1655555555555548</v>
      </c>
      <c r="S54" s="1580">
        <f>AVERAGE(DO!T211:T219)</f>
        <v>7.5111111111111102</v>
      </c>
      <c r="T54" s="1580" t="e">
        <f>AVERAGE(DO!AA211:AA219)</f>
        <v>#DIV/0!</v>
      </c>
      <c r="U54" s="1580">
        <f>AVERAGE(DO!AB211:AB219)</f>
        <v>7.6999999999999993</v>
      </c>
      <c r="V54" s="1580" t="e">
        <f>AVERAGE(DO!AC211:AC219)</f>
        <v>#DIV/0!</v>
      </c>
      <c r="W54" s="1580" t="e">
        <f>AVERAGE(DO!AD211:AD219)</f>
        <v>#DIV/0!</v>
      </c>
      <c r="X54" s="1580" t="e">
        <f>AVERAGE(DO!AE211:AE219)</f>
        <v>#DIV/0!</v>
      </c>
      <c r="Y54" s="1580" t="e">
        <f>AVERAGE(DO!AF211:AF219)</f>
        <v>#DIV/0!</v>
      </c>
      <c r="Z54" s="1580" t="e">
        <f>AVERAGE(DO!AG211:AG219)</f>
        <v>#DIV/0!</v>
      </c>
      <c r="AA54" s="1580" t="e">
        <f>AVERAGE(DO!AH211:AH219)</f>
        <v>#DIV/0!</v>
      </c>
      <c r="AB54" s="1580" t="e">
        <f>AVERAGE(DO!AI211:AI219)</f>
        <v>#DIV/0!</v>
      </c>
      <c r="AC54" s="1580" t="e">
        <f>AVERAGE(DO!AJ211:AJ219)</f>
        <v>#DIV/0!</v>
      </c>
      <c r="AD54" s="1580" t="e">
        <f>AVERAGE(DO!AK211:AK219)</f>
        <v>#DIV/0!</v>
      </c>
      <c r="AE54" s="1580" t="e">
        <f>AVERAGE(DO!AL211:AL219)</f>
        <v>#DIV/0!</v>
      </c>
    </row>
    <row r="55" spans="1:31">
      <c r="A55" s="3570"/>
      <c r="B55" s="3869" t="s">
        <v>203</v>
      </c>
      <c r="C55" s="1581" t="s">
        <v>312</v>
      </c>
      <c r="D55" s="1580">
        <f>MAX(BOD!D205:D213)</f>
        <v>2.3666666666666667</v>
      </c>
      <c r="E55" s="1580">
        <f>MAX(BOD!E205:E213)</f>
        <v>3.3333333333333335</v>
      </c>
      <c r="F55" s="1580">
        <f>MAX(BOD!F205:F213)</f>
        <v>4</v>
      </c>
      <c r="G55" s="1580">
        <f>MAX(BOD!G205:G213)</f>
        <v>3</v>
      </c>
      <c r="H55" s="1580">
        <f>MAX(BOD!H205:H213)</f>
        <v>2</v>
      </c>
      <c r="I55" s="1580">
        <f>MAX(BOD!I205:I213)</f>
        <v>2</v>
      </c>
      <c r="J55" s="1580">
        <f>MAX(BOD!J205:J213)</f>
        <v>2</v>
      </c>
      <c r="K55" s="1580">
        <f>MAX(BOD!K205:K213)</f>
        <v>2</v>
      </c>
      <c r="L55" s="1580">
        <f>MAX(BOD!L205:L213)</f>
        <v>2</v>
      </c>
      <c r="M55" s="1580">
        <f>MAX(BOD!M205:M213)</f>
        <v>3</v>
      </c>
      <c r="N55" s="1580">
        <f>MAX(BOD!N205:N213)</f>
        <v>3</v>
      </c>
      <c r="O55" s="1580">
        <f>MAX(BOD!O205:O213)</f>
        <v>0</v>
      </c>
      <c r="P55" s="1580">
        <f>MAX(BOD!P205:P213)</f>
        <v>2.67</v>
      </c>
      <c r="Q55" s="1580">
        <f>MAX(BOD!Q205:Q213)</f>
        <v>5</v>
      </c>
      <c r="R55" s="1580">
        <f>MAX(BOD!R205:R213)</f>
        <v>0</v>
      </c>
      <c r="S55" s="1580">
        <f>MAX(BOD!S205:S213)</f>
        <v>0</v>
      </c>
      <c r="T55" s="1580">
        <f>MAX(BOD!X205:X213)</f>
        <v>1.67</v>
      </c>
      <c r="U55" s="1580">
        <f>MAX(BOD!Y205:Y213)</f>
        <v>3.3</v>
      </c>
      <c r="V55" s="1580">
        <f>MAX(BOD!Z205:Z213)</f>
        <v>0</v>
      </c>
      <c r="W55" s="1580">
        <f>MAX(BOD!AA205:AA213)</f>
        <v>2.6666666666666665</v>
      </c>
      <c r="X55" s="1580">
        <f>MAX(BOD!AF181:AF195)</f>
        <v>0</v>
      </c>
      <c r="Y55" s="1580" t="e">
        <f>MAX(BOD!#REF!)</f>
        <v>#REF!</v>
      </c>
      <c r="Z55" s="1580">
        <f>MAX(BOD!AG181:AG195)</f>
        <v>0</v>
      </c>
      <c r="AA55" s="1580">
        <f>MAX(BOD!AH181:AH195)</f>
        <v>0</v>
      </c>
      <c r="AB55" s="1580">
        <f>MAX(BOD!AI181:AI195)</f>
        <v>0</v>
      </c>
      <c r="AC55" s="1580">
        <f>MAX(BOD!AJ181:AJ195)</f>
        <v>0</v>
      </c>
      <c r="AD55" s="1580">
        <f>MAX(BOD!AK181:AK195)</f>
        <v>0</v>
      </c>
      <c r="AE55" s="1580">
        <f>MAX(BOD!AL181:AL195)</f>
        <v>0</v>
      </c>
    </row>
    <row r="56" spans="1:31" s="1560" customFormat="1">
      <c r="A56" s="3570"/>
      <c r="B56" s="3870"/>
      <c r="C56" s="1581" t="s">
        <v>313</v>
      </c>
      <c r="D56" s="1580">
        <f>MIN(BOD!D205:D213)</f>
        <v>1.7666666666666666</v>
      </c>
      <c r="E56" s="1580">
        <f>MIN(BOD!E205:E213)</f>
        <v>2</v>
      </c>
      <c r="F56" s="1580">
        <f>MIN(BOD!F205:F213)</f>
        <v>2</v>
      </c>
      <c r="G56" s="1580">
        <f>MIN(BOD!G205:G213)</f>
        <v>1.6666666666666667</v>
      </c>
      <c r="H56" s="1580">
        <f>MIN(BOD!H205:H213)</f>
        <v>1</v>
      </c>
      <c r="I56" s="1580">
        <f>MIN(BOD!I205:I213)</f>
        <v>1</v>
      </c>
      <c r="J56" s="1580">
        <f>MIN(BOD!J205:J213)</f>
        <v>1</v>
      </c>
      <c r="K56" s="1580">
        <f>MIN(BOD!K205:K213)</f>
        <v>1</v>
      </c>
      <c r="L56" s="1580">
        <f>MIN(BOD!L205:L213)</f>
        <v>1</v>
      </c>
      <c r="M56" s="1580">
        <f>MIN(BOD!M205:M213)</f>
        <v>2</v>
      </c>
      <c r="N56" s="1580">
        <f>MIN(BOD!N205:N213)</f>
        <v>1</v>
      </c>
      <c r="O56" s="1580">
        <f>MIN(BOD!O205:O213)</f>
        <v>0</v>
      </c>
      <c r="P56" s="1580">
        <f>MIN(BOD!P205:P213)</f>
        <v>1.67</v>
      </c>
      <c r="Q56" s="1580">
        <f>MIN(BOD!Q205:Q213)</f>
        <v>2</v>
      </c>
      <c r="R56" s="1580">
        <f>MIN(BOD!R205:R213)</f>
        <v>0</v>
      </c>
      <c r="S56" s="1580">
        <f>MIN(BOD!S205:S213)</f>
        <v>0</v>
      </c>
      <c r="T56" s="1580">
        <f>MIN(BOD!X205:X213)</f>
        <v>1</v>
      </c>
      <c r="U56" s="1580">
        <f>MIN(BOD!Y205:Y213)</f>
        <v>1.7</v>
      </c>
      <c r="V56" s="1580">
        <f>MIN(BOD!Z205:Z213)</f>
        <v>0</v>
      </c>
      <c r="W56" s="1580">
        <f>MIN(BOD!AA205:AA213)</f>
        <v>1</v>
      </c>
      <c r="X56" s="1580">
        <f>MIN(BOD!AF181:AF195)</f>
        <v>0</v>
      </c>
      <c r="Y56" s="1580" t="e">
        <f>MIN(BOD!#REF!)</f>
        <v>#REF!</v>
      </c>
      <c r="Z56" s="1580">
        <f>MIN(BOD!AG181:AG195)</f>
        <v>0</v>
      </c>
      <c r="AA56" s="1580">
        <f>MIN(BOD!AH181:AH195)</f>
        <v>0</v>
      </c>
      <c r="AB56" s="1580">
        <f>MIN(BOD!AI181:AI195)</f>
        <v>0</v>
      </c>
      <c r="AC56" s="1580">
        <f>MIN(BOD!AJ181:AJ195)</f>
        <v>0</v>
      </c>
      <c r="AD56" s="1580">
        <f>MIN(BOD!AK181:AK195)</f>
        <v>0</v>
      </c>
      <c r="AE56" s="1580">
        <f>MIN(BOD!AL181:AL195)</f>
        <v>0</v>
      </c>
    </row>
    <row r="57" spans="1:31" s="1560" customFormat="1">
      <c r="A57" s="3570"/>
      <c r="B57" s="3871"/>
      <c r="C57" s="1581" t="s">
        <v>315</v>
      </c>
      <c r="D57" s="1580">
        <f>AVERAGE(BOD!D205:D213)</f>
        <v>2.0866666666666664</v>
      </c>
      <c r="E57" s="1580">
        <f>AVERAGE(BOD!E205:E213)</f>
        <v>2.4</v>
      </c>
      <c r="F57" s="1580">
        <f>AVERAGE(BOD!F205:F213)</f>
        <v>2.666666666666667</v>
      </c>
      <c r="G57" s="1580">
        <f>AVERAGE(BOD!G205:G213)</f>
        <v>2.4666666666666668</v>
      </c>
      <c r="H57" s="1580">
        <f>AVERAGE(BOD!H205:H213)</f>
        <v>1.3333333333333333</v>
      </c>
      <c r="I57" s="1580">
        <f>AVERAGE(BOD!I205:I213)</f>
        <v>1.5555555555555556</v>
      </c>
      <c r="J57" s="1580">
        <f>AVERAGE(BOD!J205:J213)</f>
        <v>1.8888888888888888</v>
      </c>
      <c r="K57" s="1580">
        <f>AVERAGE(BOD!K205:K213)</f>
        <v>1.8888888888888888</v>
      </c>
      <c r="L57" s="1580">
        <f>AVERAGE(BOD!L205:L213)</f>
        <v>1.3333333333333333</v>
      </c>
      <c r="M57" s="1580">
        <f>AVERAGE(BOD!M205:M213)</f>
        <v>2.5555555555555554</v>
      </c>
      <c r="N57" s="1580">
        <f>AVERAGE(BOD!N205:N213)</f>
        <v>2.4444444444444446</v>
      </c>
      <c r="O57" s="1580" t="e">
        <f>AVERAGE(BOD!O205:O213)</f>
        <v>#DIV/0!</v>
      </c>
      <c r="P57" s="1580">
        <f>AVERAGE(BOD!P205:P213)</f>
        <v>2.2211111111111115</v>
      </c>
      <c r="Q57" s="1580">
        <f>AVERAGE(BOD!Q205:Q213)</f>
        <v>2.8149999999999999</v>
      </c>
      <c r="R57" s="1580" t="e">
        <f>AVERAGE(BOD!R205:R213)</f>
        <v>#DIV/0!</v>
      </c>
      <c r="S57" s="1580" t="e">
        <f>AVERAGE(BOD!S205:S213)</f>
        <v>#DIV/0!</v>
      </c>
      <c r="T57" s="1580">
        <f>AVERAGE(BOD!X205:X213)</f>
        <v>1.3688888888888888</v>
      </c>
      <c r="U57" s="1580">
        <f>AVERAGE(BOD!Y205:Y213)</f>
        <v>2.2333333333333329</v>
      </c>
      <c r="V57" s="1580" t="e">
        <f>AVERAGE(BOD!Z205:Z213)</f>
        <v>#DIV/0!</v>
      </c>
      <c r="W57" s="1580">
        <f>AVERAGE(BOD!AA205:AA213)</f>
        <v>1.8148148148148147</v>
      </c>
      <c r="X57" s="1580" t="e">
        <f>AVERAGE(BOD!AF181:AF195)</f>
        <v>#DIV/0!</v>
      </c>
      <c r="Y57" s="1580" t="e">
        <f>AVERAGE(BOD!#REF!)</f>
        <v>#REF!</v>
      </c>
      <c r="Z57" s="1580" t="e">
        <f>AVERAGE(BOD!AG181:AG195)</f>
        <v>#DIV/0!</v>
      </c>
      <c r="AA57" s="1580" t="e">
        <f>AVERAGE(BOD!AH181:AH195)</f>
        <v>#DIV/0!</v>
      </c>
      <c r="AB57" s="1580" t="e">
        <f>AVERAGE(BOD!AI181:AI195)</f>
        <v>#DIV/0!</v>
      </c>
      <c r="AC57" s="1580" t="e">
        <f>AVERAGE(BOD!AJ181:AJ195)</f>
        <v>#DIV/0!</v>
      </c>
      <c r="AD57" s="1580" t="e">
        <f>AVERAGE(BOD!AK181:AK195)</f>
        <v>#DIV/0!</v>
      </c>
      <c r="AE57" s="1580" t="e">
        <f>AVERAGE(BOD!AL181:AL195)</f>
        <v>#DIV/0!</v>
      </c>
    </row>
    <row r="58" spans="1:31">
      <c r="A58" s="3570"/>
      <c r="B58" s="3869" t="s">
        <v>199</v>
      </c>
      <c r="C58" s="1581" t="s">
        <v>312</v>
      </c>
      <c r="D58" s="1580">
        <f>MAX(pH!D183:D191)</f>
        <v>7.5333333333333341</v>
      </c>
      <c r="E58" s="1580">
        <f>MAX(pH!E183:E191)</f>
        <v>7.8666666666666671</v>
      </c>
      <c r="F58" s="1580">
        <f>MAX(pH!F183:F191)</f>
        <v>8.1333333333333329</v>
      </c>
      <c r="G58" s="1580">
        <f>MAX(pH!G183:G191)</f>
        <v>8.4333333333333336</v>
      </c>
      <c r="H58" s="1580">
        <f>MAX(pH!H183:H191)</f>
        <v>8.6</v>
      </c>
      <c r="I58" s="1580">
        <f>MAX(pH!I183:I191)</f>
        <v>8.6999999999999993</v>
      </c>
      <c r="J58" s="1580">
        <f>MAX(pH!J183:J191)</f>
        <v>8.9</v>
      </c>
      <c r="K58" s="1580">
        <f>MAX(pH!K183:K191)</f>
        <v>8.9</v>
      </c>
      <c r="L58" s="1580">
        <f>MAX(pH!L183:L191)</f>
        <v>8.1999999999999993</v>
      </c>
      <c r="M58" s="1580">
        <f>MAX(pH!M183:M191)</f>
        <v>9.1999999999999993</v>
      </c>
      <c r="N58" s="1580">
        <f>MAX(pH!N183:N191)</f>
        <v>9.1</v>
      </c>
      <c r="O58" s="1580">
        <f>MAX(pH!O183:O191)</f>
        <v>0</v>
      </c>
      <c r="P58" s="1580">
        <f>MAX(pH!P183:P191)</f>
        <v>8.23</v>
      </c>
      <c r="Q58" s="1580">
        <f>MAX(pH!Q183:Q191)</f>
        <v>9.3000000000000007</v>
      </c>
      <c r="R58" s="1580">
        <f>MAX(pH!R183:R191)</f>
        <v>7.95</v>
      </c>
      <c r="S58" s="1580">
        <f>MAX(pH!S183:S191)</f>
        <v>7.9</v>
      </c>
      <c r="T58" s="1580">
        <f>MAX(pH!X182:X190)</f>
        <v>8.5</v>
      </c>
      <c r="U58" s="1580">
        <f>MAX(pH!Y182:Y190)</f>
        <v>9.17</v>
      </c>
      <c r="V58" s="1580">
        <f>MAX(pH!Z182:Z190)</f>
        <v>8.5</v>
      </c>
      <c r="W58" s="1580">
        <f>MAX(pH!AA182:AA190)</f>
        <v>9</v>
      </c>
      <c r="X58" s="1580">
        <f>MAX(pH!AB158:AB174)</f>
        <v>0</v>
      </c>
      <c r="Y58" s="1580">
        <f>MAX(pH!AC158:AC174)</f>
        <v>0</v>
      </c>
      <c r="Z58" s="1580">
        <f>MAX(pH!AD158:AD174)</f>
        <v>0</v>
      </c>
      <c r="AA58" s="1580">
        <f>MAX(pH!AE158:AE174)</f>
        <v>0</v>
      </c>
      <c r="AB58" s="1580">
        <f>MAX(pH!AF158:AF174)</f>
        <v>0</v>
      </c>
      <c r="AC58" s="1580">
        <f>MAX(pH!AG158:AG174)</f>
        <v>0</v>
      </c>
      <c r="AD58" s="1580">
        <f>MAX(pH!AH158:AH174)</f>
        <v>0</v>
      </c>
      <c r="AE58" s="1580">
        <f>MAX(pH!AI158:AI174)</f>
        <v>0</v>
      </c>
    </row>
    <row r="59" spans="1:31" s="1560" customFormat="1">
      <c r="A59" s="3570"/>
      <c r="B59" s="3870"/>
      <c r="C59" s="1581" t="s">
        <v>313</v>
      </c>
      <c r="D59" s="1580">
        <f>MIN(pH!D183:D191)</f>
        <v>6.833333333333333</v>
      </c>
      <c r="E59" s="1580">
        <f>MIN(pH!E183:E191)</f>
        <v>7.6</v>
      </c>
      <c r="F59" s="1580">
        <f>MIN(pH!F183:F191)</f>
        <v>7.7</v>
      </c>
      <c r="G59" s="1580">
        <f>MIN(pH!G183:G191)</f>
        <v>8.1</v>
      </c>
      <c r="H59" s="1580">
        <f>MIN(pH!H183:H191)</f>
        <v>8.1999999999999993</v>
      </c>
      <c r="I59" s="1580">
        <f>MIN(pH!I183:I191)</f>
        <v>8.1999999999999993</v>
      </c>
      <c r="J59" s="1580">
        <f>MIN(pH!J183:J191)</f>
        <v>7.9</v>
      </c>
      <c r="K59" s="1580">
        <f>MIN(pH!K183:K191)</f>
        <v>8.6</v>
      </c>
      <c r="L59" s="1580">
        <f>MIN(pH!L183:L191)</f>
        <v>7.9</v>
      </c>
      <c r="M59" s="1580">
        <f>MIN(pH!M183:M191)</f>
        <v>8.5</v>
      </c>
      <c r="N59" s="1580">
        <f>MIN(pH!N183:N191)</f>
        <v>7.6</v>
      </c>
      <c r="O59" s="1580">
        <f>MIN(pH!O183:O191)</f>
        <v>0</v>
      </c>
      <c r="P59" s="1580">
        <f>MIN(pH!P183:P191)</f>
        <v>7.77</v>
      </c>
      <c r="Q59" s="1580">
        <f>MIN(pH!Q183:Q191)</f>
        <v>8.6329999999999991</v>
      </c>
      <c r="R59" s="1580">
        <f>MIN(pH!R183:R191)</f>
        <v>7.5</v>
      </c>
      <c r="S59" s="1580">
        <f>MIN(pH!S183:S191)</f>
        <v>7.5</v>
      </c>
      <c r="T59" s="1580">
        <f>MIN(pH!X182:X190)</f>
        <v>7.83</v>
      </c>
      <c r="U59" s="1580">
        <f>MIN(pH!Y182:Y190)</f>
        <v>8.4700000000000006</v>
      </c>
      <c r="V59" s="1580">
        <f>MIN(pH!Z182:Z190)</f>
        <v>8.5</v>
      </c>
      <c r="W59" s="1580">
        <f>MIN(pH!AA182:AA190)</f>
        <v>7.9</v>
      </c>
      <c r="X59" s="1580">
        <f>MIN(pH!AB158:AB174)</f>
        <v>0</v>
      </c>
      <c r="Y59" s="1580">
        <f>MIN(pH!AC158:AC174)</f>
        <v>0</v>
      </c>
      <c r="Z59" s="1580">
        <f>MIN(pH!AD158:AD174)</f>
        <v>0</v>
      </c>
      <c r="AA59" s="1580">
        <f>MIN(pH!AE158:AE174)</f>
        <v>0</v>
      </c>
      <c r="AB59" s="1580">
        <f>MIN(pH!AF158:AF174)</f>
        <v>0</v>
      </c>
      <c r="AC59" s="1580">
        <f>MIN(pH!AG158:AG174)</f>
        <v>0</v>
      </c>
      <c r="AD59" s="1580">
        <f>MIN(pH!AH158:AH174)</f>
        <v>0</v>
      </c>
      <c r="AE59" s="1580">
        <f>MIN(pH!AI158:AI174)</f>
        <v>0</v>
      </c>
    </row>
    <row r="60" spans="1:31" s="1560" customFormat="1">
      <c r="A60" s="3570"/>
      <c r="B60" s="3871"/>
      <c r="C60" s="1581" t="s">
        <v>315</v>
      </c>
      <c r="D60" s="1580">
        <f>AVERAGE(pH!D183:D191)</f>
        <v>7.32</v>
      </c>
      <c r="E60" s="1580">
        <f>AVERAGE(pH!E183:E191)</f>
        <v>7.746666666666667</v>
      </c>
      <c r="F60" s="1580">
        <f>AVERAGE(pH!F183:F191)</f>
        <v>7.9333333333333327</v>
      </c>
      <c r="G60" s="1580">
        <f>AVERAGE(pH!G183:G191)</f>
        <v>8.2533333333333339</v>
      </c>
      <c r="H60" s="1580">
        <f>AVERAGE(pH!H183:H191)</f>
        <v>8.4555555555555557</v>
      </c>
      <c r="I60" s="1580">
        <f>AVERAGE(pH!I183:I191)</f>
        <v>8.466666666666665</v>
      </c>
      <c r="J60" s="1580">
        <f>AVERAGE(pH!J183:J191)</f>
        <v>8.5555555555555554</v>
      </c>
      <c r="K60" s="1580">
        <f>AVERAGE(pH!K183:K191)</f>
        <v>8.7555555555555564</v>
      </c>
      <c r="L60" s="1580">
        <f>AVERAGE(pH!L183:L191)</f>
        <v>8.0555555555555536</v>
      </c>
      <c r="M60" s="1580">
        <f>AVERAGE(pH!M183:M191)</f>
        <v>8.8777777777777782</v>
      </c>
      <c r="N60" s="1580">
        <f>AVERAGE(pH!N183:N191)</f>
        <v>8.5888888888888903</v>
      </c>
      <c r="O60" s="1580" t="e">
        <f>AVERAGE(pH!O183:O191)</f>
        <v>#DIV/0!</v>
      </c>
      <c r="P60" s="1580">
        <f>AVERAGE(pH!P183:P191)</f>
        <v>8.0777777777777775</v>
      </c>
      <c r="Q60" s="1580">
        <f>AVERAGE(pH!Q183:Q191)</f>
        <v>8.8651888888888877</v>
      </c>
      <c r="R60" s="1580">
        <f>AVERAGE(pH!R183:R191)</f>
        <v>7.7088888888888896</v>
      </c>
      <c r="S60" s="1580">
        <f>AVERAGE(pH!S183:S191)</f>
        <v>7.7222222222222223</v>
      </c>
      <c r="T60" s="1580">
        <f>AVERAGE(pH!X182:X190)</f>
        <v>8.0811111111111096</v>
      </c>
      <c r="U60" s="1580">
        <f>AVERAGE(pH!Y182:Y190)</f>
        <v>8.7488888888888905</v>
      </c>
      <c r="V60" s="1580">
        <f>AVERAGE(pH!Z182:Z190)</f>
        <v>8.5</v>
      </c>
      <c r="W60" s="1580">
        <f>AVERAGE(pH!AA182:AA190)</f>
        <v>8.5</v>
      </c>
      <c r="X60" s="1580">
        <f>AVERAGE(pH!AB158:AB174)</f>
        <v>0</v>
      </c>
      <c r="Y60" s="1580">
        <f>AVERAGE(pH!AC158:AC174)</f>
        <v>0</v>
      </c>
      <c r="Z60" s="1580">
        <f>AVERAGE(pH!AD158:AD174)</f>
        <v>0</v>
      </c>
      <c r="AA60" s="1580">
        <f>AVERAGE(pH!AE158:AE174)</f>
        <v>0</v>
      </c>
      <c r="AB60" s="1580" t="e">
        <f>AVERAGE(pH!AF158:AF174)</f>
        <v>#DIV/0!</v>
      </c>
      <c r="AC60" s="1580" t="e">
        <f>AVERAGE(pH!AG158:AG174)</f>
        <v>#DIV/0!</v>
      </c>
      <c r="AD60" s="1580" t="e">
        <f>AVERAGE(pH!AH158:AH174)</f>
        <v>#DIV/0!</v>
      </c>
      <c r="AE60" s="1580" t="e">
        <f>AVERAGE(pH!AI158:AI174)</f>
        <v>#DIV/0!</v>
      </c>
    </row>
    <row r="61" spans="1:31">
      <c r="A61" s="3570"/>
      <c r="B61" s="3869" t="s">
        <v>170</v>
      </c>
      <c r="C61" s="1581" t="s">
        <v>312</v>
      </c>
      <c r="D61" s="1580">
        <f>MAX(Nitrate!D181:D189)</f>
        <v>0.11146666666666666</v>
      </c>
      <c r="E61" s="1580">
        <f>MAX(Nitrate!E181:E189)</f>
        <v>7.5933333333333339E-2</v>
      </c>
      <c r="F61" s="1580">
        <f>MAX(Nitrate!F181:F189)</f>
        <v>0.29186666666666666</v>
      </c>
      <c r="G61" s="1580">
        <f>MAX(Nitrate!G181:G189)</f>
        <v>0.58274999999999999</v>
      </c>
      <c r="H61" s="1580">
        <f>MAX(Nitrate!H181:H189)</f>
        <v>0.497</v>
      </c>
      <c r="I61" s="1580">
        <f>MAX(Nitrate!I181:I189)</f>
        <v>6.4000000000000001E-2</v>
      </c>
      <c r="J61" s="1580">
        <f>MAX(Nitrate!J181:J189)</f>
        <v>0.45</v>
      </c>
      <c r="K61" s="1580">
        <f>MAX(Nitrate!K181:K189)</f>
        <v>4.1300000000000003E-2</v>
      </c>
      <c r="L61" s="1580">
        <f>MAX(Nitrate!L181:L189)</f>
        <v>0.114</v>
      </c>
      <c r="M61" s="1580">
        <f>MAX(Nitrate!M181:M189)</f>
        <v>6.6000000000000003E-2</v>
      </c>
      <c r="N61" s="1580">
        <f>MAX(Nitrate!N181:N189)</f>
        <v>0.28000000000000003</v>
      </c>
      <c r="O61" s="1580">
        <f>MAX(Nitrate!O181:O189)</f>
        <v>0</v>
      </c>
      <c r="P61" s="1580">
        <f>MAX(Nitrate!P181:P189)</f>
        <v>0.38300000000000001</v>
      </c>
      <c r="Q61" s="1580">
        <f>MAX(Nitrate!Q181:Q189)</f>
        <v>0.16900000000000001</v>
      </c>
      <c r="R61" s="1580">
        <f>MAX(Nitrate!R181:R189)</f>
        <v>0</v>
      </c>
      <c r="S61" s="1580">
        <f>MAX(Nitrate!S181:S189)</f>
        <v>0</v>
      </c>
      <c r="T61" s="1580" t="e">
        <f>MAX(Nitrate!#REF!)</f>
        <v>#REF!</v>
      </c>
      <c r="U61" s="1580">
        <f>MAX(Nitrate!Y181:Y189)</f>
        <v>0.30599999999999999</v>
      </c>
      <c r="V61" s="1580">
        <f>MAX(Nitrate!Z181:Z189)</f>
        <v>0</v>
      </c>
      <c r="W61" s="1580">
        <f>MAX(Nitrate!AA181:AA189)</f>
        <v>0.34933333333333333</v>
      </c>
      <c r="X61" s="1580">
        <f>MAX(Nitrate!AB157:AB171)</f>
        <v>0</v>
      </c>
      <c r="Y61" s="1580" t="e">
        <f>MAX(Nitrate!#REF!)</f>
        <v>#REF!</v>
      </c>
      <c r="Z61" s="1580" t="e">
        <f>MAX(Nitrate!#REF!)</f>
        <v>#REF!</v>
      </c>
      <c r="AA61" s="1580">
        <f>MAX(Nitrate!AC157:AC171)</f>
        <v>0</v>
      </c>
      <c r="AB61" s="1580">
        <f>MAX(Nitrate!AD157:AD171)</f>
        <v>0</v>
      </c>
      <c r="AC61" s="1580">
        <f>MAX(Nitrate!AE157:AE171)</f>
        <v>0</v>
      </c>
      <c r="AD61" s="1580">
        <f>MAX(Nitrate!AF157:AF171)</f>
        <v>0</v>
      </c>
      <c r="AE61" s="1580">
        <f>MAX(Nitrate!AG157:AG171)</f>
        <v>0</v>
      </c>
    </row>
    <row r="62" spans="1:31" s="1560" customFormat="1">
      <c r="A62" s="3570"/>
      <c r="B62" s="3870"/>
      <c r="C62" s="1581" t="s">
        <v>313</v>
      </c>
      <c r="D62" s="1580">
        <f>MIN(Nitrate!D181:D189)</f>
        <v>3.1733333333333336E-2</v>
      </c>
      <c r="E62" s="1580">
        <f>MIN(Nitrate!E181:E189)</f>
        <v>3.7133333333333331E-2</v>
      </c>
      <c r="F62" s="1580">
        <f>MIN(Nitrate!F181:F189)</f>
        <v>7.746666666666667E-2</v>
      </c>
      <c r="G62" s="1580">
        <f>MIN(Nitrate!G181:G189)</f>
        <v>0.13119999999999998</v>
      </c>
      <c r="H62" s="1580">
        <f>MIN(Nitrate!H181:H189)</f>
        <v>1.7999999999999999E-2</v>
      </c>
      <c r="I62" s="1580">
        <f>MIN(Nitrate!I181:I189)</f>
        <v>8.9999999999999993E-3</v>
      </c>
      <c r="J62" s="1580">
        <f>MIN(Nitrate!J181:J189)</f>
        <v>8.9999999999999993E-3</v>
      </c>
      <c r="K62" s="1580">
        <f>MIN(Nitrate!K181:K189)</f>
        <v>1.6299999999999999E-2</v>
      </c>
      <c r="L62" s="1580">
        <f>MIN(Nitrate!L181:L189)</f>
        <v>2.1999999999999999E-2</v>
      </c>
      <c r="M62" s="1580">
        <f>MIN(Nitrate!M181:M189)</f>
        <v>1.6E-2</v>
      </c>
      <c r="N62" s="1580">
        <f>MIN(Nitrate!N181:N189)</f>
        <v>1.0999999999999999E-2</v>
      </c>
      <c r="O62" s="1580">
        <f>MIN(Nitrate!O181:O189)</f>
        <v>0</v>
      </c>
      <c r="P62" s="1580">
        <f>MIN(Nitrate!P181:P189)</f>
        <v>0.11</v>
      </c>
      <c r="Q62" s="1580">
        <f>MIN(Nitrate!Q181:Q189)</f>
        <v>3.5999999999999997E-2</v>
      </c>
      <c r="R62" s="1580">
        <f>MIN(Nitrate!R181:R189)</f>
        <v>0</v>
      </c>
      <c r="S62" s="1580">
        <f>MIN(Nitrate!S181:S189)</f>
        <v>0</v>
      </c>
      <c r="T62" s="1580" t="e">
        <f>MIN(Nitrate!#REF!)</f>
        <v>#REF!</v>
      </c>
      <c r="U62" s="1580">
        <f>MIN(Nitrate!Y181:Y189)</f>
        <v>3.1E-2</v>
      </c>
      <c r="V62" s="1580">
        <f>MIN(Nitrate!Z181:Z189)</f>
        <v>0</v>
      </c>
      <c r="W62" s="1580">
        <f>MIN(Nitrate!AA181:AA189)</f>
        <v>6.9666666666666668E-2</v>
      </c>
      <c r="X62" s="1580">
        <f>MIN(Nitrate!AB157:AB171)</f>
        <v>0</v>
      </c>
      <c r="Y62" s="1580" t="e">
        <f>MIN(Nitrate!#REF!)</f>
        <v>#REF!</v>
      </c>
      <c r="Z62" s="1580" t="e">
        <f>MIN(Nitrate!#REF!)</f>
        <v>#REF!</v>
      </c>
      <c r="AA62" s="1580">
        <f>MIN(Nitrate!AC157:AC171)</f>
        <v>0</v>
      </c>
      <c r="AB62" s="1580">
        <f>MIN(Nitrate!AD157:AD171)</f>
        <v>0</v>
      </c>
      <c r="AC62" s="1580">
        <f>MIN(Nitrate!AE157:AE171)</f>
        <v>0</v>
      </c>
      <c r="AD62" s="1580">
        <f>MIN(Nitrate!AF157:AF171)</f>
        <v>0</v>
      </c>
      <c r="AE62" s="1580">
        <f>MIN(Nitrate!AG157:AG171)</f>
        <v>0</v>
      </c>
    </row>
    <row r="63" spans="1:31" s="1560" customFormat="1">
      <c r="A63" s="3570"/>
      <c r="B63" s="3871"/>
      <c r="C63" s="1581" t="s">
        <v>315</v>
      </c>
      <c r="D63" s="1580">
        <f>AVERAGE(Nitrate!D181:D189)</f>
        <v>7.17E-2</v>
      </c>
      <c r="E63" s="1580">
        <f>AVERAGE(Nitrate!E181:E189)</f>
        <v>4.889333333333333E-2</v>
      </c>
      <c r="F63" s="1580">
        <f>AVERAGE(Nitrate!F181:F189)</f>
        <v>0.19922000000000001</v>
      </c>
      <c r="G63" s="1580">
        <f>AVERAGE(Nitrate!G181:G189)</f>
        <v>0.36371000000000003</v>
      </c>
      <c r="H63" s="1580">
        <f>AVERAGE(Nitrate!H181:H189)</f>
        <v>0.34233333333333338</v>
      </c>
      <c r="I63" s="1580">
        <f>AVERAGE(Nitrate!I181:I189)</f>
        <v>3.8777777777777772E-2</v>
      </c>
      <c r="J63" s="1580">
        <f>AVERAGE(Nitrate!J181:J189)</f>
        <v>0.16399999999999998</v>
      </c>
      <c r="K63" s="1580">
        <f>AVERAGE(Nitrate!K181:K189)</f>
        <v>2.3244444444444446E-2</v>
      </c>
      <c r="L63" s="1580">
        <f>AVERAGE(Nitrate!L181:L189)</f>
        <v>4.8222222222222222E-2</v>
      </c>
      <c r="M63" s="1580">
        <f>AVERAGE(Nitrate!M181:M189)</f>
        <v>2.8333333333333335E-2</v>
      </c>
      <c r="N63" s="1580">
        <f>AVERAGE(Nitrate!N181:N189)</f>
        <v>7.4555555555555569E-2</v>
      </c>
      <c r="O63" s="1580" t="e">
        <f>AVERAGE(Nitrate!O181:O189)</f>
        <v>#DIV/0!</v>
      </c>
      <c r="P63" s="1580">
        <f>AVERAGE(Nitrate!P181:P189)</f>
        <v>0.25600000000000001</v>
      </c>
      <c r="Q63" s="1580">
        <f>AVERAGE(Nitrate!Q181:Q189)</f>
        <v>0.12155555555555557</v>
      </c>
      <c r="R63" s="1580" t="e">
        <f>AVERAGE(Nitrate!R181:R189)</f>
        <v>#DIV/0!</v>
      </c>
      <c r="S63" s="1580" t="e">
        <f>AVERAGE(Nitrate!S181:S189)</f>
        <v>#DIV/0!</v>
      </c>
      <c r="T63" s="1580" t="e">
        <f>AVERAGE(Nitrate!#REF!)</f>
        <v>#REF!</v>
      </c>
      <c r="U63" s="1580">
        <f>AVERAGE(Nitrate!Y181:Y189)</f>
        <v>0.14588888888888887</v>
      </c>
      <c r="V63" s="1580" t="e">
        <f>AVERAGE(Nitrate!Z181:Z189)</f>
        <v>#DIV/0!</v>
      </c>
      <c r="W63" s="1580">
        <f>AVERAGE(Nitrate!AA181:AA189)</f>
        <v>0.16859259259259263</v>
      </c>
      <c r="X63" s="1580" t="e">
        <f>AVERAGE(Nitrate!AB157:AB171)</f>
        <v>#DIV/0!</v>
      </c>
      <c r="Y63" s="1580" t="e">
        <f>AVERAGE(Nitrate!#REF!)</f>
        <v>#REF!</v>
      </c>
      <c r="Z63" s="1580" t="e">
        <f>AVERAGE(Nitrate!#REF!)</f>
        <v>#REF!</v>
      </c>
      <c r="AA63" s="1580" t="e">
        <f>AVERAGE(Nitrate!AC157:AC171)</f>
        <v>#DIV/0!</v>
      </c>
      <c r="AB63" s="1580" t="e">
        <f>AVERAGE(Nitrate!AD157:AD171)</f>
        <v>#DIV/0!</v>
      </c>
      <c r="AC63" s="1580" t="e">
        <f>AVERAGE(Nitrate!AE157:AE171)</f>
        <v>#DIV/0!</v>
      </c>
      <c r="AD63" s="1580" t="e">
        <f>AVERAGE(Nitrate!AF157:AF171)</f>
        <v>#DIV/0!</v>
      </c>
      <c r="AE63" s="1580" t="e">
        <f>AVERAGE(Nitrate!AG157:AG171)</f>
        <v>#DIV/0!</v>
      </c>
    </row>
    <row r="64" spans="1:31">
      <c r="A64" s="3570"/>
      <c r="B64" s="3869" t="s">
        <v>169</v>
      </c>
      <c r="C64" s="1581" t="s">
        <v>312</v>
      </c>
      <c r="D64" s="1580">
        <f>MAX(Phosphate!D185:D193)</f>
        <v>3.2766666666666666E-2</v>
      </c>
      <c r="E64" s="1580">
        <f>MAX(Phosphate!E185:E193)</f>
        <v>0.22593333333333332</v>
      </c>
      <c r="F64" s="1580">
        <f>MAX(Phosphate!F185:F193)</f>
        <v>0.12309999999999999</v>
      </c>
      <c r="G64" s="1580">
        <f>MAX(Phosphate!G185:G193)</f>
        <v>7.6949999999999991E-2</v>
      </c>
      <c r="H64" s="1580">
        <f>MAX(Phosphate!H185:H193)</f>
        <v>0.34200000000000003</v>
      </c>
      <c r="I64" s="1580">
        <f>MAX(Phosphate!I185:I193)</f>
        <v>0.21299999999999999</v>
      </c>
      <c r="J64" s="1580">
        <f>MAX(Phosphate!J185:J193)</f>
        <v>0.125</v>
      </c>
      <c r="K64" s="1580">
        <f>MAX(Phosphate!K185:K193)</f>
        <v>8.1000000000000003E-2</v>
      </c>
      <c r="L64" s="1580">
        <f>MAX(Phosphate!L185:L193)</f>
        <v>6.5000000000000002E-2</v>
      </c>
      <c r="M64" s="1580">
        <f>MAX(Phosphate!M185:M193)</f>
        <v>0.11</v>
      </c>
      <c r="N64" s="1580">
        <f>MAX(Phosphate!N185:N193)</f>
        <v>5.5E-2</v>
      </c>
      <c r="O64" s="1580">
        <f>MAX(Phosphate!O185:O193)</f>
        <v>0</v>
      </c>
      <c r="P64" s="1580">
        <f>MAX(Phosphate!P185:P193)</f>
        <v>0.38300000000000001</v>
      </c>
      <c r="Q64" s="1580">
        <f>MAX(Phosphate!Q185:Q193)</f>
        <v>0.21099999999999999</v>
      </c>
      <c r="R64" s="1580">
        <f>MAX(Phosphate!R185:R193)</f>
        <v>0</v>
      </c>
      <c r="S64" s="1580">
        <f>MAX(Phosphate!S185:S193)</f>
        <v>0</v>
      </c>
      <c r="T64" s="1580" t="e">
        <f>MAX(Phosphate!#REF!)</f>
        <v>#REF!</v>
      </c>
      <c r="U64" s="1580">
        <f>MAX(Phosphate!Y185:Y193)</f>
        <v>0.152</v>
      </c>
      <c r="V64" s="1580">
        <f>MAX(Phosphate!Z185:Z193)</f>
        <v>0</v>
      </c>
      <c r="W64" s="1580">
        <f>MAX(Phosphate!AA185:AA193)</f>
        <v>0.19066666666666668</v>
      </c>
      <c r="X64" s="1580">
        <f>MAX(Phosphate!AB161:AB175)</f>
        <v>0</v>
      </c>
      <c r="Y64" s="1580">
        <f>MAX(Phosphate!AC161:AC175)</f>
        <v>0</v>
      </c>
      <c r="Z64" s="1580" t="e">
        <f>MAX(Phosphate!#REF!)</f>
        <v>#REF!</v>
      </c>
      <c r="AA64" s="1580">
        <f>MAX(Phosphate!AE161:AE175)</f>
        <v>0</v>
      </c>
      <c r="AB64" s="1580">
        <f>MAX(Phosphate!AF161:AF175)</f>
        <v>0</v>
      </c>
      <c r="AC64" s="1580">
        <f>MAX(Phosphate!AG161:AG175)</f>
        <v>0</v>
      </c>
      <c r="AD64" s="1580">
        <f>MAX(Phosphate!AH161:AH175)</f>
        <v>0</v>
      </c>
      <c r="AE64" s="1580">
        <f>MAX(Phosphate!AI161:AI175)</f>
        <v>0</v>
      </c>
    </row>
    <row r="65" spans="1:31" s="1560" customFormat="1">
      <c r="A65" s="3570"/>
      <c r="B65" s="3870"/>
      <c r="C65" s="1581" t="s">
        <v>313</v>
      </c>
      <c r="D65" s="1580">
        <f>MIN(Phosphate!D185:D193)</f>
        <v>1.7033333333333334E-2</v>
      </c>
      <c r="E65" s="1580">
        <f>MIN(Phosphate!E185:E193)</f>
        <v>4.1299999999999996E-2</v>
      </c>
      <c r="F65" s="1580">
        <f>MIN(Phosphate!F185:F193)</f>
        <v>6.4933333333333329E-2</v>
      </c>
      <c r="G65" s="1580">
        <f>MIN(Phosphate!G185:G193)</f>
        <v>4.3E-3</v>
      </c>
      <c r="H65" s="1580">
        <f>MIN(Phosphate!H185:H193)</f>
        <v>4.4999999999999998E-2</v>
      </c>
      <c r="I65" s="1580">
        <f>MIN(Phosphate!I185:I193)</f>
        <v>5.6000000000000001E-2</v>
      </c>
      <c r="J65" s="1580">
        <f>MIN(Phosphate!J185:J193)</f>
        <v>5.5E-2</v>
      </c>
      <c r="K65" s="1580">
        <f>MIN(Phosphate!K185:K193)</f>
        <v>4.1000000000000002E-2</v>
      </c>
      <c r="L65" s="1580">
        <f>MIN(Phosphate!L185:L193)</f>
        <v>3.4000000000000002E-2</v>
      </c>
      <c r="M65" s="1580">
        <f>MIN(Phosphate!M185:M193)</f>
        <v>1.6E-2</v>
      </c>
      <c r="N65" s="1580">
        <f>MIN(Phosphate!N185:N193)</f>
        <v>1.9E-2</v>
      </c>
      <c r="O65" s="1580">
        <f>MIN(Phosphate!O185:O193)</f>
        <v>0</v>
      </c>
      <c r="P65" s="1580">
        <f>MIN(Phosphate!P185:P193)</f>
        <v>4.65E-2</v>
      </c>
      <c r="Q65" s="1580">
        <f>MIN(Phosphate!Q185:Q193)</f>
        <v>3.1E-2</v>
      </c>
      <c r="R65" s="1580">
        <f>MIN(Phosphate!R185:R193)</f>
        <v>0</v>
      </c>
      <c r="S65" s="1580">
        <f>MIN(Phosphate!S185:S193)</f>
        <v>0</v>
      </c>
      <c r="T65" s="1580" t="e">
        <f>MIN(Phosphate!#REF!)</f>
        <v>#REF!</v>
      </c>
      <c r="U65" s="1580">
        <f>MIN(Phosphate!Y185:Y193)</f>
        <v>5.1999999999999998E-2</v>
      </c>
      <c r="V65" s="1580">
        <f>MIN(Phosphate!Z185:Z193)</f>
        <v>0</v>
      </c>
      <c r="W65" s="1580">
        <f>MIN(Phosphate!AA185:AA193)</f>
        <v>6.3E-2</v>
      </c>
      <c r="X65" s="1580">
        <f>MIN(Phosphate!AB161:AB175)</f>
        <v>0</v>
      </c>
      <c r="Y65" s="1580">
        <f>MIN(Phosphate!AC161:AC175)</f>
        <v>0</v>
      </c>
      <c r="Z65" s="1580" t="e">
        <f>MIN(Phosphate!#REF!)</f>
        <v>#REF!</v>
      </c>
      <c r="AA65" s="1580">
        <f>MIN(Phosphate!AE161:AE175)</f>
        <v>0</v>
      </c>
      <c r="AB65" s="1580">
        <f>MIN(Phosphate!AF161:AF175)</f>
        <v>0</v>
      </c>
      <c r="AC65" s="1580">
        <f>MIN(Phosphate!AG161:AG175)</f>
        <v>0</v>
      </c>
      <c r="AD65" s="1580">
        <f>MIN(Phosphate!AH161:AH175)</f>
        <v>0</v>
      </c>
      <c r="AE65" s="1580">
        <f>MIN(Phosphate!AI161:AI175)</f>
        <v>0</v>
      </c>
    </row>
    <row r="66" spans="1:31" s="1560" customFormat="1">
      <c r="A66" s="3570"/>
      <c r="B66" s="3871"/>
      <c r="C66" s="1581" t="s">
        <v>315</v>
      </c>
      <c r="D66" s="1580">
        <f>AVERAGE(Phosphate!D185:D193)</f>
        <v>2.6100000000000002E-2</v>
      </c>
      <c r="E66" s="1580">
        <f>AVERAGE(Phosphate!E185:E193)</f>
        <v>8.9579999999999993E-2</v>
      </c>
      <c r="F66" s="1580">
        <f>AVERAGE(Phosphate!F185:F193)</f>
        <v>8.4699999999999998E-2</v>
      </c>
      <c r="G66" s="1580">
        <f>AVERAGE(Phosphate!G185:G193)</f>
        <v>4.8579999999999998E-2</v>
      </c>
      <c r="H66" s="1580">
        <f>AVERAGE(Phosphate!H185:H193)</f>
        <v>0.15188888888888888</v>
      </c>
      <c r="I66" s="1580">
        <f>AVERAGE(Phosphate!I185:I193)</f>
        <v>0.10444444444444444</v>
      </c>
      <c r="J66" s="1580">
        <f>AVERAGE(Phosphate!J185:J193)</f>
        <v>0.10311111111111111</v>
      </c>
      <c r="K66" s="1580">
        <f>AVERAGE(Phosphate!K185:K193)</f>
        <v>6.8333333333333329E-2</v>
      </c>
      <c r="L66" s="1580">
        <f>AVERAGE(Phosphate!L185:L193)</f>
        <v>5.0333333333333334E-2</v>
      </c>
      <c r="M66" s="1580">
        <f>AVERAGE(Phosphate!M185:M193)</f>
        <v>5.1222222222222225E-2</v>
      </c>
      <c r="N66" s="1580">
        <f>AVERAGE(Phosphate!N185:N193)</f>
        <v>4.1111111111111105E-2</v>
      </c>
      <c r="O66" s="1580" t="e">
        <f>AVERAGE(Phosphate!O185:O193)</f>
        <v>#DIV/0!</v>
      </c>
      <c r="P66" s="1580">
        <f>AVERAGE(Phosphate!P185:P193)</f>
        <v>0.21927777777777779</v>
      </c>
      <c r="Q66" s="1580">
        <f>AVERAGE(Phosphate!Q185:Q193)</f>
        <v>7.7777777777777779E-2</v>
      </c>
      <c r="R66" s="1580" t="e">
        <f>AVERAGE(Phosphate!R185:R193)</f>
        <v>#DIV/0!</v>
      </c>
      <c r="S66" s="1580" t="e">
        <f>AVERAGE(Phosphate!S185:S193)</f>
        <v>#DIV/0!</v>
      </c>
      <c r="T66" s="1580" t="e">
        <f>AVERAGE(Phosphate!#REF!)</f>
        <v>#REF!</v>
      </c>
      <c r="U66" s="1580">
        <f>AVERAGE(Phosphate!Y185:Y193)</f>
        <v>9.8222222222222211E-2</v>
      </c>
      <c r="V66" s="1580" t="e">
        <f>AVERAGE(Phosphate!Z185:Z193)</f>
        <v>#DIV/0!</v>
      </c>
      <c r="W66" s="1580">
        <f>AVERAGE(Phosphate!AA185:AA193)</f>
        <v>0.13003703703703703</v>
      </c>
      <c r="X66" s="1580" t="e">
        <f>AVERAGE(Phosphate!AB161:AB175)</f>
        <v>#DIV/0!</v>
      </c>
      <c r="Y66" s="1580" t="e">
        <f>AVERAGE(Phosphate!AC161:AC175)</f>
        <v>#DIV/0!</v>
      </c>
      <c r="Z66" s="1580" t="e">
        <f>AVERAGE(Phosphate!#REF!)</f>
        <v>#REF!</v>
      </c>
      <c r="AA66" s="1580" t="e">
        <f>AVERAGE(Phosphate!AE161:AE175)</f>
        <v>#DIV/0!</v>
      </c>
      <c r="AB66" s="1580" t="e">
        <f>AVERAGE(Phosphate!AF161:AF175)</f>
        <v>#DIV/0!</v>
      </c>
      <c r="AC66" s="1580" t="e">
        <f>AVERAGE(Phosphate!AG161:AG175)</f>
        <v>#DIV/0!</v>
      </c>
      <c r="AD66" s="1580" t="e">
        <f>AVERAGE(Phosphate!AH161:AH175)</f>
        <v>#DIV/0!</v>
      </c>
      <c r="AE66" s="1580" t="e">
        <f>AVERAGE(Phosphate!AI161:AI175)</f>
        <v>#DIV/0!</v>
      </c>
    </row>
    <row r="67" spans="1:31">
      <c r="A67" s="3570"/>
      <c r="B67" s="3869" t="s">
        <v>206</v>
      </c>
      <c r="C67" s="1581" t="s">
        <v>312</v>
      </c>
      <c r="D67" s="1580">
        <f>MAX('Total Coliform'!C63:C71)</f>
        <v>364.85200730776205</v>
      </c>
      <c r="E67" s="1580">
        <f>MAX('Total Coliform'!D63:D71)</f>
        <v>511.70829016072582</v>
      </c>
      <c r="F67" s="1580">
        <f>MAX('Total Coliform'!E63:E71)</f>
        <v>2030.7063253241133</v>
      </c>
      <c r="G67" s="1580">
        <f>MAX('Total Coliform'!F63:F71)</f>
        <v>7759.9027618127475</v>
      </c>
      <c r="H67" s="1580">
        <f>MAX('Total Coliform'!G63:G71)</f>
        <v>3636.4</v>
      </c>
      <c r="I67" s="1580">
        <f>MAX('Total Coliform'!H63:H71)</f>
        <v>7033</v>
      </c>
      <c r="J67" s="1580">
        <f>MAX('Total Coliform'!I63:I71)</f>
        <v>5947</v>
      </c>
      <c r="K67" s="1580">
        <f>MAX('Total Coliform'!J63:J71)</f>
        <v>802</v>
      </c>
      <c r="L67" s="1580">
        <f>MAX('Total Coliform'!L63:L71)</f>
        <v>847</v>
      </c>
      <c r="M67" s="1580">
        <f>MAX('Total Coliform'!M63:M71)</f>
        <v>561</v>
      </c>
      <c r="N67" s="1580">
        <f>MAX('Total Coliform'!N63:N71)</f>
        <v>730</v>
      </c>
      <c r="O67" s="1580">
        <f>MAX('Total Coliform'!O63:O71)</f>
        <v>0</v>
      </c>
      <c r="P67" s="1580">
        <f>MAX('Total Coliform'!Q63:Q71)</f>
        <v>418.2</v>
      </c>
      <c r="Q67" s="1580">
        <f>MAX('Total Coliform'!R63:R71)</f>
        <v>294</v>
      </c>
      <c r="R67" s="1580">
        <f>MAX('Total Coliform'!S63:S71)</f>
        <v>0</v>
      </c>
      <c r="S67" s="1580">
        <f>MAX('Total Coliform'!T63:T71)</f>
        <v>0</v>
      </c>
      <c r="T67" s="1580">
        <f>MAX('Total Coliform'!U63:U71)</f>
        <v>0</v>
      </c>
      <c r="U67" s="1580">
        <f>MAX('Total Coliform'!V63:V71)</f>
        <v>0</v>
      </c>
      <c r="V67" s="1580">
        <f>MAX('Total Coliform'!W63:W71)</f>
        <v>0</v>
      </c>
      <c r="W67" s="1580">
        <f>MAX('Total Coliform'!X63:X71)</f>
        <v>0</v>
      </c>
      <c r="X67" s="1580" t="e">
        <f>MAX('Total Coliform'!#REF!)</f>
        <v>#REF!</v>
      </c>
      <c r="Y67" s="1580">
        <f>MAX('Total Coliform'!Y63:Y71)</f>
        <v>1405</v>
      </c>
      <c r="Z67" s="1580" t="e">
        <f>MAX('Total Coliform'!#REF!)</f>
        <v>#REF!</v>
      </c>
      <c r="AA67" s="1580">
        <f>MAX('Total Coliform'!Z63:Z71)</f>
        <v>848.33</v>
      </c>
      <c r="AB67" s="1580" t="e">
        <f>MAX('Total Coliform'!#REF!)</f>
        <v>#REF!</v>
      </c>
      <c r="AC67" s="1580">
        <f>MAX('Total Coliform'!AA63:AA71)</f>
        <v>0</v>
      </c>
      <c r="AD67" s="1580">
        <f>MAX('Total Coliform'!AB63:AB71)</f>
        <v>483.76832479375321</v>
      </c>
      <c r="AE67" s="1580">
        <f>MAX('Total Coliform'!AC63:AC71)</f>
        <v>0</v>
      </c>
    </row>
    <row r="68" spans="1:31">
      <c r="A68" s="3570"/>
      <c r="B68" s="3870"/>
      <c r="C68" s="1581" t="s">
        <v>313</v>
      </c>
      <c r="D68" s="1580">
        <f>MIN('Total Coliform'!C63:C71)</f>
        <v>68.936299117368776</v>
      </c>
      <c r="E68" s="1580">
        <f>MIN('Total Coliform'!D63:D71)</f>
        <v>19.999999999999996</v>
      </c>
      <c r="F68" s="1580">
        <f>MIN('Total Coliform'!E63:E71)</f>
        <v>134.18053556660152</v>
      </c>
      <c r="G68" s="1580">
        <f>MIN('Total Coliform'!F63:F71)</f>
        <v>94.365050577863414</v>
      </c>
      <c r="H68" s="1580">
        <f>MIN('Total Coliform'!G63:G71)</f>
        <v>74.430000000000007</v>
      </c>
      <c r="I68" s="1580">
        <f>MIN('Total Coliform'!H63:H71)</f>
        <v>634</v>
      </c>
      <c r="J68" s="1580">
        <f>MIN('Total Coliform'!I63:I71)</f>
        <v>133</v>
      </c>
      <c r="K68" s="1580">
        <f>MIN('Total Coliform'!J63:J71)</f>
        <v>99</v>
      </c>
      <c r="L68" s="1580">
        <f>MIN('Total Coliform'!L63:L71)</f>
        <v>132</v>
      </c>
      <c r="M68" s="1580">
        <f>MIN('Total Coliform'!M63:M71)</f>
        <v>15</v>
      </c>
      <c r="N68" s="1580">
        <f>MIN('Total Coliform'!N63:N71)</f>
        <v>56</v>
      </c>
      <c r="O68" s="1580">
        <f>MIN('Total Coliform'!O63:O71)</f>
        <v>0</v>
      </c>
      <c r="P68" s="1580">
        <f>MIN('Total Coliform'!Q63:Q71)</f>
        <v>41.43</v>
      </c>
      <c r="Q68" s="1580">
        <f>MIN('Total Coliform'!R63:R71)</f>
        <v>25</v>
      </c>
      <c r="R68" s="1580">
        <f>MIN('Total Coliform'!S63:S71)</f>
        <v>0</v>
      </c>
      <c r="S68" s="1580">
        <f>MIN('Total Coliform'!T63:T71)</f>
        <v>0</v>
      </c>
      <c r="T68" s="1580">
        <f>MIN('Total Coliform'!U63:U71)</f>
        <v>0</v>
      </c>
      <c r="U68" s="1580">
        <f>MIN('Total Coliform'!V63:V71)</f>
        <v>0</v>
      </c>
      <c r="V68" s="1580">
        <f>MIN('Total Coliform'!W63:W71)</f>
        <v>0</v>
      </c>
      <c r="W68" s="1580">
        <f>MIN('Total Coliform'!X63:X71)</f>
        <v>0</v>
      </c>
      <c r="X68" s="1580" t="e">
        <f>MIN('Total Coliform'!#REF!)</f>
        <v>#REF!</v>
      </c>
      <c r="Y68" s="1580">
        <f>MIN('Total Coliform'!Y63:Y71)</f>
        <v>419</v>
      </c>
      <c r="Z68" s="1580" t="e">
        <f>MIN('Total Coliform'!#REF!)</f>
        <v>#REF!</v>
      </c>
      <c r="AA68" s="1580">
        <f>MIN('Total Coliform'!Z63:Z71)</f>
        <v>62.33</v>
      </c>
      <c r="AB68" s="1580" t="e">
        <f>MIN('Total Coliform'!#REF!)</f>
        <v>#REF!</v>
      </c>
      <c r="AC68" s="1580">
        <f>MIN('Total Coliform'!AA63:AA71)</f>
        <v>0</v>
      </c>
      <c r="AD68" s="1580">
        <f>MIN('Total Coliform'!AB63:AB71)</f>
        <v>29.90861077188541</v>
      </c>
      <c r="AE68" s="1580">
        <f>MIN('Total Coliform'!AC63:AC71)</f>
        <v>0</v>
      </c>
    </row>
    <row r="69" spans="1:31">
      <c r="A69" s="3571"/>
      <c r="B69" s="3871"/>
      <c r="C69" s="1581" t="s">
        <v>315</v>
      </c>
      <c r="D69" s="1580">
        <f>AVERAGE('Total Coliform'!C63:C71)</f>
        <v>194.97755607384914</v>
      </c>
      <c r="E69" s="1580">
        <f>AVERAGE('Total Coliform'!D63:D71)</f>
        <v>121.6762925340557</v>
      </c>
      <c r="F69" s="1580">
        <f>AVERAGE('Total Coliform'!E63:E71)</f>
        <v>799.09397340443627</v>
      </c>
      <c r="G69" s="1580">
        <f>AVERAGE('Total Coliform'!F63:F71)</f>
        <v>2313.9811056896515</v>
      </c>
      <c r="H69" s="1580">
        <f>AVERAGE('Total Coliform'!G63:G71)</f>
        <v>747.15555555555557</v>
      </c>
      <c r="I69" s="1580">
        <f>AVERAGE('Total Coliform'!H63:H71)</f>
        <v>2486</v>
      </c>
      <c r="J69" s="1580">
        <f>AVERAGE('Total Coliform'!I63:I71)</f>
        <v>1285.1111111111111</v>
      </c>
      <c r="K69" s="1580">
        <f>AVERAGE('Total Coliform'!J63:J71)</f>
        <v>451.22222222222223</v>
      </c>
      <c r="L69" s="1580">
        <f>AVERAGE('Total Coliform'!L63:L71)</f>
        <v>316.88888888888891</v>
      </c>
      <c r="M69" s="1580">
        <f>AVERAGE('Total Coliform'!M63:M71)</f>
        <v>208.44444444444446</v>
      </c>
      <c r="N69" s="1580">
        <f>AVERAGE('Total Coliform'!N63:N71)</f>
        <v>253.11111111111111</v>
      </c>
      <c r="O69" s="1580" t="e">
        <f>AVERAGE('Total Coliform'!O63:O71)</f>
        <v>#DIV/0!</v>
      </c>
      <c r="P69" s="1580">
        <f>AVERAGE('Total Coliform'!Q63:Q71)</f>
        <v>179.0588888888889</v>
      </c>
      <c r="Q69" s="1580">
        <f>AVERAGE('Total Coliform'!R63:R71)</f>
        <v>127.55555555555556</v>
      </c>
      <c r="R69" s="1580" t="e">
        <f>AVERAGE('Total Coliform'!S63:S71)</f>
        <v>#DIV/0!</v>
      </c>
      <c r="S69" s="1580" t="e">
        <f>AVERAGE('Total Coliform'!T63:T71)</f>
        <v>#DIV/0!</v>
      </c>
      <c r="T69" s="1580" t="e">
        <f>AVERAGE('Total Coliform'!U63:U71)</f>
        <v>#DIV/0!</v>
      </c>
      <c r="U69" s="1580" t="e">
        <f>AVERAGE('Total Coliform'!V63:V71)</f>
        <v>#DIV/0!</v>
      </c>
      <c r="V69" s="1580" t="e">
        <f>AVERAGE('Total Coliform'!W63:W71)</f>
        <v>#DIV/0!</v>
      </c>
      <c r="W69" s="1580" t="e">
        <f>AVERAGE('Total Coliform'!X63:X71)</f>
        <v>#DIV/0!</v>
      </c>
      <c r="X69" s="1580" t="e">
        <f>AVERAGE('Total Coliform'!#REF!)</f>
        <v>#REF!</v>
      </c>
      <c r="Y69" s="1580">
        <f>AVERAGE('Total Coliform'!Y63:Y71)</f>
        <v>1088.3333333333333</v>
      </c>
      <c r="Z69" s="1580" t="e">
        <f>AVERAGE('Total Coliform'!#REF!)</f>
        <v>#REF!</v>
      </c>
      <c r="AA69" s="1580">
        <f>AVERAGE('Total Coliform'!Z63:Z71)</f>
        <v>265.74</v>
      </c>
      <c r="AB69" s="1580" t="e">
        <f>AVERAGE('Total Coliform'!#REF!)</f>
        <v>#REF!</v>
      </c>
      <c r="AC69" s="1580" t="e">
        <f>AVERAGE('Total Coliform'!AA63:AA71)</f>
        <v>#DIV/0!</v>
      </c>
      <c r="AD69" s="1580">
        <f>AVERAGE('Total Coliform'!AB63:AB71)</f>
        <v>178.2531084701734</v>
      </c>
      <c r="AE69" s="1580" t="e">
        <f>AVERAGE('Total Coliform'!AC63:AC71)</f>
        <v>#DIV/0!</v>
      </c>
    </row>
    <row r="70" spans="1:31">
      <c r="A70" s="3569" t="s">
        <v>318</v>
      </c>
      <c r="B70" s="3869" t="s">
        <v>201</v>
      </c>
      <c r="C70" s="1581" t="s">
        <v>312</v>
      </c>
      <c r="D70" s="1580">
        <f>MAX(DO!E166:E201)</f>
        <v>7.7333333333333334</v>
      </c>
      <c r="E70" s="1580">
        <f>MAX(DO!F166:F201)</f>
        <v>10.966666666666667</v>
      </c>
      <c r="F70" s="1580">
        <f>MAX(DO!G166:G201)</f>
        <v>7.166666666666667</v>
      </c>
      <c r="G70" s="1580">
        <f>MAX(DO!H166:H201)</f>
        <v>7.6333333333333329</v>
      </c>
      <c r="H70" s="1580">
        <f>MAX(DO!I166:I201)</f>
        <v>7.7</v>
      </c>
      <c r="I70" s="1580">
        <f>MAX(DO!J166:J201)</f>
        <v>8.8000000000000007</v>
      </c>
      <c r="J70" s="1580">
        <f>MAX(DO!K166:K201)</f>
        <v>6.8</v>
      </c>
      <c r="K70" s="1580">
        <f>MAX(DO!L166:L201)</f>
        <v>7.3</v>
      </c>
      <c r="L70" s="1580">
        <f>MAX(DO!M166:M201)</f>
        <v>7.8</v>
      </c>
      <c r="M70" s="1580">
        <f>MAX(DO!N166:N201)</f>
        <v>6.4</v>
      </c>
      <c r="N70" s="1580">
        <f>MAX(DO!O166:O201)</f>
        <v>7.8</v>
      </c>
      <c r="O70" s="1580">
        <f>MAX(DO!P166:P201)</f>
        <v>0</v>
      </c>
      <c r="P70" s="1580">
        <f>MAX(DO!Q166:Q201)</f>
        <v>8.15</v>
      </c>
      <c r="Q70" s="1580">
        <f>MAX(DO!R166:R201)</f>
        <v>8.57</v>
      </c>
      <c r="R70" s="1580">
        <f>MAX(DO!S166:S201)</f>
        <v>7.3</v>
      </c>
      <c r="S70" s="1580">
        <f>MAX(DO!T166:T201)</f>
        <v>7.9</v>
      </c>
      <c r="T70" s="1580">
        <f>MAX(DO!AA166:AA201)</f>
        <v>0</v>
      </c>
      <c r="U70" s="1580" t="e">
        <f>MAX(DO!AB166:AB201)</f>
        <v>#DIV/0!</v>
      </c>
      <c r="V70" s="1580">
        <f>MAX(DO!AC166:AC201)</f>
        <v>0</v>
      </c>
      <c r="W70" s="1580">
        <f>MAX(DO!AD166:AD201)</f>
        <v>0</v>
      </c>
      <c r="X70" s="1580">
        <f>MAX(DO!AE166:AE201)</f>
        <v>0</v>
      </c>
      <c r="Y70" s="1580">
        <f>MAX(DO!AF166:AF201)</f>
        <v>0</v>
      </c>
      <c r="Z70" s="1580">
        <f>MAX(DO!AG166:AG201)</f>
        <v>0</v>
      </c>
      <c r="AA70" s="1580">
        <f>MAX(DO!AH166:AH201)</f>
        <v>0</v>
      </c>
      <c r="AB70" s="1580">
        <f>MAX(DO!AI166:AI201)</f>
        <v>0</v>
      </c>
      <c r="AC70" s="1580">
        <f>MAX(DO!AJ166:AJ201)</f>
        <v>0</v>
      </c>
      <c r="AD70" s="1580">
        <f>MAX(DO!AK166:AK201)</f>
        <v>0</v>
      </c>
      <c r="AE70" s="1580">
        <f>MAX(DO!AL166:AL201)</f>
        <v>0</v>
      </c>
    </row>
    <row r="71" spans="1:31" s="1560" customFormat="1">
      <c r="A71" s="3570"/>
      <c r="B71" s="3870"/>
      <c r="C71" s="1581" t="s">
        <v>313</v>
      </c>
      <c r="D71" s="1580">
        <f>MIN(DO!E166:E201)</f>
        <v>0.05</v>
      </c>
      <c r="E71" s="1580">
        <f>MIN(DO!F166:F201)</f>
        <v>0.05</v>
      </c>
      <c r="F71" s="1580">
        <f>MIN(DO!G166:G201)</f>
        <v>0.05</v>
      </c>
      <c r="G71" s="1580">
        <f>MIN(DO!H166:H201)</f>
        <v>0.2</v>
      </c>
      <c r="H71" s="1580">
        <f>MIN(DO!I166:I201)</f>
        <v>0.1</v>
      </c>
      <c r="I71" s="1580">
        <f>MIN(DO!J166:J201)</f>
        <v>0.1</v>
      </c>
      <c r="J71" s="1580">
        <f>MIN(DO!K166:K201)</f>
        <v>0.1</v>
      </c>
      <c r="K71" s="1580">
        <f>MIN(DO!L166:L201)</f>
        <v>0.1</v>
      </c>
      <c r="L71" s="1580">
        <f>MIN(DO!M166:M201)</f>
        <v>0.1</v>
      </c>
      <c r="M71" s="1580">
        <f>MIN(DO!N166:N201)</f>
        <v>0.1</v>
      </c>
      <c r="N71" s="1580">
        <f>MIN(DO!O166:O201)</f>
        <v>0.1</v>
      </c>
      <c r="O71" s="1580">
        <f>MIN(DO!P166:P201)</f>
        <v>0</v>
      </c>
      <c r="P71" s="1580">
        <f>MIN(DO!Q166:Q201)</f>
        <v>0.1</v>
      </c>
      <c r="Q71" s="1580">
        <f>MIN(DO!R166:R201)</f>
        <v>0.05</v>
      </c>
      <c r="R71" s="1580">
        <f>MIN(DO!S166:S201)</f>
        <v>0.32</v>
      </c>
      <c r="S71" s="1580">
        <f>MIN(DO!T166:T201)</f>
        <v>0.1</v>
      </c>
      <c r="T71" s="1580">
        <f>MIN(DO!AA166:AA201)</f>
        <v>0</v>
      </c>
      <c r="U71" s="1580" t="e">
        <f>MIN(DO!AB166:AB201)</f>
        <v>#DIV/0!</v>
      </c>
      <c r="V71" s="1580">
        <f>MIN(DO!AC166:AC201)</f>
        <v>0</v>
      </c>
      <c r="W71" s="1580">
        <f>MIN(DO!AD166:AD201)</f>
        <v>0</v>
      </c>
      <c r="X71" s="1580">
        <f>MIN(DO!AE166:AE201)</f>
        <v>0</v>
      </c>
      <c r="Y71" s="1580">
        <f>MIN(DO!AF166:AF201)</f>
        <v>0</v>
      </c>
      <c r="Z71" s="1580">
        <f>MIN(DO!AG166:AG201)</f>
        <v>0</v>
      </c>
      <c r="AA71" s="1580">
        <f>MIN(DO!AH166:AH201)</f>
        <v>0</v>
      </c>
      <c r="AB71" s="1580">
        <f>MIN(DO!AI166:AI201)</f>
        <v>0</v>
      </c>
      <c r="AC71" s="1580">
        <f>MIN(DO!AJ166:AJ201)</f>
        <v>0</v>
      </c>
      <c r="AD71" s="1580">
        <f>MIN(DO!AK166:AK201)</f>
        <v>0</v>
      </c>
      <c r="AE71" s="1580">
        <f>MIN(DO!AL166:AL201)</f>
        <v>0</v>
      </c>
    </row>
    <row r="72" spans="1:31" s="1560" customFormat="1">
      <c r="A72" s="3570"/>
      <c r="B72" s="3871"/>
      <c r="C72" s="1581" t="s">
        <v>315</v>
      </c>
      <c r="D72" s="1580">
        <f>AVERAGE(DO!E166:E201)</f>
        <v>2.7966666666666669</v>
      </c>
      <c r="E72" s="1580">
        <f>AVERAGE(DO!F166:F201)</f>
        <v>2.8866666666666667</v>
      </c>
      <c r="F72" s="1580">
        <f>AVERAGE(DO!G166:G201)</f>
        <v>3.4246666666666674</v>
      </c>
      <c r="G72" s="1580">
        <f>AVERAGE(DO!H166:H201)</f>
        <v>3.9813333333333323</v>
      </c>
      <c r="H72" s="1580">
        <f>AVERAGE(DO!I166:I201)</f>
        <v>3.2730769230769221</v>
      </c>
      <c r="I72" s="1580">
        <f>AVERAGE(DO!J166:J201)</f>
        <v>2.7920000000000003</v>
      </c>
      <c r="J72" s="1580">
        <f>AVERAGE(DO!K166:K201)</f>
        <v>3.8461538461538458</v>
      </c>
      <c r="K72" s="1580">
        <f>AVERAGE(DO!L166:L201)</f>
        <v>3.4807692307692304</v>
      </c>
      <c r="L72" s="1580">
        <f>AVERAGE(DO!M166:M201)</f>
        <v>3.1</v>
      </c>
      <c r="M72" s="1580">
        <f>AVERAGE(DO!N166:N201)</f>
        <v>2.2944444444444447</v>
      </c>
      <c r="N72" s="1580">
        <f>AVERAGE(DO!O166:O201)</f>
        <v>3.7684210526315796</v>
      </c>
      <c r="O72" s="1580" t="e">
        <f>AVERAGE(DO!P166:P201)</f>
        <v>#DIV/0!</v>
      </c>
      <c r="P72" s="1580">
        <f>AVERAGE(DO!Q166:Q201)</f>
        <v>3.0483999999999996</v>
      </c>
      <c r="Q72" s="1580">
        <f>AVERAGE(DO!R166:R201)</f>
        <v>2.8541666666666665</v>
      </c>
      <c r="R72" s="1580">
        <f>AVERAGE(DO!S166:S201)</f>
        <v>4.34572</v>
      </c>
      <c r="S72" s="1580">
        <f>AVERAGE(DO!T166:T201)</f>
        <v>4.0692307692307681</v>
      </c>
      <c r="T72" s="1580" t="e">
        <f>AVERAGE(DO!AA166:AA201)</f>
        <v>#DIV/0!</v>
      </c>
      <c r="U72" s="1580" t="e">
        <f>AVERAGE(DO!AB166:AB201)</f>
        <v>#DIV/0!</v>
      </c>
      <c r="V72" s="1580" t="e">
        <f>AVERAGE(DO!AC166:AC201)</f>
        <v>#DIV/0!</v>
      </c>
      <c r="W72" s="1580" t="e">
        <f>AVERAGE(DO!AD166:AD201)</f>
        <v>#DIV/0!</v>
      </c>
      <c r="X72" s="1580" t="e">
        <f>AVERAGE(DO!AE166:AE201)</f>
        <v>#DIV/0!</v>
      </c>
      <c r="Y72" s="1580" t="e">
        <f>AVERAGE(DO!AF166:AF201)</f>
        <v>#DIV/0!</v>
      </c>
      <c r="Z72" s="1580" t="e">
        <f>AVERAGE(DO!AG166:AG201)</f>
        <v>#DIV/0!</v>
      </c>
      <c r="AA72" s="1580" t="e">
        <f>AVERAGE(DO!AH166:AH201)</f>
        <v>#DIV/0!</v>
      </c>
      <c r="AB72" s="1580" t="e">
        <f>AVERAGE(DO!AI166:AI201)</f>
        <v>#DIV/0!</v>
      </c>
      <c r="AC72" s="1580" t="e">
        <f>AVERAGE(DO!AJ166:AJ201)</f>
        <v>#DIV/0!</v>
      </c>
      <c r="AD72" s="1580" t="e">
        <f>AVERAGE(DO!AK166:AK201)</f>
        <v>#DIV/0!</v>
      </c>
      <c r="AE72" s="1580" t="e">
        <f>AVERAGE(DO!AL166:AL201)</f>
        <v>#DIV/0!</v>
      </c>
    </row>
    <row r="73" spans="1:31">
      <c r="A73" s="3570"/>
      <c r="B73" s="3869" t="s">
        <v>203</v>
      </c>
      <c r="C73" s="1581" t="s">
        <v>312</v>
      </c>
      <c r="D73" s="1580">
        <f>MAX(BOD!D160:D195)</f>
        <v>181</v>
      </c>
      <c r="E73" s="1580">
        <f>MAX(BOD!E160:E195)</f>
        <v>160</v>
      </c>
      <c r="F73" s="1580">
        <f>MAX(BOD!F160:F195)</f>
        <v>223.66666666666666</v>
      </c>
      <c r="G73" s="1580">
        <f>MAX(BOD!G160:G195)</f>
        <v>72</v>
      </c>
      <c r="H73" s="1580">
        <f>MAX(BOD!H160:H195)</f>
        <v>120</v>
      </c>
      <c r="I73" s="1580">
        <f>MAX(BOD!I160:I195)</f>
        <v>269</v>
      </c>
      <c r="J73" s="1580">
        <f>MAX(BOD!J160:J195)</f>
        <v>110</v>
      </c>
      <c r="K73" s="1580">
        <f>MAX(BOD!K160:K195)</f>
        <v>118</v>
      </c>
      <c r="L73" s="1580">
        <f>MAX(BOD!L160:L195)</f>
        <v>206</v>
      </c>
      <c r="M73" s="1580">
        <f>MAX(BOD!M160:M195)</f>
        <v>111</v>
      </c>
      <c r="N73" s="1580">
        <f>MAX(BOD!N160:N195)</f>
        <v>95</v>
      </c>
      <c r="O73" s="1580">
        <f>MAX(BOD!O160:O195)</f>
        <v>0</v>
      </c>
      <c r="P73" s="1580">
        <f>MAX(BOD!P160:P195)</f>
        <v>417.67</v>
      </c>
      <c r="Q73" s="1580">
        <f>MAX(BOD!Q160:Q195)</f>
        <v>560</v>
      </c>
      <c r="R73" s="1580">
        <f>MAX(BOD!R160:R195)</f>
        <v>0</v>
      </c>
      <c r="S73" s="1580">
        <f>MAX(BOD!S160:S195)</f>
        <v>0</v>
      </c>
      <c r="T73" s="1580">
        <f>MAX(BOD!X160:X195)</f>
        <v>568.66999999999996</v>
      </c>
      <c r="U73" s="1580">
        <f>MAX(BOD!Y160:Y195)</f>
        <v>497.67</v>
      </c>
      <c r="V73" s="1580">
        <f>MAX(BOD!Z160:Z195)</f>
        <v>0</v>
      </c>
      <c r="W73" s="1580" t="e">
        <f>MAX(BOD!AA160:AA195)</f>
        <v>#DIV/0!</v>
      </c>
      <c r="X73" s="1580">
        <f>MAX(BOD!AF144:AF170)</f>
        <v>0</v>
      </c>
      <c r="Y73" s="1580">
        <f>MAX(BOD!AG144:AG158)</f>
        <v>0</v>
      </c>
      <c r="Z73" s="1580">
        <f>MAX(BOD!AH144:AH170)</f>
        <v>0</v>
      </c>
      <c r="AA73" s="1580">
        <f>MAX(BOD!AI144:AI170)</f>
        <v>0</v>
      </c>
      <c r="AB73" s="1580">
        <f>MAX(BOD!AJ144:AJ170)</f>
        <v>0</v>
      </c>
      <c r="AC73" s="1580">
        <f>MAX(BOD!AK144:AK170)</f>
        <v>0</v>
      </c>
      <c r="AD73" s="1580">
        <f>MAX(BOD!AL144:AL170)</f>
        <v>0</v>
      </c>
      <c r="AE73" s="1580">
        <f>MAX(BOD!AM144:AM170)</f>
        <v>0</v>
      </c>
    </row>
    <row r="74" spans="1:31" s="1560" customFormat="1">
      <c r="A74" s="3570"/>
      <c r="B74" s="3870"/>
      <c r="C74" s="1581" t="s">
        <v>313</v>
      </c>
      <c r="D74" s="1580">
        <f>MIN(BOD!D160:D195)</f>
        <v>2</v>
      </c>
      <c r="E74" s="1580">
        <f>MIN(BOD!E160:E195)</f>
        <v>1</v>
      </c>
      <c r="F74" s="1580">
        <f>MIN(BOD!F160:F195)</f>
        <v>1.6666666666666667</v>
      </c>
      <c r="G74" s="1580">
        <f>MIN(BOD!G160:G195)</f>
        <v>1</v>
      </c>
      <c r="H74" s="1580">
        <f>MIN(BOD!H160:H195)</f>
        <v>1</v>
      </c>
      <c r="I74" s="1580">
        <f>MIN(BOD!I160:I195)</f>
        <v>1</v>
      </c>
      <c r="J74" s="1580">
        <f>MIN(BOD!J160:J195)</f>
        <v>2</v>
      </c>
      <c r="K74" s="1580">
        <f>MIN(BOD!K160:K195)</f>
        <v>2</v>
      </c>
      <c r="L74" s="1580">
        <f>MIN(BOD!L160:L195)</f>
        <v>2</v>
      </c>
      <c r="M74" s="1580">
        <f>MIN(BOD!M160:M195)</f>
        <v>2</v>
      </c>
      <c r="N74" s="1580">
        <f>MIN(BOD!N160:N195)</f>
        <v>1</v>
      </c>
      <c r="O74" s="1580">
        <f>MIN(BOD!O160:O195)</f>
        <v>0</v>
      </c>
      <c r="P74" s="1580">
        <f>MIN(BOD!P160:P195)</f>
        <v>1</v>
      </c>
      <c r="Q74" s="1580">
        <f>MIN(BOD!Q160:Q195)</f>
        <v>1.67</v>
      </c>
      <c r="R74" s="1580">
        <f>MIN(BOD!R160:R195)</f>
        <v>0</v>
      </c>
      <c r="S74" s="1580">
        <f>MIN(BOD!S160:S195)</f>
        <v>0</v>
      </c>
      <c r="T74" s="1580">
        <f>MIN(BOD!X160:X195)</f>
        <v>1.17</v>
      </c>
      <c r="U74" s="1580">
        <f>MIN(BOD!Y160:Y195)</f>
        <v>1</v>
      </c>
      <c r="V74" s="1580">
        <f>MIN(BOD!Z160:Z195)</f>
        <v>0</v>
      </c>
      <c r="W74" s="1580" t="e">
        <f>MIN(BOD!AA160:AA195)</f>
        <v>#DIV/0!</v>
      </c>
      <c r="X74" s="1580">
        <f>MIN(BOD!AF144:AF170)</f>
        <v>0</v>
      </c>
      <c r="Y74" s="1580">
        <f>MIN(BOD!AG144:AG158)</f>
        <v>0</v>
      </c>
      <c r="Z74" s="1580">
        <f>MIN(BOD!AH144:AH170)</f>
        <v>0</v>
      </c>
      <c r="AA74" s="1580">
        <f>MIN(BOD!AI144:AI170)</f>
        <v>0</v>
      </c>
      <c r="AB74" s="1580">
        <f>MIN(BOD!AJ144:AJ170)</f>
        <v>0</v>
      </c>
      <c r="AC74" s="1580">
        <f>MIN(BOD!AK144:AK170)</f>
        <v>0</v>
      </c>
      <c r="AD74" s="1580">
        <f>MIN(BOD!AL144:AL170)</f>
        <v>0</v>
      </c>
      <c r="AE74" s="1580">
        <f>MIN(BOD!AM144:AM170)</f>
        <v>0</v>
      </c>
    </row>
    <row r="75" spans="1:31" s="1560" customFormat="1">
      <c r="A75" s="3570"/>
      <c r="B75" s="3871"/>
      <c r="C75" s="1581" t="s">
        <v>315</v>
      </c>
      <c r="D75" s="1580">
        <f>AVERAGE(BOD!D160:D195)</f>
        <v>37.63333333333334</v>
      </c>
      <c r="E75" s="1580">
        <f>AVERAGE(BOD!E160:E195)</f>
        <v>27.28</v>
      </c>
      <c r="F75" s="1580">
        <f>AVERAGE(BOD!F160:F195)</f>
        <v>27.786666666666669</v>
      </c>
      <c r="G75" s="1580">
        <f>AVERAGE(BOD!G160:G195)</f>
        <v>9.706666666666667</v>
      </c>
      <c r="H75" s="1580">
        <f>AVERAGE(BOD!H160:H195)</f>
        <v>20.153846153846153</v>
      </c>
      <c r="I75" s="1580">
        <f>AVERAGE(BOD!I160:I195)</f>
        <v>34.44</v>
      </c>
      <c r="J75" s="1580">
        <f>AVERAGE(BOD!J160:J195)</f>
        <v>11.423076923076923</v>
      </c>
      <c r="K75" s="1580">
        <f>AVERAGE(BOD!K160:K195)</f>
        <v>16.96153846153846</v>
      </c>
      <c r="L75" s="1580">
        <f>AVERAGE(BOD!L160:L195)</f>
        <v>27.086956521739129</v>
      </c>
      <c r="M75" s="1580">
        <f>AVERAGE(BOD!M160:M195)</f>
        <v>24.666666666666668</v>
      </c>
      <c r="N75" s="1580">
        <f>AVERAGE(BOD!N160:N195)</f>
        <v>13.473684210526315</v>
      </c>
      <c r="O75" s="1580" t="e">
        <f>AVERAGE(BOD!O160:O195)</f>
        <v>#DIV/0!</v>
      </c>
      <c r="P75" s="1580">
        <f>AVERAGE(BOD!P160:P195)</f>
        <v>49.973200000000006</v>
      </c>
      <c r="Q75" s="1580">
        <f>AVERAGE(BOD!Q160:Q195)</f>
        <v>62.0625</v>
      </c>
      <c r="R75" s="1580" t="e">
        <f>AVERAGE(BOD!R160:R195)</f>
        <v>#DIV/0!</v>
      </c>
      <c r="S75" s="1580" t="e">
        <f>AVERAGE(BOD!S160:S195)</f>
        <v>#DIV/0!</v>
      </c>
      <c r="T75" s="1580">
        <f>AVERAGE(BOD!X160:X195)</f>
        <v>64.842799999999997</v>
      </c>
      <c r="U75" s="1580">
        <f>AVERAGE(BOD!Y160:Y195)</f>
        <v>66.869259259259238</v>
      </c>
      <c r="V75" s="1580" t="e">
        <f>AVERAGE(BOD!Z160:Z195)</f>
        <v>#DIV/0!</v>
      </c>
      <c r="W75" s="1580" t="e">
        <f>AVERAGE(BOD!AA160:AA195)</f>
        <v>#DIV/0!</v>
      </c>
      <c r="X75" s="1580" t="e">
        <f>AVERAGE(BOD!AF144:AF170)</f>
        <v>#DIV/0!</v>
      </c>
      <c r="Y75" s="1580" t="e">
        <f>AVERAGE(BOD!AG144:AG158)</f>
        <v>#DIV/0!</v>
      </c>
      <c r="Z75" s="1580" t="e">
        <f>AVERAGE(BOD!AH144:AH170)</f>
        <v>#DIV/0!</v>
      </c>
      <c r="AA75" s="1580" t="e">
        <f>AVERAGE(BOD!AI144:AI170)</f>
        <v>#DIV/0!</v>
      </c>
      <c r="AB75" s="1580" t="e">
        <f>AVERAGE(BOD!AJ144:AJ170)</f>
        <v>#DIV/0!</v>
      </c>
      <c r="AC75" s="1580" t="e">
        <f>AVERAGE(BOD!AK144:AK170)</f>
        <v>#DIV/0!</v>
      </c>
      <c r="AD75" s="1580" t="e">
        <f>AVERAGE(BOD!AL144:AL170)</f>
        <v>#DIV/0!</v>
      </c>
      <c r="AE75" s="1580" t="e">
        <f>AVERAGE(BOD!AM144:AM170)</f>
        <v>#DIV/0!</v>
      </c>
    </row>
    <row r="76" spans="1:31">
      <c r="A76" s="3570"/>
      <c r="B76" s="3869" t="s">
        <v>199</v>
      </c>
      <c r="C76" s="1581" t="s">
        <v>312</v>
      </c>
      <c r="D76" s="1580">
        <f>MAX(pH!D136:D171)</f>
        <v>7.4333333333333336</v>
      </c>
      <c r="E76" s="1580">
        <f>MAX(pH!E136:E171)</f>
        <v>7.333333333333333</v>
      </c>
      <c r="F76" s="1580">
        <f>MAX(pH!F136:F171)</f>
        <v>8.1333333333333329</v>
      </c>
      <c r="G76" s="1580">
        <f>MAX(pH!G136:G171)</f>
        <v>8.0333333333333332</v>
      </c>
      <c r="H76" s="1580">
        <f>MAX(pH!H136:H171)</f>
        <v>8.1999999999999993</v>
      </c>
      <c r="I76" s="1580">
        <f>MAX(pH!I136:I171)</f>
        <v>8.1999999999999993</v>
      </c>
      <c r="J76" s="1580">
        <f>MAX(pH!J136:J171)</f>
        <v>8.1999999999999993</v>
      </c>
      <c r="K76" s="1580">
        <f>MAX(pH!K136:K171)</f>
        <v>8.3000000000000007</v>
      </c>
      <c r="L76" s="1580">
        <f>MAX(pH!L136:L171)</f>
        <v>7.9</v>
      </c>
      <c r="M76" s="1580">
        <f>MAX(pH!M136:M171)</f>
        <v>8</v>
      </c>
      <c r="N76" s="1580">
        <f>MAX(pH!N136:N171)</f>
        <v>8.1</v>
      </c>
      <c r="O76" s="1580">
        <f>MAX(pH!O136:O171)</f>
        <v>0</v>
      </c>
      <c r="P76" s="1580">
        <f>MAX(pH!P136:P171)</f>
        <v>7.95</v>
      </c>
      <c r="Q76" s="1580">
        <f>MAX(pH!Q136:Q171)</f>
        <v>18.588889999999999</v>
      </c>
      <c r="R76" s="1580">
        <f>MAX(pH!R136:R171)</f>
        <v>7.93</v>
      </c>
      <c r="S76" s="1580">
        <f>MAX(pH!S136:S171)</f>
        <v>9</v>
      </c>
      <c r="T76" s="1580">
        <f>MAX(pH!X135:X170)</f>
        <v>8.17</v>
      </c>
      <c r="U76" s="1580">
        <f>MAX(pH!Y135:Y170)</f>
        <v>8.23</v>
      </c>
      <c r="V76" s="1580">
        <f>MAX(pH!Z135:Z170)</f>
        <v>0</v>
      </c>
      <c r="W76" s="1580" t="e">
        <f>MAX(pH!AA135:AA170)</f>
        <v>#DIV/0!</v>
      </c>
      <c r="X76" s="1580">
        <f>MAX(pH!AB119:AB145)</f>
        <v>22</v>
      </c>
      <c r="Y76" s="1580" t="e">
        <f>MAX(pH!AC119:AC145)</f>
        <v>#DIV/0!</v>
      </c>
      <c r="Z76" s="1580" t="e">
        <f>MAX(pH!AD119:AD145)</f>
        <v>#DIV/0!</v>
      </c>
      <c r="AA76" s="1580" t="e">
        <f>MAX(pH!AE119:AE145)</f>
        <v>#DIV/0!</v>
      </c>
      <c r="AB76" s="1580">
        <f>MAX(pH!AF119:AF145)</f>
        <v>0</v>
      </c>
      <c r="AC76" s="1580">
        <f>MAX(pH!AG119:AG145)</f>
        <v>0</v>
      </c>
      <c r="AD76" s="1580">
        <f>MAX(pH!AH119:AH145)</f>
        <v>0</v>
      </c>
      <c r="AE76" s="1580">
        <f>MAX(pH!AI119:AI145)</f>
        <v>0</v>
      </c>
    </row>
    <row r="77" spans="1:31" s="1560" customFormat="1">
      <c r="A77" s="3570"/>
      <c r="B77" s="3870"/>
      <c r="C77" s="1581" t="s">
        <v>313</v>
      </c>
      <c r="D77" s="1580">
        <f>MIN(pH!D136:D171)</f>
        <v>6.6</v>
      </c>
      <c r="E77" s="1580">
        <f>MIN(pH!E136:E171)</f>
        <v>6.3</v>
      </c>
      <c r="F77" s="1580">
        <f>MIN(pH!F136:F171)</f>
        <v>6.9666666666666659</v>
      </c>
      <c r="G77" s="1580">
        <f>MIN(pH!G136:G171)</f>
        <v>7</v>
      </c>
      <c r="H77" s="1580">
        <f>MIN(pH!H136:H171)</f>
        <v>7.1</v>
      </c>
      <c r="I77" s="1580">
        <f>MIN(pH!I136:I171)</f>
        <v>7.1</v>
      </c>
      <c r="J77" s="1580">
        <f>MIN(pH!J136:J171)</f>
        <v>6.9</v>
      </c>
      <c r="K77" s="1580">
        <f>MIN(pH!K136:K171)</f>
        <v>7.1</v>
      </c>
      <c r="L77" s="1580">
        <f>MIN(pH!L136:L171)</f>
        <v>7</v>
      </c>
      <c r="M77" s="1580">
        <f>MIN(pH!M136:M171)</f>
        <v>6.6</v>
      </c>
      <c r="N77" s="1580">
        <f>MIN(pH!N136:N171)</f>
        <v>7.1</v>
      </c>
      <c r="O77" s="1580">
        <f>MIN(pH!O136:O171)</f>
        <v>0</v>
      </c>
      <c r="P77" s="1580">
        <f>MIN(pH!P136:P171)</f>
        <v>6.87</v>
      </c>
      <c r="Q77" s="1580">
        <f>MIN(pH!Q136:Q171)</f>
        <v>4.9669999999999996</v>
      </c>
      <c r="R77" s="1580">
        <f>MIN(pH!R136:R171)</f>
        <v>6.3</v>
      </c>
      <c r="S77" s="1580">
        <f>MIN(pH!S136:S171)</f>
        <v>6.8</v>
      </c>
      <c r="T77" s="1580">
        <f>MIN(pH!X135:X170)</f>
        <v>6.83</v>
      </c>
      <c r="U77" s="1580">
        <f>MIN(pH!Y135:Y170)</f>
        <v>6.87</v>
      </c>
      <c r="V77" s="1580">
        <f>MIN(pH!Z135:Z170)</f>
        <v>0</v>
      </c>
      <c r="W77" s="1580" t="e">
        <f>MIN(pH!AA135:AA170)</f>
        <v>#DIV/0!</v>
      </c>
      <c r="X77" s="1580">
        <f>MIN(pH!AB119:AB145)</f>
        <v>0.95454545454545459</v>
      </c>
      <c r="Y77" s="1580" t="e">
        <f>MIN(pH!AC119:AC145)</f>
        <v>#DIV/0!</v>
      </c>
      <c r="Z77" s="1580" t="e">
        <f>MIN(pH!AD119:AD145)</f>
        <v>#DIV/0!</v>
      </c>
      <c r="AA77" s="1580" t="e">
        <f>MIN(pH!AE119:AE145)</f>
        <v>#DIV/0!</v>
      </c>
      <c r="AB77" s="1580">
        <f>MIN(pH!AF119:AF145)</f>
        <v>0</v>
      </c>
      <c r="AC77" s="1580">
        <f>MIN(pH!AG119:AG145)</f>
        <v>0</v>
      </c>
      <c r="AD77" s="1580">
        <f>MIN(pH!AH119:AH145)</f>
        <v>0</v>
      </c>
      <c r="AE77" s="1580">
        <f>MIN(pH!AI119:AI145)</f>
        <v>0</v>
      </c>
    </row>
    <row r="78" spans="1:31" s="1560" customFormat="1">
      <c r="A78" s="3570"/>
      <c r="B78" s="3871"/>
      <c r="C78" s="1581" t="s">
        <v>315</v>
      </c>
      <c r="D78" s="1580">
        <f>AVERAGE(pH!D136:D171)</f>
        <v>6.9586666666666677</v>
      </c>
      <c r="E78" s="1580">
        <f>AVERAGE(pH!E136:E171)</f>
        <v>6.8466666666666649</v>
      </c>
      <c r="F78" s="1580">
        <f>AVERAGE(pH!F136:F171)</f>
        <v>7.4666666666666659</v>
      </c>
      <c r="G78" s="1580">
        <f>AVERAGE(pH!G136:G171)</f>
        <v>7.4746666666666677</v>
      </c>
      <c r="H78" s="1580">
        <f>AVERAGE(pH!H136:H171)</f>
        <v>7.5346153846153845</v>
      </c>
      <c r="I78" s="1580">
        <f>AVERAGE(pH!I136:I171)</f>
        <v>7.5920000000000005</v>
      </c>
      <c r="J78" s="1580">
        <f>AVERAGE(pH!J136:J171)</f>
        <v>7.546153846153846</v>
      </c>
      <c r="K78" s="1580">
        <f>AVERAGE(pH!K136:K171)</f>
        <v>7.565384615384616</v>
      </c>
      <c r="L78" s="1580">
        <f>AVERAGE(pH!L136:L171)</f>
        <v>7.4521739130434783</v>
      </c>
      <c r="M78" s="1580">
        <f>AVERAGE(pH!M136:M171)</f>
        <v>7.2388888888888898</v>
      </c>
      <c r="N78" s="1580">
        <f>AVERAGE(pH!N136:N171)</f>
        <v>7.4210526315789478</v>
      </c>
      <c r="O78" s="1580" t="e">
        <f>AVERAGE(pH!O136:O171)</f>
        <v>#DIV/0!</v>
      </c>
      <c r="P78" s="1580">
        <f>AVERAGE(pH!P136:P171)</f>
        <v>7.3699999999999992</v>
      </c>
      <c r="Q78" s="1580">
        <f>AVERAGE(pH!Q136:Q171)</f>
        <v>8.4719662499999995</v>
      </c>
      <c r="R78" s="1580">
        <f>AVERAGE(pH!R136:R171)</f>
        <v>7.3362499999999988</v>
      </c>
      <c r="S78" s="1580">
        <f>AVERAGE(pH!S136:S171)</f>
        <v>7.323076923076921</v>
      </c>
      <c r="T78" s="1580">
        <f>AVERAGE(pH!X135:X170)</f>
        <v>7.524583333333335</v>
      </c>
      <c r="U78" s="1580">
        <f>AVERAGE(pH!Y135:Y170)</f>
        <v>7.5959259259259264</v>
      </c>
      <c r="V78" s="1580" t="e">
        <f>AVERAGE(pH!Z135:Z170)</f>
        <v>#DIV/0!</v>
      </c>
      <c r="W78" s="1580" t="e">
        <f>AVERAGE(pH!AA135:AA170)</f>
        <v>#DIV/0!</v>
      </c>
      <c r="X78" s="1580">
        <f>AVERAGE(pH!AB119:AB145)</f>
        <v>10.562077922077922</v>
      </c>
      <c r="Y78" s="1580" t="e">
        <f>AVERAGE(pH!AC119:AC145)</f>
        <v>#DIV/0!</v>
      </c>
      <c r="Z78" s="1580" t="e">
        <f>AVERAGE(pH!AD119:AD145)</f>
        <v>#DIV/0!</v>
      </c>
      <c r="AA78" s="1580" t="e">
        <f>AVERAGE(pH!AE119:AE145)</f>
        <v>#DIV/0!</v>
      </c>
      <c r="AB78" s="1580" t="e">
        <f>AVERAGE(pH!AF119:AF145)</f>
        <v>#DIV/0!</v>
      </c>
      <c r="AC78" s="1580" t="e">
        <f>AVERAGE(pH!AG119:AG145)</f>
        <v>#DIV/0!</v>
      </c>
      <c r="AD78" s="1580" t="e">
        <f>AVERAGE(pH!AH119:AH145)</f>
        <v>#DIV/0!</v>
      </c>
      <c r="AE78" s="1580" t="e">
        <f>AVERAGE(pH!AI119:AI145)</f>
        <v>#DIV/0!</v>
      </c>
    </row>
    <row r="79" spans="1:31">
      <c r="A79" s="3570"/>
      <c r="B79" s="3869" t="s">
        <v>170</v>
      </c>
      <c r="C79" s="1581" t="s">
        <v>312</v>
      </c>
      <c r="D79" s="1580">
        <f>MAX(Nitrate!D136:D171)</f>
        <v>4.7793000000000001</v>
      </c>
      <c r="E79" s="1580">
        <f>MAX(Nitrate!E136:E171)</f>
        <v>2.3973</v>
      </c>
      <c r="F79" s="1580">
        <f>MAX(Nitrate!F136:F171)</f>
        <v>5.1193</v>
      </c>
      <c r="G79" s="1580">
        <f>MAX(Nitrate!G136:G171)</f>
        <v>1.3512</v>
      </c>
      <c r="H79" s="1580">
        <f>MAX(Nitrate!H136:H171)</f>
        <v>7.1970000000000001</v>
      </c>
      <c r="I79" s="1580">
        <f>MAX(Nitrate!I136:I171)</f>
        <v>3.0339999999999998</v>
      </c>
      <c r="J79" s="1580">
        <f>MAX(Nitrate!J136:J171)</f>
        <v>3.64</v>
      </c>
      <c r="K79" s="1580">
        <f>MAX(Nitrate!K136:K171)</f>
        <v>8.6059999999999999</v>
      </c>
      <c r="L79" s="1580">
        <f>MAX(Nitrate!L136:L171)</f>
        <v>4.9720000000000004</v>
      </c>
      <c r="M79" s="1580">
        <f>MAX(Nitrate!M136:M171)</f>
        <v>5.2</v>
      </c>
      <c r="N79" s="1580">
        <f>MAX(Nitrate!N136:N171)</f>
        <v>3.1509999999999998</v>
      </c>
      <c r="O79" s="1580">
        <f>MAX(Nitrate!O136:O171)</f>
        <v>0</v>
      </c>
      <c r="P79" s="1580">
        <f>MAX(Nitrate!P136:P171)</f>
        <v>4.0570000000000004</v>
      </c>
      <c r="Q79" s="1580">
        <f>MAX(Nitrate!Q136:Q171)</f>
        <v>3.8809999999999998</v>
      </c>
      <c r="R79" s="1580">
        <f>MAX(Nitrate!R136:R171)</f>
        <v>0</v>
      </c>
      <c r="S79" s="1580">
        <f>MAX(Nitrate!S136:S171)</f>
        <v>0</v>
      </c>
      <c r="T79" s="1580" t="e">
        <f>MAX(Nitrate!#REF!)</f>
        <v>#REF!</v>
      </c>
      <c r="U79" s="1580">
        <f>MAX(Nitrate!Y136:Y171)</f>
        <v>2.85</v>
      </c>
      <c r="V79" s="1580">
        <f>MAX(Nitrate!Z136:Z171)</f>
        <v>0</v>
      </c>
      <c r="W79" s="1580" t="e">
        <f>MAX(Nitrate!AA136:AA171)</f>
        <v>#DIV/0!</v>
      </c>
      <c r="X79" s="1580" t="e">
        <f>MAX(Nitrate!AB120:AB146)</f>
        <v>#DIV/0!</v>
      </c>
      <c r="Y79" s="1580" t="e">
        <f>MAX(Nitrate!AC120:AC136)</f>
        <v>#DIV/0!</v>
      </c>
      <c r="Z79" s="1580" t="e">
        <f>MAX(Nitrate!AD120:AD136)</f>
        <v>#DIV/0!</v>
      </c>
      <c r="AA79" s="1580" t="e">
        <f>MAX(Nitrate!AE120:AE146)</f>
        <v>#DIV/0!</v>
      </c>
      <c r="AB79" s="1580">
        <f>MAX(Nitrate!AF120:AF146)</f>
        <v>0</v>
      </c>
      <c r="AC79" s="1580">
        <f>MAX(Nitrate!AG120:AG146)</f>
        <v>0</v>
      </c>
      <c r="AD79" s="1580">
        <f>MAX(Nitrate!AH120:AH146)</f>
        <v>0</v>
      </c>
      <c r="AE79" s="1580">
        <f>MAX(Nitrate!AI120:AI146)</f>
        <v>0</v>
      </c>
    </row>
    <row r="80" spans="1:31" s="1560" customFormat="1">
      <c r="A80" s="3570"/>
      <c r="B80" s="3870"/>
      <c r="C80" s="1581" t="s">
        <v>313</v>
      </c>
      <c r="D80" s="1580">
        <f>MIN(Nitrate!D136:D171)</f>
        <v>1.7299999999999999E-2</v>
      </c>
      <c r="E80" s="1580">
        <f>MIN(Nitrate!E136:E171)</f>
        <v>1.18E-2</v>
      </c>
      <c r="F80" s="1580">
        <f>MIN(Nitrate!F136:F171)</f>
        <v>9.4999999999999998E-3</v>
      </c>
      <c r="G80" s="1580">
        <f>MIN(Nitrate!G136:G171)</f>
        <v>7.3400000000000007E-2</v>
      </c>
      <c r="H80" s="1580">
        <f>MIN(Nitrate!H136:H171)</f>
        <v>2.1000000000000001E-2</v>
      </c>
      <c r="I80" s="1580">
        <f>MIN(Nitrate!I136:I171)</f>
        <v>2.5000000000000001E-2</v>
      </c>
      <c r="J80" s="1580">
        <f>MIN(Nitrate!J136:J171)</f>
        <v>5.8999999999999997E-2</v>
      </c>
      <c r="K80" s="1580">
        <f>MIN(Nitrate!K136:K171)</f>
        <v>3.2000000000000001E-2</v>
      </c>
      <c r="L80" s="1580">
        <f>MIN(Nitrate!L136:L171)</f>
        <v>2.9000000000000001E-2</v>
      </c>
      <c r="M80" s="1580">
        <f>MIN(Nitrate!M136:M171)</f>
        <v>3.4000000000000002E-2</v>
      </c>
      <c r="N80" s="1580">
        <f>MIN(Nitrate!N136:N171)</f>
        <v>5.5E-2</v>
      </c>
      <c r="O80" s="1580">
        <f>MIN(Nitrate!O136:O171)</f>
        <v>0</v>
      </c>
      <c r="P80" s="1580">
        <f>MIN(Nitrate!P136:P171)</f>
        <v>1.2999999999999999E-2</v>
      </c>
      <c r="Q80" s="1580">
        <f>MIN(Nitrate!Q136:Q171)</f>
        <v>1.7999999999999999E-2</v>
      </c>
      <c r="R80" s="1580">
        <f>MIN(Nitrate!R136:R171)</f>
        <v>0</v>
      </c>
      <c r="S80" s="1580">
        <f>MIN(Nitrate!S136:S171)</f>
        <v>0</v>
      </c>
      <c r="T80" s="1580" t="e">
        <f>MIN(Nitrate!#REF!)</f>
        <v>#REF!</v>
      </c>
      <c r="U80" s="1580">
        <f>MIN(Nitrate!Y136:Y171)</f>
        <v>1E-3</v>
      </c>
      <c r="V80" s="1580">
        <f>MIN(Nitrate!Z136:Z171)</f>
        <v>0</v>
      </c>
      <c r="W80" s="1580" t="e">
        <f>MIN(Nitrate!AA136:AA171)</f>
        <v>#DIV/0!</v>
      </c>
      <c r="X80" s="1580" t="e">
        <f>MIN(Nitrate!AB120:AB146)</f>
        <v>#DIV/0!</v>
      </c>
      <c r="Y80" s="1580" t="e">
        <f>MIN(Nitrate!AC120:AC136)</f>
        <v>#DIV/0!</v>
      </c>
      <c r="Z80" s="1580" t="e">
        <f>MIN(Nitrate!AD120:AD136)</f>
        <v>#DIV/0!</v>
      </c>
      <c r="AA80" s="1580" t="e">
        <f>MIN(Nitrate!AE120:AE146)</f>
        <v>#DIV/0!</v>
      </c>
      <c r="AB80" s="1580">
        <f>MIN(Nitrate!AF120:AF146)</f>
        <v>0</v>
      </c>
      <c r="AC80" s="1580">
        <f>MIN(Nitrate!AG120:AG146)</f>
        <v>0</v>
      </c>
      <c r="AD80" s="1580">
        <f>MIN(Nitrate!AH120:AH146)</f>
        <v>0</v>
      </c>
      <c r="AE80" s="1580">
        <f>MIN(Nitrate!AI120:AI146)</f>
        <v>0</v>
      </c>
    </row>
    <row r="81" spans="1:31" s="1560" customFormat="1">
      <c r="A81" s="3570"/>
      <c r="B81" s="3871"/>
      <c r="C81" s="1581" t="s">
        <v>315</v>
      </c>
      <c r="D81" s="1580">
        <f>AVERAGE(Nitrate!D136:D171)</f>
        <v>0.49177600000000005</v>
      </c>
      <c r="E81" s="1580">
        <f>AVERAGE(Nitrate!E136:E171)</f>
        <v>0.43212800000000001</v>
      </c>
      <c r="F81" s="1580">
        <f>AVERAGE(Nitrate!F136:F171)</f>
        <v>0.69333200000000006</v>
      </c>
      <c r="G81" s="1580">
        <f>AVERAGE(Nitrate!G136:G171)</f>
        <v>0.61188799999999999</v>
      </c>
      <c r="H81" s="1580">
        <f>AVERAGE(Nitrate!H136:H171)</f>
        <v>0.8234230769230767</v>
      </c>
      <c r="I81" s="1580">
        <f>AVERAGE(Nitrate!I136:I171)</f>
        <v>0.42155999999999993</v>
      </c>
      <c r="J81" s="1580">
        <f>AVERAGE(Nitrate!J136:J171)</f>
        <v>0.64907692307692311</v>
      </c>
      <c r="K81" s="1580">
        <f>AVERAGE(Nitrate!K136:K171)</f>
        <v>0.70123076923076932</v>
      </c>
      <c r="L81" s="1580">
        <f>AVERAGE(Nitrate!L136:L171)</f>
        <v>0.46034782608695657</v>
      </c>
      <c r="M81" s="1580">
        <f>AVERAGE(Nitrate!M136:M171)</f>
        <v>0.50688888888888894</v>
      </c>
      <c r="N81" s="1580">
        <f>AVERAGE(Nitrate!N136:N171)</f>
        <v>0.66147368421052644</v>
      </c>
      <c r="O81" s="1580" t="e">
        <f>AVERAGE(Nitrate!O136:O171)</f>
        <v>#DIV/0!</v>
      </c>
      <c r="P81" s="1580">
        <f>AVERAGE(Nitrate!P136:P171)</f>
        <v>0.36345833333333338</v>
      </c>
      <c r="Q81" s="1580">
        <f>AVERAGE(Nitrate!Q136:Q171)</f>
        <v>0.36984</v>
      </c>
      <c r="R81" s="1580" t="e">
        <f>AVERAGE(Nitrate!R136:R171)</f>
        <v>#DIV/0!</v>
      </c>
      <c r="S81" s="1580" t="e">
        <f>AVERAGE(Nitrate!S136:S171)</f>
        <v>#DIV/0!</v>
      </c>
      <c r="T81" s="1580" t="e">
        <f>AVERAGE(Nitrate!#REF!)</f>
        <v>#REF!</v>
      </c>
      <c r="U81" s="1580">
        <f>AVERAGE(Nitrate!Y136:Y171)</f>
        <v>0.3074074074074073</v>
      </c>
      <c r="V81" s="1580" t="e">
        <f>AVERAGE(Nitrate!Z136:Z171)</f>
        <v>#DIV/0!</v>
      </c>
      <c r="W81" s="1580" t="e">
        <f>AVERAGE(Nitrate!AA136:AA171)</f>
        <v>#DIV/0!</v>
      </c>
      <c r="X81" s="1580" t="e">
        <f>AVERAGE(Nitrate!AB120:AB146)</f>
        <v>#DIV/0!</v>
      </c>
      <c r="Y81" s="1580" t="e">
        <f>AVERAGE(Nitrate!AC120:AC136)</f>
        <v>#DIV/0!</v>
      </c>
      <c r="Z81" s="1580" t="e">
        <f>AVERAGE(Nitrate!AD120:AD136)</f>
        <v>#DIV/0!</v>
      </c>
      <c r="AA81" s="1580" t="e">
        <f>AVERAGE(Nitrate!AE120:AE146)</f>
        <v>#DIV/0!</v>
      </c>
      <c r="AB81" s="1580" t="e">
        <f>AVERAGE(Nitrate!AF120:AF146)</f>
        <v>#DIV/0!</v>
      </c>
      <c r="AC81" s="1580" t="e">
        <f>AVERAGE(Nitrate!AG120:AG146)</f>
        <v>#DIV/0!</v>
      </c>
      <c r="AD81" s="1580" t="e">
        <f>AVERAGE(Nitrate!AH120:AH146)</f>
        <v>#DIV/0!</v>
      </c>
      <c r="AE81" s="1580" t="e">
        <f>AVERAGE(Nitrate!AI120:AI146)</f>
        <v>#DIV/0!</v>
      </c>
    </row>
    <row r="82" spans="1:31">
      <c r="A82" s="3570"/>
      <c r="B82" s="3869" t="s">
        <v>169</v>
      </c>
      <c r="C82" s="1581" t="s">
        <v>312</v>
      </c>
      <c r="D82" s="1580">
        <f>MAX(Phosphate!D140:D175)</f>
        <v>4.1082999999999998</v>
      </c>
      <c r="E82" s="1580">
        <f>MAX(Phosphate!E140:E175)</f>
        <v>2.5304700000000002</v>
      </c>
      <c r="F82" s="1580">
        <f>MAX(Phosphate!F140:F175)</f>
        <v>1.9798</v>
      </c>
      <c r="G82" s="1580">
        <f>MAX(Phosphate!G140:G175)</f>
        <v>0.89729999999999999</v>
      </c>
      <c r="H82" s="1580">
        <f>MAX(Phosphate!H140:H175)</f>
        <v>2.1850000000000001</v>
      </c>
      <c r="I82" s="1580">
        <f>MAX(Phosphate!I140:I175)</f>
        <v>2.2509999999999999</v>
      </c>
      <c r="J82" s="1580">
        <f>MAX(Phosphate!J140:J175)</f>
        <v>1.012</v>
      </c>
      <c r="K82" s="1580">
        <f>MAX(Phosphate!K140:K175)</f>
        <v>2.91</v>
      </c>
      <c r="L82" s="1580">
        <f>MAX(Phosphate!L140:L175)</f>
        <v>2.8180000000000001</v>
      </c>
      <c r="M82" s="1580">
        <f>MAX(Phosphate!M140:M175)</f>
        <v>2.0299999999999998</v>
      </c>
      <c r="N82" s="1580">
        <f>MAX(Phosphate!N140:N175)</f>
        <v>1.4650000000000001</v>
      </c>
      <c r="O82" s="1580">
        <f>MAX(Phosphate!O140:O175)</f>
        <v>0</v>
      </c>
      <c r="P82" s="1580">
        <f>MAX(Phosphate!P140:P175)</f>
        <v>2.835</v>
      </c>
      <c r="Q82" s="1580">
        <f>MAX(Phosphate!Q140:Q175)</f>
        <v>2.7770000000000001</v>
      </c>
      <c r="R82" s="1580">
        <f>MAX(Phosphate!R140:R175)</f>
        <v>0</v>
      </c>
      <c r="S82" s="1580">
        <f>MAX(Phosphate!S140:S175)</f>
        <v>0</v>
      </c>
      <c r="T82" s="1580">
        <f>MAX(Phosphate!AD140:AD175)</f>
        <v>0</v>
      </c>
      <c r="U82" s="1580">
        <f>MAX(Phosphate!Y140:Y175)</f>
        <v>2.5369999999999999</v>
      </c>
      <c r="V82" s="1580">
        <f>MAX(Phosphate!Z140:Z175)</f>
        <v>0</v>
      </c>
      <c r="W82" s="1580" t="e">
        <f>MAX(Phosphate!AA140:AA175)</f>
        <v>#DIV/0!</v>
      </c>
      <c r="X82" s="1580">
        <f>MAX(Phosphate!AB124:AB150)</f>
        <v>81</v>
      </c>
      <c r="Y82" s="1580" t="e">
        <f>MAX(Phosphate!AC124:AC150)</f>
        <v>#DIV/0!</v>
      </c>
      <c r="Z82" s="1580" t="e">
        <f>MAX(Phosphate!AD124:AD139)</f>
        <v>#DIV/0!</v>
      </c>
      <c r="AA82" s="1580" t="e">
        <f>MAX(Phosphate!AE124:AE150)</f>
        <v>#DIV/0!</v>
      </c>
      <c r="AB82" s="1580">
        <f>MAX(Phosphate!AF124:AF150)</f>
        <v>0</v>
      </c>
      <c r="AC82" s="1580">
        <f>MAX(Phosphate!AG124:AG150)</f>
        <v>0</v>
      </c>
      <c r="AD82" s="1580">
        <f>MAX(Phosphate!AH124:AH150)</f>
        <v>0</v>
      </c>
      <c r="AE82" s="1580">
        <f>MAX(Phosphate!AI124:AI150)</f>
        <v>0</v>
      </c>
    </row>
    <row r="83" spans="1:31" s="1560" customFormat="1">
      <c r="A83" s="3570"/>
      <c r="B83" s="3870"/>
      <c r="C83" s="1581" t="s">
        <v>313</v>
      </c>
      <c r="D83" s="1580">
        <f>MIN(Phosphate!D140:D175)</f>
        <v>6.9000000000000006E-2</v>
      </c>
      <c r="E83" s="1580">
        <f>MIN(Phosphate!E140:E175)</f>
        <v>6.0929999999999998E-2</v>
      </c>
      <c r="F83" s="1580">
        <f>MIN(Phosphate!F140:F175)</f>
        <v>4.8500000000000001E-2</v>
      </c>
      <c r="G83" s="1580">
        <f>MIN(Phosphate!G140:G175)</f>
        <v>3.2000000000000001E-2</v>
      </c>
      <c r="H83" s="1580">
        <f>MIN(Phosphate!H140:H175)</f>
        <v>4.5999999999999999E-2</v>
      </c>
      <c r="I83" s="1580">
        <f>MIN(Phosphate!I140:I175)</f>
        <v>8.3000000000000004E-2</v>
      </c>
      <c r="J83" s="1580">
        <f>MIN(Phosphate!J140:J175)</f>
        <v>5.0999999999999997E-2</v>
      </c>
      <c r="K83" s="1580">
        <f>MIN(Phosphate!K140:K175)</f>
        <v>5.1999999999999998E-2</v>
      </c>
      <c r="L83" s="1580">
        <f>MIN(Phosphate!L140:L175)</f>
        <v>8.1000000000000003E-2</v>
      </c>
      <c r="M83" s="1580">
        <f>MIN(Phosphate!M140:M175)</f>
        <v>0.108</v>
      </c>
      <c r="N83" s="1580">
        <f>MIN(Phosphate!N140:N175)</f>
        <v>0.08</v>
      </c>
      <c r="O83" s="1580">
        <f>MIN(Phosphate!O140:O175)</f>
        <v>0</v>
      </c>
      <c r="P83" s="1580">
        <f>MIN(Phosphate!P140:P175)</f>
        <v>4.9000000000000002E-2</v>
      </c>
      <c r="Q83" s="1580">
        <f>MIN(Phosphate!Q140:Q175)</f>
        <v>0.107</v>
      </c>
      <c r="R83" s="1580">
        <f>MIN(Phosphate!R140:R175)</f>
        <v>0</v>
      </c>
      <c r="S83" s="1580">
        <f>MIN(Phosphate!S140:S175)</f>
        <v>0</v>
      </c>
      <c r="T83" s="1580">
        <f>MIN(Phosphate!AD140:AD175)</f>
        <v>0</v>
      </c>
      <c r="U83" s="1580">
        <f>MIN(Phosphate!Y140:Y175)</f>
        <v>8.0000000000000002E-3</v>
      </c>
      <c r="V83" s="1580">
        <f>MIN(Phosphate!Z140:Z175)</f>
        <v>0</v>
      </c>
      <c r="W83" s="1580" t="e">
        <f>MIN(Phosphate!AA140:AA175)</f>
        <v>#DIV/0!</v>
      </c>
      <c r="X83" s="1580">
        <f>MIN(Phosphate!AB124:AB150)</f>
        <v>9.0909090909090912E-2</v>
      </c>
      <c r="Y83" s="1580" t="e">
        <f>MIN(Phosphate!AC124:AC150)</f>
        <v>#DIV/0!</v>
      </c>
      <c r="Z83" s="1580" t="e">
        <f>MIN(Phosphate!AD124:AD139)</f>
        <v>#DIV/0!</v>
      </c>
      <c r="AA83" s="1580" t="e">
        <f>MIN(Phosphate!AE124:AE150)</f>
        <v>#DIV/0!</v>
      </c>
      <c r="AB83" s="1580">
        <f>MIN(Phosphate!AF124:AF150)</f>
        <v>0</v>
      </c>
      <c r="AC83" s="1580">
        <f>MIN(Phosphate!AG124:AG150)</f>
        <v>0</v>
      </c>
      <c r="AD83" s="1580">
        <f>MIN(Phosphate!AH124:AH150)</f>
        <v>0</v>
      </c>
      <c r="AE83" s="1580">
        <f>MIN(Phosphate!AI124:AI150)</f>
        <v>0</v>
      </c>
    </row>
    <row r="84" spans="1:31" s="1560" customFormat="1">
      <c r="A84" s="3570"/>
      <c r="B84" s="3871"/>
      <c r="C84" s="1581" t="s">
        <v>315</v>
      </c>
      <c r="D84" s="1580">
        <f>AVERAGE(Phosphate!D140:D175)</f>
        <v>1.2331319999999997</v>
      </c>
      <c r="E84" s="1580">
        <f>AVERAGE(Phosphate!E140:E175)</f>
        <v>0.92460360000000008</v>
      </c>
      <c r="F84" s="1580">
        <f>AVERAGE(Phosphate!F140:F175)</f>
        <v>0.61251999999999995</v>
      </c>
      <c r="G84" s="1580">
        <f>AVERAGE(Phosphate!G140:G175)</f>
        <v>0.34795200000000004</v>
      </c>
      <c r="H84" s="1580">
        <f>AVERAGE(Phosphate!H140:H175)</f>
        <v>0.76257692307692271</v>
      </c>
      <c r="I84" s="1580">
        <f>AVERAGE(Phosphate!I140:I175)</f>
        <v>0.79004000000000008</v>
      </c>
      <c r="J84" s="1580">
        <f>AVERAGE(Phosphate!J140:J175)</f>
        <v>0.39492307692307693</v>
      </c>
      <c r="K84" s="1580">
        <f>AVERAGE(Phosphate!K140:K175)</f>
        <v>0.64388461538461539</v>
      </c>
      <c r="L84" s="1580">
        <f>AVERAGE(Phosphate!L140:L175)</f>
        <v>0.84865217391304337</v>
      </c>
      <c r="M84" s="1580">
        <f>AVERAGE(Phosphate!M140:M175)</f>
        <v>0.8526111111111111</v>
      </c>
      <c r="N84" s="1580">
        <f>AVERAGE(Phosphate!N140:N175)</f>
        <v>0.60278947368421054</v>
      </c>
      <c r="O84" s="1580" t="e">
        <f>AVERAGE(Phosphate!O140:O175)</f>
        <v>#DIV/0!</v>
      </c>
      <c r="P84" s="1580">
        <f>AVERAGE(Phosphate!P140:P175)</f>
        <v>0.77516666666666667</v>
      </c>
      <c r="Q84" s="1580">
        <f>AVERAGE(Phosphate!Q140:Q175)</f>
        <v>0.96284000000000003</v>
      </c>
      <c r="R84" s="1580" t="e">
        <f>AVERAGE(Phosphate!R140:R175)</f>
        <v>#DIV/0!</v>
      </c>
      <c r="S84" s="1580" t="e">
        <f>AVERAGE(Phosphate!S140:S175)</f>
        <v>#DIV/0!</v>
      </c>
      <c r="T84" s="1580" t="e">
        <f>AVERAGE(Phosphate!AD140:AD175)</f>
        <v>#DIV/0!</v>
      </c>
      <c r="U84" s="1580">
        <f>AVERAGE(Phosphate!Y140:Y175)</f>
        <v>0.72862962962962952</v>
      </c>
      <c r="V84" s="1580" t="e">
        <f>AVERAGE(Phosphate!Z140:Z175)</f>
        <v>#DIV/0!</v>
      </c>
      <c r="W84" s="1580" t="e">
        <f>AVERAGE(Phosphate!AA140:AA175)</f>
        <v>#DIV/0!</v>
      </c>
      <c r="X84" s="1580">
        <f>AVERAGE(Phosphate!AB124:AB150)</f>
        <v>12.204640291806959</v>
      </c>
      <c r="Y84" s="1580" t="e">
        <f>AVERAGE(Phosphate!AC124:AC150)</f>
        <v>#DIV/0!</v>
      </c>
      <c r="Z84" s="1580" t="e">
        <f>AVERAGE(Phosphate!AD124:AD139)</f>
        <v>#DIV/0!</v>
      </c>
      <c r="AA84" s="1580" t="e">
        <f>AVERAGE(Phosphate!AE124:AE150)</f>
        <v>#DIV/0!</v>
      </c>
      <c r="AB84" s="1580" t="e">
        <f>AVERAGE(Phosphate!AF124:AF150)</f>
        <v>#DIV/0!</v>
      </c>
      <c r="AC84" s="1580" t="e">
        <f>AVERAGE(Phosphate!AG124:AG150)</f>
        <v>#DIV/0!</v>
      </c>
      <c r="AD84" s="1580" t="e">
        <f>AVERAGE(Phosphate!AH124:AH150)</f>
        <v>#DIV/0!</v>
      </c>
      <c r="AE84" s="1580" t="e">
        <f>AVERAGE(Phosphate!AI124:AI150)</f>
        <v>#DIV/0!</v>
      </c>
    </row>
    <row r="85" spans="1:31">
      <c r="A85" s="3570"/>
      <c r="B85" s="3869" t="s">
        <v>206</v>
      </c>
      <c r="C85" s="1581" t="s">
        <v>312</v>
      </c>
      <c r="D85" s="1098">
        <f>MAX('Total Coliform'!C80:C115)</f>
        <v>19937204.876487456</v>
      </c>
      <c r="E85" s="1098">
        <f>MAX('Total Coliform'!D80:D115)</f>
        <v>15307942.260605391</v>
      </c>
      <c r="F85" s="1098">
        <f>MAX('Total Coliform'!E80:E115)</f>
        <v>58343117.071841471</v>
      </c>
      <c r="G85" s="1098">
        <f>MAX('Total Coliform'!F80:F115)</f>
        <v>24283616.335998353</v>
      </c>
      <c r="H85" s="1098">
        <f>MAX('Total Coliform'!G80:G115)</f>
        <v>19066666.670000002</v>
      </c>
      <c r="I85" s="1098">
        <f>MAX('Total Coliform'!H80:H115)</f>
        <v>65000000</v>
      </c>
      <c r="J85" s="1098">
        <f>MAX('Total Coliform'!I80:I115)</f>
        <v>17000000</v>
      </c>
      <c r="K85" s="1098">
        <f>MAX('Total Coliform'!J80:J115)</f>
        <v>14033333</v>
      </c>
      <c r="L85" s="1098">
        <f>MAX('Total Coliform'!L80:L115)</f>
        <v>16025999</v>
      </c>
      <c r="M85" s="1098">
        <f>MAX('Total Coliform'!M80:M115)</f>
        <v>35000000</v>
      </c>
      <c r="N85" s="1098">
        <f>MAX('Total Coliform'!N80:N115)</f>
        <v>28000000</v>
      </c>
      <c r="O85" s="1098">
        <f>MAX('Total Coliform'!O80:O115)</f>
        <v>0</v>
      </c>
      <c r="P85" s="1098">
        <f>MAX('Total Coliform'!Q80:Q115)</f>
        <v>160000000</v>
      </c>
      <c r="Q85" s="1098">
        <f>MAX('Total Coliform'!R80:R115)</f>
        <v>14000000</v>
      </c>
      <c r="R85" s="1098">
        <f>MAX('Total Coliform'!S80:S115)</f>
        <v>0</v>
      </c>
      <c r="S85" s="1098">
        <f>MAX('Total Coliform'!T80:T115)</f>
        <v>0</v>
      </c>
      <c r="T85" s="1098">
        <f>MAX('Total Coliform'!U80:U115)</f>
        <v>0</v>
      </c>
      <c r="U85" s="1098">
        <f>MAX('Total Coliform'!V80:V115)</f>
        <v>0</v>
      </c>
      <c r="V85" s="1098">
        <f>MAX('Total Coliform'!W80:W115)</f>
        <v>0</v>
      </c>
      <c r="W85" s="1098">
        <f>MAX('Total Coliform'!X80:X115)</f>
        <v>0</v>
      </c>
      <c r="X85" s="1098" t="e">
        <f>MAX('Total Coliform'!#REF!)</f>
        <v>#REF!</v>
      </c>
      <c r="Y85" s="1098">
        <f>MAX('Total Coliform'!Y80:Y115)</f>
        <v>66662444</v>
      </c>
      <c r="Z85" s="1098" t="e">
        <f>MAX('Total Coliform'!#REF!)</f>
        <v>#REF!</v>
      </c>
      <c r="AA85" s="1098">
        <f>MAX('Total Coliform'!Z80:Z115)</f>
        <v>51839163</v>
      </c>
      <c r="AB85" s="1098" t="e">
        <f>MAX('Total Coliform'!#REF!)</f>
        <v>#REF!</v>
      </c>
      <c r="AC85" s="1098">
        <f>MAX('Total Coliform'!AA80:AA115)</f>
        <v>0</v>
      </c>
      <c r="AD85" s="1098" t="e">
        <f>MAX('Total Coliform'!AB80:AB115)</f>
        <v>#NUM!</v>
      </c>
      <c r="AE85" s="1098">
        <f>MAX('Total Coliform'!AC80:AC115)</f>
        <v>0</v>
      </c>
    </row>
    <row r="86" spans="1:31">
      <c r="A86" s="3570"/>
      <c r="B86" s="3870"/>
      <c r="C86" s="1581" t="s">
        <v>313</v>
      </c>
      <c r="D86" s="1098">
        <f>MIN('Total Coliform'!C80:C115)</f>
        <v>15873.487030533481</v>
      </c>
      <c r="E86" s="1098">
        <f>MIN('Total Coliform'!D80:D115)</f>
        <v>13190.470248154617</v>
      </c>
      <c r="F86" s="1098">
        <f>MIN('Total Coliform'!E80:E115)</f>
        <v>48936.465457510691</v>
      </c>
      <c r="G86" s="1098">
        <f>MIN('Total Coliform'!F80:F115)</f>
        <v>27457.462386261268</v>
      </c>
      <c r="H86" s="1098">
        <f>MIN('Total Coliform'!G80:G115)</f>
        <v>29666.67</v>
      </c>
      <c r="I86" s="1098">
        <f>MIN('Total Coliform'!H80:H115)</f>
        <v>32000</v>
      </c>
      <c r="J86" s="1098">
        <f>MIN('Total Coliform'!I80:I115)</f>
        <v>17000</v>
      </c>
      <c r="K86" s="1098">
        <f>MIN('Total Coliform'!J80:J115)</f>
        <v>11000</v>
      </c>
      <c r="L86" s="1098">
        <f>MIN('Total Coliform'!L80:L115)</f>
        <v>24796</v>
      </c>
      <c r="M86" s="1098">
        <f>MIN('Total Coliform'!M80:M115)</f>
        <v>7800</v>
      </c>
      <c r="N86" s="1098">
        <f>MIN('Total Coliform'!N80:N115)</f>
        <v>130000</v>
      </c>
      <c r="O86" s="1098">
        <f>MIN('Total Coliform'!O80:O115)</f>
        <v>0</v>
      </c>
      <c r="P86" s="1098">
        <f>MIN('Total Coliform'!Q80:Q115)</f>
        <v>11000</v>
      </c>
      <c r="Q86" s="1098">
        <f>MIN('Total Coliform'!R80:R115)</f>
        <v>7800</v>
      </c>
      <c r="R86" s="1098">
        <f>MIN('Total Coliform'!S80:S115)</f>
        <v>0</v>
      </c>
      <c r="S86" s="1098">
        <f>MIN('Total Coliform'!T80:T115)</f>
        <v>0</v>
      </c>
      <c r="T86" s="1098">
        <f>MIN('Total Coliform'!U80:U115)</f>
        <v>0</v>
      </c>
      <c r="U86" s="1098">
        <f>MIN('Total Coliform'!V80:V115)</f>
        <v>0</v>
      </c>
      <c r="V86" s="1098">
        <f>MIN('Total Coliform'!W80:W115)</f>
        <v>0</v>
      </c>
      <c r="W86" s="1098">
        <f>MIN('Total Coliform'!X80:X115)</f>
        <v>0</v>
      </c>
      <c r="X86" s="1098" t="e">
        <f>MIN('Total Coliform'!#REF!)</f>
        <v>#REF!</v>
      </c>
      <c r="Y86" s="1098">
        <f>MIN('Total Coliform'!Y80:Y115)</f>
        <v>31391</v>
      </c>
      <c r="Z86" s="1098" t="e">
        <f>MIN('Total Coliform'!#REF!)</f>
        <v>#REF!</v>
      </c>
      <c r="AA86" s="1098">
        <f>MIN('Total Coliform'!Z80:Z115)</f>
        <v>6493.67</v>
      </c>
      <c r="AB86" s="1098" t="e">
        <f>MIN('Total Coliform'!#REF!)</f>
        <v>#REF!</v>
      </c>
      <c r="AC86" s="1098">
        <f>MIN('Total Coliform'!AA80:AA115)</f>
        <v>0</v>
      </c>
      <c r="AD86" s="1098" t="e">
        <f>MIN('Total Coliform'!AB80:AB115)</f>
        <v>#NUM!</v>
      </c>
      <c r="AE86" s="1098">
        <f>MIN('Total Coliform'!AC80:AC115)</f>
        <v>0</v>
      </c>
    </row>
    <row r="87" spans="1:31">
      <c r="A87" s="3571"/>
      <c r="B87" s="3871"/>
      <c r="C87" s="1581" t="s">
        <v>315</v>
      </c>
      <c r="D87" s="1098">
        <f>AVERAGE('Total Coliform'!C80:C115)</f>
        <v>3198149.2948344187</v>
      </c>
      <c r="E87" s="1098">
        <f>AVERAGE('Total Coliform'!D80:D115)</f>
        <v>2440661.2828749693</v>
      </c>
      <c r="F87" s="1098">
        <f>AVERAGE('Total Coliform'!E80:E115)</f>
        <v>3945852.2903759927</v>
      </c>
      <c r="G87" s="1098">
        <f>AVERAGE('Total Coliform'!F80:F115)</f>
        <v>2588405.1192052383</v>
      </c>
      <c r="H87" s="1098">
        <f>AVERAGE('Total Coliform'!G80:G115)</f>
        <v>3585760.2565384614</v>
      </c>
      <c r="I87" s="1098">
        <f>AVERAGE('Total Coliform'!H80:H115)</f>
        <v>7179906.6399999997</v>
      </c>
      <c r="J87" s="1098">
        <f>AVERAGE('Total Coliform'!I80:I115)</f>
        <v>2647807.0512820529</v>
      </c>
      <c r="K87" s="1098">
        <f>AVERAGE('Total Coliform'!J80:J115)</f>
        <v>2145435.8076923075</v>
      </c>
      <c r="L87" s="1098">
        <f>AVERAGE('Total Coliform'!L80:L115)</f>
        <v>2171629.730769231</v>
      </c>
      <c r="M87" s="1098">
        <f>AVERAGE('Total Coliform'!M80:M115)</f>
        <v>6361600</v>
      </c>
      <c r="N87" s="1098">
        <f>AVERAGE('Total Coliform'!N80:N115)</f>
        <v>5358823.5294117648</v>
      </c>
      <c r="O87" s="1098" t="e">
        <f>AVERAGE('Total Coliform'!O80:O115)</f>
        <v>#DIV/0!</v>
      </c>
      <c r="P87" s="1098">
        <f>AVERAGE('Total Coliform'!Q80:Q115)</f>
        <v>8408200</v>
      </c>
      <c r="Q87" s="1098">
        <f>AVERAGE('Total Coliform'!R80:R115)</f>
        <v>2074440</v>
      </c>
      <c r="R87" s="1098" t="e">
        <f>AVERAGE('Total Coliform'!S80:S115)</f>
        <v>#DIV/0!</v>
      </c>
      <c r="S87" s="1098" t="e">
        <f>AVERAGE('Total Coliform'!T80:T115)</f>
        <v>#DIV/0!</v>
      </c>
      <c r="T87" s="1098" t="e">
        <f>AVERAGE('Total Coliform'!U80:U115)</f>
        <v>#DIV/0!</v>
      </c>
      <c r="U87" s="1098" t="e">
        <f>AVERAGE('Total Coliform'!V80:V115)</f>
        <v>#DIV/0!</v>
      </c>
      <c r="V87" s="1098" t="e">
        <f>AVERAGE('Total Coliform'!W80:W115)</f>
        <v>#DIV/0!</v>
      </c>
      <c r="W87" s="1098" t="e">
        <f>AVERAGE('Total Coliform'!X80:X115)</f>
        <v>#DIV/0!</v>
      </c>
      <c r="X87" s="1098" t="e">
        <f>AVERAGE('Total Coliform'!#REF!)</f>
        <v>#REF!</v>
      </c>
      <c r="Y87" s="1098">
        <f>AVERAGE('Total Coliform'!Y80:Y115)</f>
        <v>6518321.8399999999</v>
      </c>
      <c r="Z87" s="1098" t="e">
        <f>AVERAGE('Total Coliform'!#REF!)</f>
        <v>#REF!</v>
      </c>
      <c r="AA87" s="1098">
        <f>AVERAGE('Total Coliform'!Z80:Z115)</f>
        <v>6637419.1855555549</v>
      </c>
      <c r="AB87" s="1098" t="e">
        <f>AVERAGE('Total Coliform'!#REF!)</f>
        <v>#REF!</v>
      </c>
      <c r="AC87" s="1098" t="e">
        <f>AVERAGE('Total Coliform'!AA80:AA115)</f>
        <v>#DIV/0!</v>
      </c>
      <c r="AD87" s="1098" t="e">
        <f>AVERAGE('Total Coliform'!AB80:AB115)</f>
        <v>#NUM!</v>
      </c>
      <c r="AE87" s="1098" t="e">
        <f>AVERAGE('Total Coliform'!AC80:AC115)</f>
        <v>#DIV/0!</v>
      </c>
    </row>
    <row r="88" spans="1:31">
      <c r="A88" s="3569" t="s">
        <v>319</v>
      </c>
      <c r="B88" s="3869" t="s">
        <v>201</v>
      </c>
      <c r="C88" s="1581" t="s">
        <v>312</v>
      </c>
      <c r="D88" s="1580">
        <f>MAX('Bathing Beaches DO,pH'!C16:C20,'Bathing Beaches DO,pH'!C29:C35,'Bathing Beaches DO,pH'!C44:C53)</f>
        <v>0</v>
      </c>
      <c r="E88" s="1580">
        <f>MAX('Bathing Beaches DO,pH'!D16:D20,'Bathing Beaches DO,pH'!D29:D35,'Bathing Beaches DO,pH'!D44:D53)</f>
        <v>0</v>
      </c>
      <c r="F88" s="1580">
        <f>MAX('Bathing Beaches DO,pH'!E16:E20,'Bathing Beaches DO,pH'!E29:E35,'Bathing Beaches DO,pH'!E44:E53)</f>
        <v>0</v>
      </c>
      <c r="G88" s="1580">
        <f>MAX('Bathing Beaches DO,pH'!F16:F20,'Bathing Beaches DO,pH'!F29:F35,'Bathing Beaches DO,pH'!F44:F53)</f>
        <v>7.2</v>
      </c>
      <c r="H88" s="1580">
        <f>MAX('Bathing Beaches DO,pH'!G16:G20,'Bathing Beaches DO,pH'!G29:G35,'Bathing Beaches DO,pH'!G44:G53)</f>
        <v>7.5</v>
      </c>
      <c r="I88" s="1580">
        <f>MAX('Bathing Beaches DO,pH'!H16:H20,'Bathing Beaches DO,pH'!H29:H35,'Bathing Beaches DO,pH'!H44:H53)</f>
        <v>6.35</v>
      </c>
      <c r="J88" s="1580">
        <f>MAX('Bathing Beaches DO,pH'!I16:I20,'Bathing Beaches DO,pH'!I29:I35,'Bathing Beaches DO,pH'!I44:I53)</f>
        <v>6.8</v>
      </c>
      <c r="K88" s="1580">
        <f>MAX('Bathing Beaches DO,pH'!J16:J20,'Bathing Beaches DO,pH'!J29:J35,'Bathing Beaches DO,pH'!J44:J53)</f>
        <v>9</v>
      </c>
      <c r="L88" s="1580">
        <f>MAX('Bathing Beaches DO,pH'!K16:K20,'Bathing Beaches DO,pH'!K29:K35,'Bathing Beaches DO,pH'!K44:K53)</f>
        <v>7.63</v>
      </c>
      <c r="M88" s="1580">
        <f>MAX('Bathing Beaches DO,pH'!L16:L20,'Bathing Beaches DO,pH'!L29:L35,'Bathing Beaches DO,pH'!L44:L53)</f>
        <v>7.4</v>
      </c>
      <c r="N88" s="1580">
        <f>MAX('Bathing Beaches DO,pH'!M16:M20,'Bathing Beaches DO,pH'!M29:M35,'Bathing Beaches DO,pH'!M44:M53)</f>
        <v>8.1</v>
      </c>
      <c r="O88" s="1580">
        <f>MAX('Bathing Beaches DO,pH'!N16:N20,'Bathing Beaches DO,pH'!N29:N35,'Bathing Beaches DO,pH'!N44:N53)</f>
        <v>7.33</v>
      </c>
      <c r="P88" s="1580">
        <f>MAX('Bathing Beaches DO,pH'!P16:P20,'Bathing Beaches DO,pH'!P29:P35,'Bathing Beaches DO,pH'!P44:P53)</f>
        <v>7.5</v>
      </c>
      <c r="Q88" s="1580">
        <f>MAX('Bathing Beaches DO,pH'!Q16:Q20,'Bathing Beaches DO,pH'!Q29:Q35,'Bathing Beaches DO,pH'!Q44:Q53)</f>
        <v>9.6999999999999993</v>
      </c>
      <c r="R88" s="1580">
        <f>MAX('Bathing Beaches DO,pH'!R16:R20,'Bathing Beaches DO,pH'!R29:R35,'Bathing Beaches DO,pH'!R44:R53)</f>
        <v>7.03</v>
      </c>
      <c r="S88" s="1580">
        <f>MAX('Bathing Beaches DO,pH'!S16:S20,'Bathing Beaches DO,pH'!S29:S35,'Bathing Beaches DO,pH'!S44:S53)</f>
        <v>7.3</v>
      </c>
      <c r="T88" s="1580">
        <f>MAX('Bathing Beaches DO,pH'!X16:X20,'Bathing Beaches DO,pH'!X29:X35,'Bathing Beaches DO,pH'!X44:X53)</f>
        <v>6.83</v>
      </c>
      <c r="U88" s="1580">
        <f>MAX('Bathing Beaches DO,pH'!Y16:Y20,'Bathing Beaches DO,pH'!Y29:Y35,'Bathing Beaches DO,pH'!Y44:Y53)</f>
        <v>6.3</v>
      </c>
      <c r="V88" s="1580">
        <f>MAX('Bathing Beaches DO,pH'!Z16:Z20,'Bathing Beaches DO,pH'!Z29:Z35,'Bathing Beaches DO,pH'!Z44:Z53)</f>
        <v>6.4</v>
      </c>
      <c r="W88" s="1580">
        <f>MAX('Bathing Beaches DO,pH'!AA16:AA20,'Bathing Beaches DO,pH'!AA29:AA35,'Bathing Beaches DO,pH'!AA44:AA53)</f>
        <v>6.73</v>
      </c>
      <c r="X88" s="1580">
        <f>MAX('Bathing Beaches DO,pH'!AB16:AB20,'Bathing Beaches DO,pH'!AB29:AB35,'Bathing Beaches DO,pH'!AB44:AB53)</f>
        <v>7.41</v>
      </c>
      <c r="Y88" s="1580">
        <f>MAX('Bathing Beaches DO,pH'!AC16:AC20,'Bathing Beaches DO,pH'!AC29:AC35,'Bathing Beaches DO,pH'!AC44:AC53)</f>
        <v>0</v>
      </c>
      <c r="Z88" s="1580">
        <f>MAX('Bathing Beaches DO,pH'!AD16:AD20,'Bathing Beaches DO,pH'!AD29:AD35,'Bathing Beaches DO,pH'!AD44:AD53)</f>
        <v>0</v>
      </c>
      <c r="AA88" s="1580">
        <f>MAX('Bathing Beaches DO,pH'!AE16:AE20,'Bathing Beaches DO,pH'!AE29:AE35,'Bathing Beaches DO,pH'!AE44:AE53)</f>
        <v>0</v>
      </c>
      <c r="AB88" s="1580">
        <f>MAX('Bathing Beaches DO,pH'!AF16:AF20,'Bathing Beaches DO,pH'!AF29:AF35,'Bathing Beaches DO,pH'!AF44:AF53)</f>
        <v>0</v>
      </c>
      <c r="AC88" s="1580">
        <f>MAX('Bathing Beaches DO,pH'!AG16:AG20,'Bathing Beaches DO,pH'!AG29:AG35,'Bathing Beaches DO,pH'!AG44:AG53)</f>
        <v>0</v>
      </c>
      <c r="AD88" s="1580">
        <f>MAX('Bathing Beaches DO,pH'!AH16:AH20,'Bathing Beaches DO,pH'!AH29:AH35,'Bathing Beaches DO,pH'!AH44:AH53)</f>
        <v>0</v>
      </c>
      <c r="AE88" s="1580">
        <f>MAX('Bathing Beaches DO,pH'!AI16:AI20,'Bathing Beaches DO,pH'!AI29:AI35,'Bathing Beaches DO,pH'!AI44:AI53)</f>
        <v>0</v>
      </c>
    </row>
    <row r="89" spans="1:31" s="1560" customFormat="1">
      <c r="A89" s="3570"/>
      <c r="B89" s="3870"/>
      <c r="C89" s="1581" t="s">
        <v>313</v>
      </c>
      <c r="D89" s="1580">
        <f>MIN('Bathing Beaches DO,pH'!C16:C20,'Bathing Beaches DO,pH'!C29:C35,'Bathing Beaches DO,pH'!C44:C53)</f>
        <v>0</v>
      </c>
      <c r="E89" s="1580">
        <f>MIN('Bathing Beaches DO,pH'!D16:D20,'Bathing Beaches DO,pH'!D29:D35,'Bathing Beaches DO,pH'!D44:D53)</f>
        <v>0</v>
      </c>
      <c r="F89" s="1580">
        <f>MIN('Bathing Beaches DO,pH'!E16:E20,'Bathing Beaches DO,pH'!E29:E35,'Bathing Beaches DO,pH'!E44:E53)</f>
        <v>0</v>
      </c>
      <c r="G89" s="1580">
        <f>MIN('Bathing Beaches DO,pH'!F16:F20,'Bathing Beaches DO,pH'!F29:F35,'Bathing Beaches DO,pH'!F44:F53)</f>
        <v>4.7</v>
      </c>
      <c r="H89" s="1580">
        <f>MIN('Bathing Beaches DO,pH'!G16:G20,'Bathing Beaches DO,pH'!G29:G35,'Bathing Beaches DO,pH'!G44:G53)</f>
        <v>2.4500000000000002</v>
      </c>
      <c r="I89" s="1580">
        <f>MIN('Bathing Beaches DO,pH'!H16:H20,'Bathing Beaches DO,pH'!H29:H35,'Bathing Beaches DO,pH'!H44:H53)</f>
        <v>3.16</v>
      </c>
      <c r="J89" s="1580">
        <f>MIN('Bathing Beaches DO,pH'!I16:I20,'Bathing Beaches DO,pH'!I29:I35,'Bathing Beaches DO,pH'!I44:I53)</f>
        <v>1.8</v>
      </c>
      <c r="K89" s="1580">
        <f>MIN('Bathing Beaches DO,pH'!J16:J20,'Bathing Beaches DO,pH'!J29:J35,'Bathing Beaches DO,pH'!J44:J53)</f>
        <v>1.6</v>
      </c>
      <c r="L89" s="1580">
        <f>MIN('Bathing Beaches DO,pH'!K16:K20,'Bathing Beaches DO,pH'!K29:K35,'Bathing Beaches DO,pH'!K44:K53)</f>
        <v>1</v>
      </c>
      <c r="M89" s="1580">
        <f>MIN('Bathing Beaches DO,pH'!L16:L20,'Bathing Beaches DO,pH'!L29:L35,'Bathing Beaches DO,pH'!L44:L53)</f>
        <v>1.3</v>
      </c>
      <c r="N89" s="1580">
        <f>MIN('Bathing Beaches DO,pH'!M16:M20,'Bathing Beaches DO,pH'!M29:M35,'Bathing Beaches DO,pH'!M44:M53)</f>
        <v>2.6</v>
      </c>
      <c r="O89" s="1580">
        <f>MIN('Bathing Beaches DO,pH'!N16:N20,'Bathing Beaches DO,pH'!N29:N35,'Bathing Beaches DO,pH'!N44:N53)</f>
        <v>5.68</v>
      </c>
      <c r="P89" s="1580">
        <f>MIN('Bathing Beaches DO,pH'!P16:P20,'Bathing Beaches DO,pH'!P29:P35,'Bathing Beaches DO,pH'!P44:P53)</f>
        <v>2.7</v>
      </c>
      <c r="Q89" s="1580">
        <f>MIN('Bathing Beaches DO,pH'!Q16:Q20,'Bathing Beaches DO,pH'!Q29:Q35,'Bathing Beaches DO,pH'!Q44:Q53)</f>
        <v>3.37</v>
      </c>
      <c r="R89" s="1580">
        <f>MIN('Bathing Beaches DO,pH'!R16:R20,'Bathing Beaches DO,pH'!R29:R35,'Bathing Beaches DO,pH'!R44:R53)</f>
        <v>0.4</v>
      </c>
      <c r="S89" s="1580">
        <f>MIN('Bathing Beaches DO,pH'!S16:S20,'Bathing Beaches DO,pH'!S29:S35,'Bathing Beaches DO,pH'!S44:S53)</f>
        <v>0.17</v>
      </c>
      <c r="T89" s="1580">
        <f>MIN('Bathing Beaches DO,pH'!X16:X20,'Bathing Beaches DO,pH'!X29:X35,'Bathing Beaches DO,pH'!X44:X53)</f>
        <v>0</v>
      </c>
      <c r="U89" s="1580">
        <f>MIN('Bathing Beaches DO,pH'!Y16:Y20,'Bathing Beaches DO,pH'!Y29:Y35,'Bathing Beaches DO,pH'!Y44:Y53)</f>
        <v>0</v>
      </c>
      <c r="V89" s="1580">
        <f>MIN('Bathing Beaches DO,pH'!Z16:Z20,'Bathing Beaches DO,pH'!Z29:Z35,'Bathing Beaches DO,pH'!Z44:Z53)</f>
        <v>0</v>
      </c>
      <c r="W89" s="1580">
        <f>MIN('Bathing Beaches DO,pH'!AA16:AA20,'Bathing Beaches DO,pH'!AA29:AA35,'Bathing Beaches DO,pH'!AA44:AA53)</f>
        <v>1.37</v>
      </c>
      <c r="X89" s="1580">
        <f>MIN('Bathing Beaches DO,pH'!AB16:AB20,'Bathing Beaches DO,pH'!AB29:AB35,'Bathing Beaches DO,pH'!AB44:AB53)</f>
        <v>0.7</v>
      </c>
      <c r="Y89" s="1580">
        <f>MIN('Bathing Beaches DO,pH'!AC16:AC20,'Bathing Beaches DO,pH'!AC29:AC35,'Bathing Beaches DO,pH'!AC44:AC53)</f>
        <v>0</v>
      </c>
      <c r="Z89" s="1580">
        <f>MIN('Bathing Beaches DO,pH'!AD16:AD20,'Bathing Beaches DO,pH'!AD29:AD35,'Bathing Beaches DO,pH'!AD44:AD53)</f>
        <v>0</v>
      </c>
      <c r="AA89" s="1580">
        <f>MIN('Bathing Beaches DO,pH'!AE16:AE20,'Bathing Beaches DO,pH'!AE29:AE35,'Bathing Beaches DO,pH'!AE44:AE53)</f>
        <v>0</v>
      </c>
      <c r="AB89" s="1580">
        <f>MIN('Bathing Beaches DO,pH'!AF16:AF20,'Bathing Beaches DO,pH'!AF29:AF35,'Bathing Beaches DO,pH'!AF44:AF53)</f>
        <v>0</v>
      </c>
      <c r="AC89" s="1580">
        <f>MIN('Bathing Beaches DO,pH'!AG16:AG20,'Bathing Beaches DO,pH'!AG29:AG35,'Bathing Beaches DO,pH'!AG44:AG53)</f>
        <v>0</v>
      </c>
      <c r="AD89" s="1580">
        <f>MIN('Bathing Beaches DO,pH'!AH16:AH20,'Bathing Beaches DO,pH'!AH29:AH35,'Bathing Beaches DO,pH'!AH44:AH53)</f>
        <v>0</v>
      </c>
      <c r="AE89" s="1580">
        <f>MIN('Bathing Beaches DO,pH'!AI16:AI20,'Bathing Beaches DO,pH'!AI29:AI35,'Bathing Beaches DO,pH'!AI44:AI53)</f>
        <v>0</v>
      </c>
    </row>
    <row r="90" spans="1:31" s="1560" customFormat="1">
      <c r="A90" s="3570"/>
      <c r="B90" s="3871"/>
      <c r="C90" s="1581" t="s">
        <v>315</v>
      </c>
      <c r="D90" s="1580">
        <f>MIN('Bathing Beaches DO,pH'!C16:C20,'Bathing Beaches DO,pH'!C29:C35,'Bathing Beaches DO,pH'!C44:C53)</f>
        <v>0</v>
      </c>
      <c r="E90" s="1580">
        <f>MIN('Bathing Beaches DO,pH'!D16:D20,'Bathing Beaches DO,pH'!D29:D35,'Bathing Beaches DO,pH'!D44:D53)</f>
        <v>0</v>
      </c>
      <c r="F90" s="1580">
        <f>MIN('Bathing Beaches DO,pH'!E16:E20,'Bathing Beaches DO,pH'!E29:E35,'Bathing Beaches DO,pH'!E44:E53)</f>
        <v>0</v>
      </c>
      <c r="G90" s="1580">
        <f>MIN('Bathing Beaches DO,pH'!F16:F20,'Bathing Beaches DO,pH'!F29:F35,'Bathing Beaches DO,pH'!F44:F53)</f>
        <v>4.7</v>
      </c>
      <c r="H90" s="1580">
        <f>MIN('Bathing Beaches DO,pH'!G16:G20,'Bathing Beaches DO,pH'!G29:G35,'Bathing Beaches DO,pH'!G44:G53)</f>
        <v>2.4500000000000002</v>
      </c>
      <c r="I90" s="1580">
        <f>MIN('Bathing Beaches DO,pH'!H16:H20,'Bathing Beaches DO,pH'!H29:H35,'Bathing Beaches DO,pH'!H44:H53)</f>
        <v>3.16</v>
      </c>
      <c r="J90" s="1580">
        <f>MIN('Bathing Beaches DO,pH'!I16:I20,'Bathing Beaches DO,pH'!I29:I35,'Bathing Beaches DO,pH'!I44:I53)</f>
        <v>1.8</v>
      </c>
      <c r="K90" s="1580">
        <f>MIN('Bathing Beaches DO,pH'!J16:J20,'Bathing Beaches DO,pH'!J29:J35,'Bathing Beaches DO,pH'!J44:J53)</f>
        <v>1.6</v>
      </c>
      <c r="L90" s="1580">
        <f>MIN('Bathing Beaches DO,pH'!K16:K20,'Bathing Beaches DO,pH'!K29:K35,'Bathing Beaches DO,pH'!K44:K53)</f>
        <v>1</v>
      </c>
      <c r="M90" s="1580">
        <f>MIN('Bathing Beaches DO,pH'!L16:L20,'Bathing Beaches DO,pH'!L29:L35,'Bathing Beaches DO,pH'!L44:L53)</f>
        <v>1.3</v>
      </c>
      <c r="N90" s="1580">
        <f>MIN('Bathing Beaches DO,pH'!M16:M20,'Bathing Beaches DO,pH'!M29:M35,'Bathing Beaches DO,pH'!M44:M53)</f>
        <v>2.6</v>
      </c>
      <c r="O90" s="1580">
        <f>MIN('Bathing Beaches DO,pH'!N16:N20,'Bathing Beaches DO,pH'!N29:N35,'Bathing Beaches DO,pH'!N44:N53)</f>
        <v>5.68</v>
      </c>
      <c r="P90" s="1580">
        <f>MIN('Bathing Beaches DO,pH'!P16:P20,'Bathing Beaches DO,pH'!P29:P35,'Bathing Beaches DO,pH'!P44:P53)</f>
        <v>2.7</v>
      </c>
      <c r="Q90" s="1580">
        <f>MIN('Bathing Beaches DO,pH'!Q16:Q20,'Bathing Beaches DO,pH'!Q29:Q35,'Bathing Beaches DO,pH'!Q44:Q53)</f>
        <v>3.37</v>
      </c>
      <c r="R90" s="1580">
        <f>MIN('Bathing Beaches DO,pH'!R16:R20,'Bathing Beaches DO,pH'!R29:R35,'Bathing Beaches DO,pH'!R44:R53)</f>
        <v>0.4</v>
      </c>
      <c r="S90" s="1580">
        <f>MIN('Bathing Beaches DO,pH'!S16:S20,'Bathing Beaches DO,pH'!S29:S35,'Bathing Beaches DO,pH'!S44:S53)</f>
        <v>0.17</v>
      </c>
      <c r="T90" s="1580">
        <f>MIN('Bathing Beaches DO,pH'!X16:X20,'Bathing Beaches DO,pH'!X29:X35,'Bathing Beaches DO,pH'!X44:X53)</f>
        <v>0</v>
      </c>
      <c r="U90" s="1580">
        <f>MIN('Bathing Beaches DO,pH'!Y16:Y20,'Bathing Beaches DO,pH'!Y29:Y35,'Bathing Beaches DO,pH'!Y44:Y53)</f>
        <v>0</v>
      </c>
      <c r="V90" s="1580">
        <f>MIN('Bathing Beaches DO,pH'!Z16:Z20,'Bathing Beaches DO,pH'!Z29:Z35,'Bathing Beaches DO,pH'!Z44:Z53)</f>
        <v>0</v>
      </c>
      <c r="W90" s="1580">
        <f>MIN('Bathing Beaches DO,pH'!AA16:AA20,'Bathing Beaches DO,pH'!AA29:AA35,'Bathing Beaches DO,pH'!AA44:AA53)</f>
        <v>1.37</v>
      </c>
      <c r="X90" s="1580">
        <f>MIN('Bathing Beaches DO,pH'!AB16:AB20,'Bathing Beaches DO,pH'!AB29:AB35,'Bathing Beaches DO,pH'!AB44:AB53)</f>
        <v>0.7</v>
      </c>
      <c r="Y90" s="1580">
        <f>MIN('Bathing Beaches DO,pH'!AC16:AC20,'Bathing Beaches DO,pH'!AC29:AC35,'Bathing Beaches DO,pH'!AC44:AC53)</f>
        <v>0</v>
      </c>
      <c r="Z90" s="1580">
        <f>MIN('Bathing Beaches DO,pH'!AD16:AD20,'Bathing Beaches DO,pH'!AD29:AD35,'Bathing Beaches DO,pH'!AD44:AD53)</f>
        <v>0</v>
      </c>
      <c r="AA90" s="1580">
        <f>MIN('Bathing Beaches DO,pH'!AE16:AE20,'Bathing Beaches DO,pH'!AE29:AE35,'Bathing Beaches DO,pH'!AE44:AE53)</f>
        <v>0</v>
      </c>
      <c r="AB90" s="1580">
        <f>MIN('Bathing Beaches DO,pH'!AF16:AF20,'Bathing Beaches DO,pH'!AF29:AF35,'Bathing Beaches DO,pH'!AF44:AF53)</f>
        <v>0</v>
      </c>
      <c r="AC90" s="1580">
        <f>MIN('Bathing Beaches DO,pH'!AG16:AG20,'Bathing Beaches DO,pH'!AG29:AG35,'Bathing Beaches DO,pH'!AG44:AG53)</f>
        <v>0</v>
      </c>
      <c r="AD90" s="1580">
        <f>MIN('Bathing Beaches DO,pH'!AH16:AH20,'Bathing Beaches DO,pH'!AH29:AH35,'Bathing Beaches DO,pH'!AH44:AH53)</f>
        <v>0</v>
      </c>
      <c r="AE90" s="1580">
        <f>MIN('Bathing Beaches DO,pH'!AI16:AI20,'Bathing Beaches DO,pH'!AI29:AI35,'Bathing Beaches DO,pH'!AI44:AI53)</f>
        <v>0</v>
      </c>
    </row>
    <row r="91" spans="1:31">
      <c r="A91" s="3570"/>
      <c r="B91" s="3869" t="s">
        <v>199</v>
      </c>
      <c r="C91" s="1581" t="s">
        <v>312</v>
      </c>
      <c r="D91" s="1580">
        <f>MAX('Bathing Beaches DO,pH'!C67:C71,'Bathing Beaches DO,pH'!C82:C88,'Bathing Beaches DO,pH'!C99:C108)</f>
        <v>0</v>
      </c>
      <c r="E91" s="1580">
        <f>MAX('Bathing Beaches DO,pH'!D67:D71,'Bathing Beaches DO,pH'!D82:D88,'Bathing Beaches DO,pH'!D99:D108)</f>
        <v>0</v>
      </c>
      <c r="F91" s="1580">
        <f>MAX('Bathing Beaches DO,pH'!E67:E71,'Bathing Beaches DO,pH'!E82:E88,'Bathing Beaches DO,pH'!E99:E108)</f>
        <v>0</v>
      </c>
      <c r="G91" s="1580">
        <f>MAX('Bathing Beaches DO,pH'!F67:F71,'Bathing Beaches DO,pH'!F82:F88,'Bathing Beaches DO,pH'!F99:F108)</f>
        <v>8.25</v>
      </c>
      <c r="H91" s="1580">
        <f>MAX('Bathing Beaches DO,pH'!G67:G71,'Bathing Beaches DO,pH'!G82:G88,'Bathing Beaches DO,pH'!G99:G108)</f>
        <v>9.16</v>
      </c>
      <c r="I91" s="1580">
        <f>MAX('Bathing Beaches DO,pH'!H67:H71,'Bathing Beaches DO,pH'!H82:H88,'Bathing Beaches DO,pH'!H99:H108)</f>
        <v>8.35</v>
      </c>
      <c r="J91" s="1580">
        <f>MAX('Bathing Beaches DO,pH'!I67:I71,'Bathing Beaches DO,pH'!I82:I88,'Bathing Beaches DO,pH'!I99:I108)</f>
        <v>7.93</v>
      </c>
      <c r="K91" s="1580">
        <f>MAX('Bathing Beaches DO,pH'!J67:J71,'Bathing Beaches DO,pH'!J82:J88,'Bathing Beaches DO,pH'!J99:J108)</f>
        <v>9.34</v>
      </c>
      <c r="L91" s="1580">
        <f>MAX('Bathing Beaches DO,pH'!K67:K71,'Bathing Beaches DO,pH'!K82:K88,'Bathing Beaches DO,pH'!K99:K108)</f>
        <v>8.57</v>
      </c>
      <c r="M91" s="1580">
        <f>MAX('Bathing Beaches DO,pH'!L67:L71,'Bathing Beaches DO,pH'!L82:L88,'Bathing Beaches DO,pH'!L99:L108)</f>
        <v>8.11</v>
      </c>
      <c r="N91" s="1580">
        <f>MAX('Bathing Beaches DO,pH'!M67:M71,'Bathing Beaches DO,pH'!M82:M88,'Bathing Beaches DO,pH'!M99:M108)</f>
        <v>8.4</v>
      </c>
      <c r="O91" s="1580">
        <f>MAX('Bathing Beaches DO,pH'!N67:N71,'Bathing Beaches DO,pH'!N82:N88,'Bathing Beaches DO,pH'!N99:N108)</f>
        <v>8.57</v>
      </c>
      <c r="P91" s="1580">
        <f>MAX('Bathing Beaches DO,pH'!P67:P71,'Bathing Beaches DO,pH'!P82:P88,'Bathing Beaches DO,pH'!P99:P108)</f>
        <v>8.35</v>
      </c>
      <c r="Q91" s="1580">
        <f>MAX('Bathing Beaches DO,pH'!Q67:Q71,'Bathing Beaches DO,pH'!Q82:Q88,'Bathing Beaches DO,pH'!Q99:Q108)</f>
        <v>8.41</v>
      </c>
      <c r="R91" s="1580">
        <f>MAX('Bathing Beaches DO,pH'!R67:R71,'Bathing Beaches DO,pH'!R82:R88,'Bathing Beaches DO,pH'!R99:R108)</f>
        <v>8.1999999999999993</v>
      </c>
      <c r="S91" s="1580">
        <f>MAX('Bathing Beaches DO,pH'!S67:S71,'Bathing Beaches DO,pH'!S82:S88,'Bathing Beaches DO,pH'!S99:S108)</f>
        <v>8.15</v>
      </c>
      <c r="T91" s="1580">
        <f>MAX('Bathing Beaches DO,pH'!X67:X71,'Bathing Beaches DO,pH'!X82:X88,'Bathing Beaches DO,pH'!X99:X108)</f>
        <v>8.24</v>
      </c>
      <c r="U91" s="1580">
        <f>MAX('Bathing Beaches DO,pH'!Y67:Y71,'Bathing Beaches DO,pH'!Y82:Y88,'Bathing Beaches DO,pH'!Y99:Y108)</f>
        <v>8.19</v>
      </c>
      <c r="V91" s="1580">
        <f>MAX('Bathing Beaches DO,pH'!Z67:Z71,'Bathing Beaches DO,pH'!Z82:Z88,'Bathing Beaches DO,pH'!Z99:Z108)</f>
        <v>8.1999999999999993</v>
      </c>
      <c r="W91" s="1580">
        <f>MAX('Bathing Beaches DO,pH'!AA67:AA71,'Bathing Beaches DO,pH'!AA82:AA88,'Bathing Beaches DO,pH'!AA99:AA108)</f>
        <v>8.26</v>
      </c>
      <c r="X91" s="1580">
        <f>MAX('Bathing Beaches DO,pH'!AB67:AB71,'Bathing Beaches DO,pH'!AB82:AB88,'Bathing Beaches DO,pH'!AB99:AB108)</f>
        <v>8.3699999999999992</v>
      </c>
      <c r="Y91" s="1580">
        <f>MAX('Bathing Beaches DO,pH'!AC67:AC71,'Bathing Beaches DO,pH'!AC82:AC88,'Bathing Beaches DO,pH'!AC99:AC108)</f>
        <v>0</v>
      </c>
      <c r="Z91" s="1580">
        <f>MAX('Bathing Beaches DO,pH'!AD67:AD71,'Bathing Beaches DO,pH'!AD82:AD88,'Bathing Beaches DO,pH'!AD99:AD108)</f>
        <v>0</v>
      </c>
      <c r="AA91" s="1580">
        <f>MAX('Bathing Beaches DO,pH'!AE67:AE71,'Bathing Beaches DO,pH'!AE82:AE88,'Bathing Beaches DO,pH'!AE99:AE108)</f>
        <v>0</v>
      </c>
      <c r="AB91" s="1580">
        <f>MAX('Bathing Beaches DO,pH'!AF67:AF71,'Bathing Beaches DO,pH'!AF82:AF88,'Bathing Beaches DO,pH'!AF99:AF108)</f>
        <v>0</v>
      </c>
      <c r="AC91" s="1580">
        <f>MAX('Bathing Beaches DO,pH'!AG67:AG71,'Bathing Beaches DO,pH'!AG82:AG88,'Bathing Beaches DO,pH'!AG99:AG108)</f>
        <v>0</v>
      </c>
      <c r="AD91" s="1580">
        <f>MAX('Bathing Beaches DO,pH'!AH67:AH71,'Bathing Beaches DO,pH'!AH82:AH88,'Bathing Beaches DO,pH'!AH99:AH108)</f>
        <v>0</v>
      </c>
      <c r="AE91" s="1580">
        <f>MAX('Bathing Beaches DO,pH'!AI67:AI71,'Bathing Beaches DO,pH'!AI82:AI88,'Bathing Beaches DO,pH'!AI99:AI108)</f>
        <v>0</v>
      </c>
    </row>
    <row r="92" spans="1:31" s="1560" customFormat="1">
      <c r="A92" s="3570"/>
      <c r="B92" s="3870"/>
      <c r="C92" s="1581" t="s">
        <v>313</v>
      </c>
      <c r="D92" s="1580">
        <f>MIN('Bathing Beaches DO,pH'!C67:C71,'Bathing Beaches DO,pH'!C82:C88,'Bathing Beaches DO,pH'!C99:C108)</f>
        <v>0</v>
      </c>
      <c r="E92" s="1580">
        <f>MIN('Bathing Beaches DO,pH'!D67:D71,'Bathing Beaches DO,pH'!D82:D88,'Bathing Beaches DO,pH'!D99:D108)</f>
        <v>0</v>
      </c>
      <c r="F92" s="1580">
        <f>MIN('Bathing Beaches DO,pH'!E67:E71,'Bathing Beaches DO,pH'!E82:E88,'Bathing Beaches DO,pH'!E99:E108)</f>
        <v>0</v>
      </c>
      <c r="G92" s="1580">
        <f>MIN('Bathing Beaches DO,pH'!F67:F71,'Bathing Beaches DO,pH'!F82:F88,'Bathing Beaches DO,pH'!F99:F108)</f>
        <v>7.41</v>
      </c>
      <c r="H92" s="1580">
        <f>MIN('Bathing Beaches DO,pH'!G67:G71,'Bathing Beaches DO,pH'!G82:G88,'Bathing Beaches DO,pH'!G99:G108)</f>
        <v>7.13</v>
      </c>
      <c r="I92" s="1580">
        <f>MIN('Bathing Beaches DO,pH'!H67:H71,'Bathing Beaches DO,pH'!H82:H88,'Bathing Beaches DO,pH'!H99:H108)</f>
        <v>6.5</v>
      </c>
      <c r="J92" s="1580">
        <f>MIN('Bathing Beaches DO,pH'!I67:I71,'Bathing Beaches DO,pH'!I82:I88,'Bathing Beaches DO,pH'!I99:I108)</f>
        <v>7.22</v>
      </c>
      <c r="K92" s="1580">
        <f>MIN('Bathing Beaches DO,pH'!J67:J71,'Bathing Beaches DO,pH'!J82:J88,'Bathing Beaches DO,pH'!J99:J108)</f>
        <v>7.34</v>
      </c>
      <c r="L92" s="1580">
        <f>MIN('Bathing Beaches DO,pH'!K67:K71,'Bathing Beaches DO,pH'!K82:K88,'Bathing Beaches DO,pH'!K99:K108)</f>
        <v>7.37</v>
      </c>
      <c r="M92" s="1580">
        <f>MIN('Bathing Beaches DO,pH'!L67:L71,'Bathing Beaches DO,pH'!L82:L88,'Bathing Beaches DO,pH'!L99:L108)</f>
        <v>7.68</v>
      </c>
      <c r="N92" s="1580">
        <f>MIN('Bathing Beaches DO,pH'!M67:M71,'Bathing Beaches DO,pH'!M82:M88,'Bathing Beaches DO,pH'!M99:M108)</f>
        <v>2.9</v>
      </c>
      <c r="O92" s="1580">
        <f>MIN('Bathing Beaches DO,pH'!N67:N71,'Bathing Beaches DO,pH'!N82:N88,'Bathing Beaches DO,pH'!N99:N108)</f>
        <v>7.55</v>
      </c>
      <c r="P92" s="1580">
        <f>MIN('Bathing Beaches DO,pH'!P67:P71,'Bathing Beaches DO,pH'!P82:P88,'Bathing Beaches DO,pH'!P99:P108)</f>
        <v>7.19</v>
      </c>
      <c r="Q92" s="1580">
        <f>MIN('Bathing Beaches DO,pH'!Q67:Q71,'Bathing Beaches DO,pH'!Q82:Q88,'Bathing Beaches DO,pH'!Q99:Q108)</f>
        <v>6.5</v>
      </c>
      <c r="R92" s="1580">
        <f>MIN('Bathing Beaches DO,pH'!R67:R71,'Bathing Beaches DO,pH'!R82:R88,'Bathing Beaches DO,pH'!R99:R108)</f>
        <v>7.7</v>
      </c>
      <c r="S92" s="1580">
        <f>MIN('Bathing Beaches DO,pH'!S67:S71,'Bathing Beaches DO,pH'!S82:S88,'Bathing Beaches DO,pH'!S99:S108)</f>
        <v>7.25</v>
      </c>
      <c r="T92" s="1580">
        <f>MIN('Bathing Beaches DO,pH'!X67:X71,'Bathing Beaches DO,pH'!X82:X88,'Bathing Beaches DO,pH'!X99:X108)</f>
        <v>6.2</v>
      </c>
      <c r="U92" s="1580">
        <f>MIN('Bathing Beaches DO,pH'!Y67:Y71,'Bathing Beaches DO,pH'!Y82:Y88,'Bathing Beaches DO,pH'!Y99:Y108)</f>
        <v>7.3</v>
      </c>
      <c r="V92" s="1580">
        <f>MIN('Bathing Beaches DO,pH'!Z67:Z71,'Bathing Beaches DO,pH'!Z82:Z88,'Bathing Beaches DO,pH'!Z99:Z108)</f>
        <v>7.32</v>
      </c>
      <c r="W92" s="1580">
        <f>MIN('Bathing Beaches DO,pH'!AA67:AA71,'Bathing Beaches DO,pH'!AA82:AA88,'Bathing Beaches DO,pH'!AA99:AA108)</f>
        <v>6.17</v>
      </c>
      <c r="X92" s="1580">
        <f>MIN('Bathing Beaches DO,pH'!AB67:AB71,'Bathing Beaches DO,pH'!AB82:AB88,'Bathing Beaches DO,pH'!AB99:AB108)</f>
        <v>4.3</v>
      </c>
      <c r="Y92" s="1580">
        <f>MIN('Bathing Beaches DO,pH'!AC67:AC71,'Bathing Beaches DO,pH'!AC82:AC88,'Bathing Beaches DO,pH'!AC99:AC108)</f>
        <v>0</v>
      </c>
      <c r="Z92" s="1580">
        <f>MIN('Bathing Beaches DO,pH'!AD67:AD71,'Bathing Beaches DO,pH'!AD82:AD88,'Bathing Beaches DO,pH'!AD99:AD108)</f>
        <v>0</v>
      </c>
      <c r="AA92" s="1580">
        <f>MIN('Bathing Beaches DO,pH'!AE67:AE71,'Bathing Beaches DO,pH'!AE82:AE88,'Bathing Beaches DO,pH'!AE99:AE108)</f>
        <v>0</v>
      </c>
      <c r="AB92" s="1580">
        <f>MIN('Bathing Beaches DO,pH'!AF67:AF71,'Bathing Beaches DO,pH'!AF82:AF88,'Bathing Beaches DO,pH'!AF99:AF108)</f>
        <v>0</v>
      </c>
      <c r="AC92" s="1580">
        <f>MIN('Bathing Beaches DO,pH'!AG67:AG71,'Bathing Beaches DO,pH'!AG82:AG88,'Bathing Beaches DO,pH'!AG99:AG108)</f>
        <v>0</v>
      </c>
      <c r="AD92" s="1580">
        <f>MIN('Bathing Beaches DO,pH'!AH67:AH71,'Bathing Beaches DO,pH'!AH82:AH88,'Bathing Beaches DO,pH'!AH99:AH108)</f>
        <v>0</v>
      </c>
      <c r="AE92" s="1580">
        <f>MIN('Bathing Beaches DO,pH'!AI67:AI71,'Bathing Beaches DO,pH'!AI82:AI88,'Bathing Beaches DO,pH'!AI99:AI108)</f>
        <v>0</v>
      </c>
    </row>
    <row r="93" spans="1:31" s="1560" customFormat="1">
      <c r="A93" s="3570"/>
      <c r="B93" s="3871"/>
      <c r="C93" s="1581" t="s">
        <v>315</v>
      </c>
      <c r="D93" s="1580">
        <f>MAX('Bathing Beaches DO,pH'!C67:C71,'Bathing Beaches DO,pH'!C82:C88,'Bathing Beaches DO,pH'!C99:C108)</f>
        <v>0</v>
      </c>
      <c r="E93" s="1580">
        <f>MAX('Bathing Beaches DO,pH'!D67:D71,'Bathing Beaches DO,pH'!D82:D88,'Bathing Beaches DO,pH'!D99:D108)</f>
        <v>0</v>
      </c>
      <c r="F93" s="1580">
        <f>MAX('Bathing Beaches DO,pH'!E67:E71,'Bathing Beaches DO,pH'!E82:E88,'Bathing Beaches DO,pH'!E99:E108)</f>
        <v>0</v>
      </c>
      <c r="G93" s="1580">
        <f>MAX('Bathing Beaches DO,pH'!F67:F71,'Bathing Beaches DO,pH'!F82:F88,'Bathing Beaches DO,pH'!F99:F108)</f>
        <v>8.25</v>
      </c>
      <c r="H93" s="1580">
        <f>MAX('Bathing Beaches DO,pH'!G67:G71,'Bathing Beaches DO,pH'!G82:G88,'Bathing Beaches DO,pH'!G99:G108)</f>
        <v>9.16</v>
      </c>
      <c r="I93" s="1580">
        <f>MAX('Bathing Beaches DO,pH'!H67:H71,'Bathing Beaches DO,pH'!H82:H88,'Bathing Beaches DO,pH'!H99:H108)</f>
        <v>8.35</v>
      </c>
      <c r="J93" s="1580">
        <f>MAX('Bathing Beaches DO,pH'!I67:I71,'Bathing Beaches DO,pH'!I82:I88,'Bathing Beaches DO,pH'!I99:I108)</f>
        <v>7.93</v>
      </c>
      <c r="K93" s="1580">
        <f>MAX('Bathing Beaches DO,pH'!J67:J71,'Bathing Beaches DO,pH'!J82:J88,'Bathing Beaches DO,pH'!J99:J108)</f>
        <v>9.34</v>
      </c>
      <c r="L93" s="1580">
        <f>MAX('Bathing Beaches DO,pH'!K67:K71,'Bathing Beaches DO,pH'!K82:K88,'Bathing Beaches DO,pH'!K99:K108)</f>
        <v>8.57</v>
      </c>
      <c r="M93" s="1580">
        <f>MAX('Bathing Beaches DO,pH'!L67:L71,'Bathing Beaches DO,pH'!L82:L88,'Bathing Beaches DO,pH'!L99:L108)</f>
        <v>8.11</v>
      </c>
      <c r="N93" s="1580">
        <f>MAX('Bathing Beaches DO,pH'!M67:M71,'Bathing Beaches DO,pH'!M82:M88,'Bathing Beaches DO,pH'!M99:M108)</f>
        <v>8.4</v>
      </c>
      <c r="O93" s="1580">
        <f>MAX('Bathing Beaches DO,pH'!N67:N71,'Bathing Beaches DO,pH'!N82:N88,'Bathing Beaches DO,pH'!N99:N108)</f>
        <v>8.57</v>
      </c>
      <c r="P93" s="1580">
        <f>MAX('Bathing Beaches DO,pH'!P67:P71,'Bathing Beaches DO,pH'!P82:P88,'Bathing Beaches DO,pH'!P99:P108)</f>
        <v>8.35</v>
      </c>
      <c r="Q93" s="1580">
        <f>MAX('Bathing Beaches DO,pH'!Q67:Q71,'Bathing Beaches DO,pH'!Q82:Q88,'Bathing Beaches DO,pH'!Q99:Q108)</f>
        <v>8.41</v>
      </c>
      <c r="R93" s="1580">
        <f>MAX('Bathing Beaches DO,pH'!R67:R71,'Bathing Beaches DO,pH'!R82:R88,'Bathing Beaches DO,pH'!R99:R108)</f>
        <v>8.1999999999999993</v>
      </c>
      <c r="S93" s="1580">
        <f>MAX('Bathing Beaches DO,pH'!S67:S71,'Bathing Beaches DO,pH'!S82:S88,'Bathing Beaches DO,pH'!S99:S108)</f>
        <v>8.15</v>
      </c>
      <c r="T93" s="1580">
        <f>MAX('Bathing Beaches DO,pH'!X67:X71,'Bathing Beaches DO,pH'!X82:X88,'Bathing Beaches DO,pH'!X99:X108)</f>
        <v>8.24</v>
      </c>
      <c r="U93" s="1580">
        <f>MAX('Bathing Beaches DO,pH'!Y67:Y71,'Bathing Beaches DO,pH'!Y82:Y88,'Bathing Beaches DO,pH'!Y99:Y108)</f>
        <v>8.19</v>
      </c>
      <c r="V93" s="1580">
        <f>MAX('Bathing Beaches DO,pH'!Z67:Z71,'Bathing Beaches DO,pH'!Z82:Z88,'Bathing Beaches DO,pH'!Z99:Z108)</f>
        <v>8.1999999999999993</v>
      </c>
      <c r="W93" s="1580">
        <f>MAX('Bathing Beaches DO,pH'!AA67:AA71,'Bathing Beaches DO,pH'!AA82:AA88,'Bathing Beaches DO,pH'!AA99:AA108)</f>
        <v>8.26</v>
      </c>
      <c r="X93" s="1580">
        <f>MAX('Bathing Beaches DO,pH'!AB67:AB71,'Bathing Beaches DO,pH'!AB82:AB88,'Bathing Beaches DO,pH'!AB99:AB108)</f>
        <v>8.3699999999999992</v>
      </c>
      <c r="Y93" s="1580">
        <f>MAX('Bathing Beaches DO,pH'!AC67:AC71,'Bathing Beaches DO,pH'!AC82:AC88,'Bathing Beaches DO,pH'!AC99:AC108)</f>
        <v>0</v>
      </c>
      <c r="Z93" s="1580">
        <f>MAX('Bathing Beaches DO,pH'!AD67:AD71,'Bathing Beaches DO,pH'!AD82:AD88,'Bathing Beaches DO,pH'!AD99:AD108)</f>
        <v>0</v>
      </c>
      <c r="AA93" s="1580">
        <f>MAX('Bathing Beaches DO,pH'!AE67:AE71,'Bathing Beaches DO,pH'!AE82:AE88,'Bathing Beaches DO,pH'!AE99:AE108)</f>
        <v>0</v>
      </c>
      <c r="AB93" s="1580">
        <f>MAX('Bathing Beaches DO,pH'!AF67:AF71,'Bathing Beaches DO,pH'!AF82:AF88,'Bathing Beaches DO,pH'!AF99:AF108)</f>
        <v>0</v>
      </c>
      <c r="AC93" s="1580">
        <f>MAX('Bathing Beaches DO,pH'!AG67:AG71,'Bathing Beaches DO,pH'!AG82:AG88,'Bathing Beaches DO,pH'!AG99:AG108)</f>
        <v>0</v>
      </c>
      <c r="AD93" s="1580">
        <f>MAX('Bathing Beaches DO,pH'!AH67:AH71,'Bathing Beaches DO,pH'!AH82:AH88,'Bathing Beaches DO,pH'!AH99:AH108)</f>
        <v>0</v>
      </c>
      <c r="AE93" s="1580">
        <f>MAX('Bathing Beaches DO,pH'!AI67:AI71,'Bathing Beaches DO,pH'!AI82:AI88,'Bathing Beaches DO,pH'!AI99:AI108)</f>
        <v>0</v>
      </c>
    </row>
    <row r="94" spans="1:31">
      <c r="A94" s="3570"/>
      <c r="B94" s="3869" t="s">
        <v>207</v>
      </c>
      <c r="C94" s="1581" t="s">
        <v>312</v>
      </c>
      <c r="D94" s="1098">
        <f>MAX('Fecal Coliform'!C14:C18,'Fecal Coliform'!C27:C33,'Fecal Coliform'!C41:C50)</f>
        <v>125146495</v>
      </c>
      <c r="E94" s="1098">
        <f>MAX('Fecal Coliform'!D14:D18,'Fecal Coliform'!D27:D33,'Fecal Coliform'!D41:D50)</f>
        <v>37947</v>
      </c>
      <c r="F94" s="1098">
        <f>MAX('Fecal Coliform'!E14:E18,'Fecal Coliform'!E27:E33,'Fecal Coliform'!E41:E50)</f>
        <v>79000</v>
      </c>
      <c r="G94" s="1098">
        <f>MAX('Fecal Coliform'!F14:F18,'Fecal Coliform'!F27:F33,'Fecal Coliform'!F41:F50)</f>
        <v>45150</v>
      </c>
      <c r="H94" s="1098">
        <f>MAX('Fecal Coliform'!G14:G18,'Fecal Coliform'!G27:G33,'Fecal Coliform'!G41:G50)</f>
        <v>340000</v>
      </c>
      <c r="I94" s="1098">
        <f>MAX('Fecal Coliform'!H14:H18,'Fecal Coliform'!H27:H33,'Fecal Coliform'!H41:H50)</f>
        <v>540000</v>
      </c>
      <c r="J94" s="1098">
        <f>MAX('Fecal Coliform'!I14:I18,'Fecal Coliform'!I27:I33,'Fecal Coliform'!I41:I50)</f>
        <v>160000</v>
      </c>
      <c r="K94" s="1098">
        <f>MAX('Fecal Coliform'!J14:J18,'Fecal Coliform'!J27:J33,'Fecal Coliform'!J41:J50)</f>
        <v>16655.099999999999</v>
      </c>
      <c r="L94" s="1098">
        <f>MAX('Fecal Coliform'!K14:K18,'Fecal Coliform'!K27:K33,'Fecal Coliform'!K41:K50)</f>
        <v>28844.99</v>
      </c>
      <c r="M94" s="1098">
        <f>MAX('Fecal Coliform'!L14:L18,'Fecal Coliform'!L27:L33,'Fecal Coliform'!L41:L50)</f>
        <v>1600000</v>
      </c>
      <c r="N94" s="1098">
        <f>MAX('Fecal Coliform'!M14:M18,'Fecal Coliform'!M27:M33,'Fecal Coliform'!M41:M50)</f>
        <v>23664</v>
      </c>
      <c r="O94" s="1098">
        <f>MAX('Fecal Coliform'!N14:N18,'Fecal Coliform'!N27:N33,'Fecal Coliform'!N41:N50)</f>
        <v>15000</v>
      </c>
      <c r="P94" s="1098">
        <f>MAX('Fecal Coliform'!O14:O18,'Fecal Coliform'!O27:O33,'Fecal Coliform'!O41:O50)</f>
        <v>0</v>
      </c>
      <c r="Q94" s="1098">
        <f>MAX('Fecal Coliform'!P14:P18,'Fecal Coliform'!P27:P33,'Fecal Coliform'!P41:P50)</f>
        <v>700000</v>
      </c>
      <c r="R94" s="1098">
        <f>MAX('Fecal Coliform'!Q14:Q18,'Fecal Coliform'!Q27:Q33,'Fecal Coliform'!Q41:Q50)</f>
        <v>586666</v>
      </c>
      <c r="S94" s="1098">
        <f>MAX('Fecal Coliform'!R14:R18,'Fecal Coliform'!R27:R33,'Fecal Coliform'!R41:R50)</f>
        <v>215333</v>
      </c>
      <c r="T94" s="1098">
        <f>MAX('Fecal Coliform'!S14:S18,'Fecal Coliform'!S27:S33,'Fecal Coliform'!S41:S50)</f>
        <v>115666.67</v>
      </c>
      <c r="U94" s="1098" t="e">
        <f>MAX('Fecal Coliform'!#REF!,'Fecal Coliform'!#REF!,'Fecal Coliform'!#REF!)</f>
        <v>#REF!</v>
      </c>
      <c r="V94" s="1098">
        <f>MAX('Fecal Coliform'!T14:T18,'Fecal Coliform'!T27:T33,'Fecal Coliform'!T41:T50)</f>
        <v>21200000</v>
      </c>
      <c r="W94" s="1098" t="e">
        <f>MAX('Fecal Coliform'!#REF!,'Fecal Coliform'!#REF!,'Fecal Coliform'!#REF!)</f>
        <v>#REF!</v>
      </c>
      <c r="X94" s="1098">
        <f>MAX('Fecal Coliform'!U14:U18,'Fecal Coliform'!U27:U33,'Fecal Coliform'!U41:U50)</f>
        <v>0</v>
      </c>
      <c r="Y94" s="1098" t="e">
        <f>MAX('Fecal Coliform'!#REF!,'Fecal Coliform'!#REF!,'Fecal Coliform'!#REF!)</f>
        <v>#REF!</v>
      </c>
      <c r="Z94" s="1098">
        <f>MAX('Fecal Coliform'!V14:V18,'Fecal Coliform'!V27:V33,'Fecal Coliform'!V41:V50)</f>
        <v>133000000</v>
      </c>
      <c r="AA94" s="1098">
        <f>MAX('Fecal Coliform'!W14:W18,'Fecal Coliform'!W27:W33,'Fecal Coliform'!W41:W50)</f>
        <v>236643191.30000001</v>
      </c>
      <c r="AB94" s="1098">
        <f>MAX('Fecal Coliform'!X14:X18,'Fecal Coliform'!X27:X33,'Fecal Coliform'!X41:X50)</f>
        <v>223000000</v>
      </c>
      <c r="AC94" s="1098">
        <f>MAX('Fecal Coliform'!Y14:Y18,'Fecal Coliform'!Y27:Y33,'Fecal Coliform'!Y41:Y50)</f>
        <v>807000000</v>
      </c>
      <c r="AD94" s="1098">
        <f>MAX('Fecal Coliform'!Z14:Z18,'Fecal Coliform'!Z27:Z33,'Fecal Coliform'!Z41:Z50)</f>
        <v>453000000</v>
      </c>
      <c r="AE94" s="1098">
        <f>MAX('Fecal Coliform'!AA14:AA18,'Fecal Coliform'!AA27:AA33,'Fecal Coliform'!AA41:AA50)</f>
        <v>2010000000</v>
      </c>
    </row>
    <row r="95" spans="1:31" s="1560" customFormat="1">
      <c r="A95" s="3570"/>
      <c r="B95" s="3870"/>
      <c r="C95" s="1581" t="s">
        <v>313</v>
      </c>
      <c r="D95" s="1098">
        <f>MIN('Fecal Coliform'!C14:C18,'Fecal Coliform'!C27:C33,'Fecal Coliform'!C41:C50)</f>
        <v>224.38</v>
      </c>
      <c r="E95" s="1098">
        <f>MIN('Fecal Coliform'!D14:D18,'Fecal Coliform'!D27:D33,'Fecal Coliform'!D41:D50)</f>
        <v>198</v>
      </c>
      <c r="F95" s="1098">
        <f>MIN('Fecal Coliform'!E14:E18,'Fecal Coliform'!E27:E33,'Fecal Coliform'!E41:E50)</f>
        <v>500</v>
      </c>
      <c r="G95" s="1098">
        <f>MIN('Fecal Coliform'!F14:F18,'Fecal Coliform'!F27:F33,'Fecal Coliform'!F41:F50)</f>
        <v>390</v>
      </c>
      <c r="H95" s="1098">
        <f>MIN('Fecal Coliform'!G14:G18,'Fecal Coliform'!G27:G33,'Fecal Coliform'!G41:G50)</f>
        <v>5</v>
      </c>
      <c r="I95" s="1098">
        <f>MIN('Fecal Coliform'!H14:H18,'Fecal Coliform'!H27:H33,'Fecal Coliform'!H41:H50)</f>
        <v>79</v>
      </c>
      <c r="J95" s="1098">
        <f>MIN('Fecal Coliform'!I14:I18,'Fecal Coliform'!I27:I33,'Fecal Coliform'!I41:I50)</f>
        <v>500</v>
      </c>
      <c r="K95" s="1098">
        <f>MIN('Fecal Coliform'!J14:J18,'Fecal Coliform'!J27:J33,'Fecal Coliform'!J41:J50)</f>
        <v>22.8</v>
      </c>
      <c r="L95" s="1098">
        <f>MIN('Fecal Coliform'!K14:K18,'Fecal Coliform'!K27:K33,'Fecal Coliform'!K41:K50)</f>
        <v>151.97</v>
      </c>
      <c r="M95" s="1098">
        <f>MIN('Fecal Coliform'!L14:L18,'Fecal Coliform'!L27:L33,'Fecal Coliform'!L41:L50)</f>
        <v>131.52000000000001</v>
      </c>
      <c r="N95" s="1098">
        <f>MIN('Fecal Coliform'!M14:M18,'Fecal Coliform'!M27:M33,'Fecal Coliform'!M41:M50)</f>
        <v>393.28</v>
      </c>
      <c r="O95" s="1098">
        <f>MIN('Fecal Coliform'!N14:N18,'Fecal Coliform'!N27:N33,'Fecal Coliform'!N41:N50)</f>
        <v>376.67</v>
      </c>
      <c r="P95" s="1098">
        <f>MIN('Fecal Coliform'!O14:O18,'Fecal Coliform'!O27:O33,'Fecal Coliform'!O41:O50)</f>
        <v>0</v>
      </c>
      <c r="Q95" s="1098">
        <f>MIN('Fecal Coliform'!P14:P18,'Fecal Coliform'!P27:P33,'Fecal Coliform'!P41:P50)</f>
        <v>22.33</v>
      </c>
      <c r="R95" s="1098">
        <f>MIN('Fecal Coliform'!Q14:Q18,'Fecal Coliform'!Q27:Q33,'Fecal Coliform'!Q41:Q50)</f>
        <v>1600</v>
      </c>
      <c r="S95" s="1098">
        <f>MIN('Fecal Coliform'!R14:R18,'Fecal Coliform'!R27:R33,'Fecal Coliform'!R41:R50)</f>
        <v>256</v>
      </c>
      <c r="T95" s="1098">
        <f>MIN('Fecal Coliform'!S14:S18,'Fecal Coliform'!S27:S33,'Fecal Coliform'!S41:S50)</f>
        <v>116.67</v>
      </c>
      <c r="U95" s="1098" t="e">
        <f>MIN('Fecal Coliform'!#REF!,'Fecal Coliform'!#REF!,'Fecal Coliform'!#REF!)</f>
        <v>#REF!</v>
      </c>
      <c r="V95" s="1098">
        <f>MIN('Fecal Coliform'!T14:T18,'Fecal Coliform'!T27:T33,'Fecal Coliform'!T41:T50)</f>
        <v>212</v>
      </c>
      <c r="W95" s="1098" t="e">
        <f>MIN('Fecal Coliform'!#REF!,'Fecal Coliform'!#REF!,'Fecal Coliform'!#REF!)</f>
        <v>#REF!</v>
      </c>
      <c r="X95" s="1098">
        <f>MIN('Fecal Coliform'!U14:U18,'Fecal Coliform'!U27:U33,'Fecal Coliform'!U41:U50)</f>
        <v>0</v>
      </c>
      <c r="Y95" s="1098" t="e">
        <f>MIN('Fecal Coliform'!#REF!,'Fecal Coliform'!#REF!,'Fecal Coliform'!#REF!)</f>
        <v>#REF!</v>
      </c>
      <c r="Z95" s="1098">
        <f>MIN('Fecal Coliform'!V14:V18,'Fecal Coliform'!V27:V33,'Fecal Coliform'!V41:V50)</f>
        <v>2166.67</v>
      </c>
      <c r="AA95" s="1098">
        <f>MIN('Fecal Coliform'!W14:W18,'Fecal Coliform'!W27:W33,'Fecal Coliform'!W41:W50)</f>
        <v>68.753</v>
      </c>
      <c r="AB95" s="1098">
        <f>MIN('Fecal Coliform'!X14:X18,'Fecal Coliform'!X27:X33,'Fecal Coliform'!X41:X50)</f>
        <v>10.75</v>
      </c>
      <c r="AC95" s="1098">
        <f>MIN('Fecal Coliform'!Y14:Y18,'Fecal Coliform'!Y27:Y33,'Fecal Coliform'!Y41:Y50)</f>
        <v>357.0018</v>
      </c>
      <c r="AD95" s="1098">
        <f>MIN('Fecal Coliform'!Z14:Z18,'Fecal Coliform'!Z27:Z33,'Fecal Coliform'!Z41:Z50)</f>
        <v>428.88</v>
      </c>
      <c r="AE95" s="1098">
        <f>MIN('Fecal Coliform'!AA14:AA18,'Fecal Coliform'!AA27:AA33,'Fecal Coliform'!AA41:AA50)</f>
        <v>234.77</v>
      </c>
    </row>
    <row r="96" spans="1:31" s="1560" customFormat="1">
      <c r="A96" s="3570"/>
      <c r="B96" s="3871"/>
      <c r="C96" s="1581" t="s">
        <v>315</v>
      </c>
      <c r="D96" s="1098">
        <f>AVERAGE('Fecal Coliform'!C14:C18,'Fecal Coliform'!C27:C33,'Fecal Coliform'!C41:C50)</f>
        <v>9446964.550714286</v>
      </c>
      <c r="E96" s="1098">
        <f>AVERAGE('Fecal Coliform'!D14:D18,'Fecal Coliform'!D27:D33,'Fecal Coliform'!D41:D50)</f>
        <v>7345.0714285714284</v>
      </c>
      <c r="F96" s="1098">
        <f>AVERAGE('Fecal Coliform'!E14:E18,'Fecal Coliform'!E27:E33,'Fecal Coliform'!E41:E50)</f>
        <v>15490.857142857143</v>
      </c>
      <c r="G96" s="1098">
        <f>AVERAGE('Fecal Coliform'!F14:F18,'Fecal Coliform'!F27:F33,'Fecal Coliform'!F41:F50)</f>
        <v>6685</v>
      </c>
      <c r="H96" s="1098">
        <f>AVERAGE('Fecal Coliform'!G14:G18,'Fecal Coliform'!G27:G33,'Fecal Coliform'!G41:G50)</f>
        <v>30090.40625</v>
      </c>
      <c r="I96" s="1098">
        <f>AVERAGE('Fecal Coliform'!H14:H18,'Fecal Coliform'!H27:H33,'Fecal Coliform'!H41:H50)</f>
        <v>54766.227272727272</v>
      </c>
      <c r="J96" s="1098">
        <f>AVERAGE('Fecal Coliform'!I14:I18,'Fecal Coliform'!I27:I33,'Fecal Coliform'!I41:I50)</f>
        <v>41393.582050000005</v>
      </c>
      <c r="K96" s="1098">
        <f>AVERAGE('Fecal Coliform'!J14:J18,'Fecal Coliform'!J27:J33,'Fecal Coliform'!J41:J50)</f>
        <v>2558.6449999999995</v>
      </c>
      <c r="L96" s="1098">
        <f>AVERAGE('Fecal Coliform'!K14:K18,'Fecal Coliform'!K27:K33,'Fecal Coliform'!K41:K50)</f>
        <v>7160.2844999999988</v>
      </c>
      <c r="M96" s="1098">
        <f>AVERAGE('Fecal Coliform'!L14:L18,'Fecal Coliform'!L27:L33,'Fecal Coliform'!L41:L50)</f>
        <v>124049.7510526316</v>
      </c>
      <c r="N96" s="1098">
        <f>AVERAGE('Fecal Coliform'!M14:M18,'Fecal Coliform'!M27:M33,'Fecal Coliform'!M41:M50)</f>
        <v>10820.305714285714</v>
      </c>
      <c r="O96" s="1098">
        <f>AVERAGE('Fecal Coliform'!N14:N18,'Fecal Coliform'!N27:N33,'Fecal Coliform'!N41:N50)</f>
        <v>5199.8888888888887</v>
      </c>
      <c r="P96" s="1098" t="e">
        <f>AVERAGE('Fecal Coliform'!O14:O18,'Fecal Coliform'!O27:O33,'Fecal Coliform'!O41:O50)</f>
        <v>#DIV/0!</v>
      </c>
      <c r="Q96" s="1098">
        <f>AVERAGE('Fecal Coliform'!P14:P18,'Fecal Coliform'!P27:P33,'Fecal Coliform'!P41:P50)</f>
        <v>112801.41210526317</v>
      </c>
      <c r="R96" s="1098">
        <f>AVERAGE('Fecal Coliform'!Q14:Q18,'Fecal Coliform'!Q27:Q33,'Fecal Coliform'!Q41:Q50)</f>
        <v>65604.736842105267</v>
      </c>
      <c r="S96" s="1098">
        <f>AVERAGE('Fecal Coliform'!R14:R18,'Fecal Coliform'!R27:R33,'Fecal Coliform'!R41:R50)</f>
        <v>30885.612631578948</v>
      </c>
      <c r="T96" s="1098">
        <f>AVERAGE('Fecal Coliform'!S14:S18,'Fecal Coliform'!S27:S33,'Fecal Coliform'!S41:S50)</f>
        <v>11369.326428571429</v>
      </c>
      <c r="U96" s="1098" t="e">
        <f>AVERAGE('Fecal Coliform'!#REF!,'Fecal Coliform'!#REF!,'Fecal Coliform'!#REF!)</f>
        <v>#REF!</v>
      </c>
      <c r="V96" s="1098">
        <f>AVERAGE('Fecal Coliform'!T14:T18,'Fecal Coliform'!T27:T33,'Fecal Coliform'!T41:T50)</f>
        <v>1472676.9473684211</v>
      </c>
      <c r="W96" s="1098" t="e">
        <f>AVERAGE('Fecal Coliform'!#REF!,'Fecal Coliform'!#REF!,'Fecal Coliform'!#REF!)</f>
        <v>#REF!</v>
      </c>
      <c r="X96" s="1098" t="e">
        <f>AVERAGE('Fecal Coliform'!U14:U18,'Fecal Coliform'!U27:U33,'Fecal Coliform'!U41:U50)</f>
        <v>#DIV/0!</v>
      </c>
      <c r="Y96" s="1098" t="e">
        <f>AVERAGE('Fecal Coliform'!#REF!,'Fecal Coliform'!#REF!,'Fecal Coliform'!#REF!)</f>
        <v>#REF!</v>
      </c>
      <c r="Z96" s="1098">
        <f>AVERAGE('Fecal Coliform'!V14:V18,'Fecal Coliform'!V27:V33,'Fecal Coliform'!V41:V50)</f>
        <v>32879133.704444449</v>
      </c>
      <c r="AA96" s="1098">
        <f>AVERAGE('Fecal Coliform'!W14:W18,'Fecal Coliform'!W27:W33,'Fecal Coliform'!W41:W50)</f>
        <v>30983988.106926329</v>
      </c>
      <c r="AB96" s="1098">
        <f>AVERAGE('Fecal Coliform'!X14:X18,'Fecal Coliform'!X27:X33,'Fecal Coliform'!X41:X50)</f>
        <v>27002737.126152631</v>
      </c>
      <c r="AC96" s="1098">
        <f>AVERAGE('Fecal Coliform'!Y14:Y18,'Fecal Coliform'!Y27:Y33,'Fecal Coliform'!Y41:Y50)</f>
        <v>63908956.779200003</v>
      </c>
      <c r="AD96" s="1098">
        <f>AVERAGE('Fecal Coliform'!Z14:Z18,'Fecal Coliform'!Z27:Z33,'Fecal Coliform'!Z41:Z50)</f>
        <v>29376703.65263157</v>
      </c>
      <c r="AE96" s="1098">
        <f>AVERAGE('Fecal Coliform'!AA14:AA18,'Fecal Coliform'!AA27:AA33,'Fecal Coliform'!AA41:AA50)</f>
        <v>141160340.64333332</v>
      </c>
    </row>
    <row r="97" spans="1:31">
      <c r="A97" s="3570"/>
      <c r="B97" s="3869" t="s">
        <v>206</v>
      </c>
      <c r="C97" s="1581" t="s">
        <v>312</v>
      </c>
      <c r="D97" s="1098">
        <f>MAX('Total Coliform'!C14:C18,'Total Coliform'!C27:C33,'Total Coliform'!C42:C51)</f>
        <v>362208644</v>
      </c>
      <c r="E97" s="1098">
        <f>MAX('Total Coliform'!D14:D18,'Total Coliform'!D27:D33,'Total Coliform'!D42:D51)</f>
        <v>90000</v>
      </c>
      <c r="F97" s="1098">
        <f>MAX('Total Coliform'!E14:E18,'Total Coliform'!E27:E33,'Total Coliform'!E42:E51)</f>
        <v>250000</v>
      </c>
      <c r="G97" s="1098">
        <f>MAX('Total Coliform'!F14:F18,'Total Coliform'!F27:F33,'Total Coliform'!F42:F51)</f>
        <v>233000</v>
      </c>
      <c r="H97" s="1098">
        <f>MAX('Total Coliform'!G14:G18,'Total Coliform'!G27:G33,'Total Coliform'!G42:G51)</f>
        <v>390000</v>
      </c>
      <c r="I97" s="1098">
        <f>MAX('Total Coliform'!H14:H18,'Total Coliform'!H27:H33,'Total Coliform'!H42:H51)</f>
        <v>3500000</v>
      </c>
      <c r="J97" s="1098">
        <f>MAX('Total Coliform'!I14:I18,'Total Coliform'!I27:I33,'Total Coliform'!I42:I51)</f>
        <v>311549.64610000001</v>
      </c>
      <c r="K97" s="1098">
        <f>MAX('Total Coliform'!J14:J18,'Total Coliform'!J27:J33,'Total Coliform'!J42:J51)</f>
        <v>18333.330000000002</v>
      </c>
      <c r="L97" s="1098">
        <f>MAX('Total Coliform'!L14:L18,'Total Coliform'!L27:L33,'Total Coliform'!L42:L51)</f>
        <v>280000</v>
      </c>
      <c r="M97" s="1098">
        <f>MAX('Total Coliform'!M14:M18,'Total Coliform'!M27:M33,'Total Coliform'!M42:M51)</f>
        <v>9200000</v>
      </c>
      <c r="N97" s="1098">
        <f>MAX('Total Coliform'!N14:N18,'Total Coliform'!N27:N33,'Total Coliform'!N42:N51)</f>
        <v>209659.31</v>
      </c>
      <c r="O97" s="1098">
        <f>MAX('Total Coliform'!O14:O18,'Total Coliform'!O27:O33,'Total Coliform'!O42:O51)</f>
        <v>26333.33</v>
      </c>
      <c r="P97" s="1098">
        <f>MAX('Total Coliform'!Q14:Q18,'Total Coliform'!Q27:Q33,'Total Coliform'!Q42:Q51)</f>
        <v>34897.660000000003</v>
      </c>
      <c r="Q97" s="1098">
        <f>MAX('Total Coliform'!R14:R18,'Total Coliform'!R27:R33,'Total Coliform'!R42:R51)</f>
        <v>2000000</v>
      </c>
      <c r="R97" s="1098">
        <f>MAX('Total Coliform'!S14:S18,'Total Coliform'!S27:S33,'Total Coliform'!S42:S51)</f>
        <v>367000</v>
      </c>
      <c r="S97" s="1098">
        <f>MAX('Total Coliform'!T14:T18,'Total Coliform'!T27:T33,'Total Coliform'!T42:T51)</f>
        <v>580000</v>
      </c>
      <c r="T97" s="1098">
        <f>MAX('Total Coliform'!U14:U18,'Total Coliform'!U27:U33,'Total Coliform'!U42:U51)</f>
        <v>256666.67</v>
      </c>
      <c r="U97" s="1098">
        <f>MAX('Total Coliform'!V14:V18,'Total Coliform'!V27:V33,'Total Coliform'!V42:V51)</f>
        <v>70300000</v>
      </c>
      <c r="V97" s="1098">
        <f>MAX('Total Coliform'!W14:W18,'Total Coliform'!W27:W33,'Total Coliform'!W42:W51)</f>
        <v>0</v>
      </c>
      <c r="W97" s="1098">
        <f>MAX('Total Coliform'!X14:X18,'Total Coliform'!X27:X33,'Total Coliform'!X42:X51)</f>
        <v>224000000</v>
      </c>
      <c r="X97" s="1098" t="e">
        <f>MAX('Total Coliform'!#REF!,'Total Coliform'!#REF!,'Total Coliform'!#REF!)</f>
        <v>#REF!</v>
      </c>
      <c r="Y97" s="1098">
        <f>MAX('Total Coliform'!Y14:Y18,'Total Coliform'!Y27:Y33,'Total Coliform'!Y42:Y51)</f>
        <v>434741302.39999998</v>
      </c>
      <c r="Z97" s="1098" t="e">
        <f>MAX('Total Coliform'!#REF!,'Total Coliform'!#REF!,'Total Coliform'!#REF!)</f>
        <v>#REF!</v>
      </c>
      <c r="AA97" s="1098">
        <f>MAX('Total Coliform'!Z14:Z18,'Total Coliform'!Z27:Z33,'Total Coliform'!Z42:Z51)</f>
        <v>580000000</v>
      </c>
      <c r="AB97" s="1098" t="e">
        <f>MAX('Total Coliform'!#REF!,'Total Coliform'!#REF!,'Total Coliform'!#REF!)</f>
        <v>#REF!</v>
      </c>
      <c r="AC97" s="1098">
        <f>MAX('Total Coliform'!AA14:AA18,'Total Coliform'!AA27:AA33,'Total Coliform'!AA42:AA51)</f>
        <v>160000</v>
      </c>
      <c r="AD97" s="1098">
        <f>MAX('Total Coliform'!AB14:AB18,'Total Coliform'!AB27:AB33,'Total Coliform'!AB42:AB51)</f>
        <v>409878</v>
      </c>
      <c r="AE97" s="1098">
        <f>MAX('Total Coliform'!AC14:AC18,'Total Coliform'!AC27:AC33,'Total Coliform'!AC42:AC51)</f>
        <v>0</v>
      </c>
    </row>
    <row r="98" spans="1:31">
      <c r="A98" s="3570"/>
      <c r="B98" s="3870"/>
      <c r="C98" s="1581" t="s">
        <v>313</v>
      </c>
      <c r="D98" s="1098">
        <f>MIN('Total Coliform'!C14:C18,'Total Coliform'!C27:C33,'Total Coliform'!C42:C51)</f>
        <v>324.97000000000003</v>
      </c>
      <c r="E98" s="1098">
        <f>MIN('Total Coliform'!D14:D18,'Total Coliform'!D27:D33,'Total Coliform'!D42:D51)</f>
        <v>354</v>
      </c>
      <c r="F98" s="1098">
        <f>MIN('Total Coliform'!E14:E18,'Total Coliform'!E27:E33,'Total Coliform'!E42:E51)</f>
        <v>500</v>
      </c>
      <c r="G98" s="1098">
        <f>MIN('Total Coliform'!F14:F18,'Total Coliform'!F27:F33,'Total Coliform'!F42:F51)</f>
        <v>390</v>
      </c>
      <c r="H98" s="1098">
        <f>MIN('Total Coliform'!G14:G18,'Total Coliform'!G27:G33,'Total Coliform'!G42:G51)</f>
        <v>29</v>
      </c>
      <c r="I98" s="1098">
        <f>MIN('Total Coliform'!H14:H18,'Total Coliform'!H27:H33,'Total Coliform'!H42:H51)</f>
        <v>79</v>
      </c>
      <c r="J98" s="1098">
        <f>MIN('Total Coliform'!I14:I18,'Total Coliform'!I27:I33,'Total Coliform'!I42:I51)</f>
        <v>9000</v>
      </c>
      <c r="K98" s="1098">
        <f>MIN('Total Coliform'!J14:J18,'Total Coliform'!J27:J33,'Total Coliform'!J42:J51)</f>
        <v>83.66</v>
      </c>
      <c r="L98" s="1098">
        <f>MIN('Total Coliform'!L14:L18,'Total Coliform'!L27:L33,'Total Coliform'!L42:L51)</f>
        <v>186.4</v>
      </c>
      <c r="M98" s="1098">
        <f>MIN('Total Coliform'!M14:M18,'Total Coliform'!M27:M33,'Total Coliform'!M42:M51)</f>
        <v>303</v>
      </c>
      <c r="N98" s="1098">
        <f>MIN('Total Coliform'!N14:N18,'Total Coliform'!N27:N33,'Total Coliform'!N42:N51)</f>
        <v>768.35</v>
      </c>
      <c r="O98" s="1098">
        <f>MIN('Total Coliform'!O14:O18,'Total Coliform'!O27:O33,'Total Coliform'!O42:O51)</f>
        <v>576.6</v>
      </c>
      <c r="P98" s="1098">
        <f>MIN('Total Coliform'!Q14:Q18,'Total Coliform'!Q27:Q33,'Total Coliform'!Q42:Q51)</f>
        <v>123.94</v>
      </c>
      <c r="Q98" s="1098">
        <f>MIN('Total Coliform'!R14:R18,'Total Coliform'!R27:R33,'Total Coliform'!R42:R51)</f>
        <v>103.3</v>
      </c>
      <c r="R98" s="1098">
        <f>MIN('Total Coliform'!S14:S18,'Total Coliform'!S27:S33,'Total Coliform'!S42:S51)</f>
        <v>576</v>
      </c>
      <c r="S98" s="1098">
        <f>MIN('Total Coliform'!T14:T18,'Total Coliform'!T27:T33,'Total Coliform'!T42:T51)</f>
        <v>258</v>
      </c>
      <c r="T98" s="1098">
        <f>MIN('Total Coliform'!U14:U18,'Total Coliform'!U27:U33,'Total Coliform'!U42:U51)</f>
        <v>170</v>
      </c>
      <c r="U98" s="1098">
        <f>MIN('Total Coliform'!V14:V18,'Total Coliform'!V27:V33,'Total Coliform'!V42:V51)</f>
        <v>300</v>
      </c>
      <c r="V98" s="1098">
        <f>MIN('Total Coliform'!W14:W18,'Total Coliform'!W27:W33,'Total Coliform'!W42:W51)</f>
        <v>0</v>
      </c>
      <c r="W98" s="1098">
        <f>MIN('Total Coliform'!X14:X18,'Total Coliform'!X27:X33,'Total Coliform'!X42:X51)</f>
        <v>1263.33</v>
      </c>
      <c r="X98" s="1098" t="e">
        <f>MIN('Total Coliform'!#REF!,'Total Coliform'!#REF!,'Total Coliform'!#REF!)</f>
        <v>#REF!</v>
      </c>
      <c r="Y98" s="1098">
        <f>MIN('Total Coliform'!Y14:Y18,'Total Coliform'!Y27:Y33,'Total Coliform'!Y42:Y51)</f>
        <v>195.63890000000001</v>
      </c>
      <c r="Z98" s="1098" t="e">
        <f>MIN('Total Coliform'!#REF!,'Total Coliform'!#REF!,'Total Coliform'!#REF!)</f>
        <v>#REF!</v>
      </c>
      <c r="AA98" s="1098">
        <f>MIN('Total Coliform'!Z14:Z18,'Total Coliform'!Z27:Z33,'Total Coliform'!Z42:Z51)</f>
        <v>20</v>
      </c>
      <c r="AB98" s="1098" t="e">
        <f>MIN('Total Coliform'!#REF!,'Total Coliform'!#REF!,'Total Coliform'!#REF!)</f>
        <v>#REF!</v>
      </c>
      <c r="AC98" s="1098">
        <f>MIN('Total Coliform'!AA14:AA18,'Total Coliform'!AA27:AA33,'Total Coliform'!AA42:AA51)</f>
        <v>659.8499812</v>
      </c>
      <c r="AD98" s="1098">
        <f>MIN('Total Coliform'!AB14:AB18,'Total Coliform'!AB27:AB33,'Total Coliform'!AB42:AB51)</f>
        <v>1442.7</v>
      </c>
      <c r="AE98" s="1098">
        <f>MIN('Total Coliform'!AC14:AC18,'Total Coliform'!AC27:AC33,'Total Coliform'!AC42:AC51)</f>
        <v>0</v>
      </c>
    </row>
    <row r="99" spans="1:31">
      <c r="A99" s="3571"/>
      <c r="B99" s="3871"/>
      <c r="C99" s="1581" t="s">
        <v>315</v>
      </c>
      <c r="D99" s="1098">
        <f>AVERAGE('Total Coliform'!C14:C18,'Total Coliform'!C27:C33,'Total Coliform'!C42:C51)</f>
        <v>26747113.807142857</v>
      </c>
      <c r="E99" s="1098">
        <f>AVERAGE('Total Coliform'!D14:D18,'Total Coliform'!D27:D33,'Total Coliform'!D42:D51)</f>
        <v>15577</v>
      </c>
      <c r="F99" s="1098">
        <f>AVERAGE('Total Coliform'!E14:E18,'Total Coliform'!E27:E33,'Total Coliform'!E42:E51)</f>
        <v>34375.642857142855</v>
      </c>
      <c r="G99" s="1098">
        <f>AVERAGE('Total Coliform'!F14:F18,'Total Coliform'!F27:F33,'Total Coliform'!F42:F51)</f>
        <v>31876.714285714286</v>
      </c>
      <c r="H99" s="1098">
        <f>AVERAGE('Total Coliform'!G14:G18,'Total Coliform'!G27:G33,'Total Coliform'!G42:G51)</f>
        <v>41922.9375</v>
      </c>
      <c r="I99" s="1098">
        <f>AVERAGE('Total Coliform'!H14:H18,'Total Coliform'!H27:H33,'Total Coliform'!H42:H51)</f>
        <v>320933.04761904763</v>
      </c>
      <c r="J99" s="1098">
        <f>AVERAGE('Total Coliform'!I14:I18,'Total Coliform'!I27:I33,'Total Coliform'!I42:I51)</f>
        <v>72486.650263571428</v>
      </c>
      <c r="K99" s="1098">
        <f>AVERAGE('Total Coliform'!J14:J18,'Total Coliform'!J27:J33,'Total Coliform'!J42:J51)</f>
        <v>3991.0664285714292</v>
      </c>
      <c r="L99" s="1098">
        <f>AVERAGE('Total Coliform'!L14:L18,'Total Coliform'!L27:L33,'Total Coliform'!L42:L51)</f>
        <v>36640.979473684216</v>
      </c>
      <c r="M99" s="1098">
        <f>AVERAGE('Total Coliform'!M14:M18,'Total Coliform'!M27:M33,'Total Coliform'!M42:M51)</f>
        <v>733786.42105263157</v>
      </c>
      <c r="N99" s="1098">
        <f>AVERAGE('Total Coliform'!N14:N18,'Total Coliform'!N27:N33,'Total Coliform'!N42:N51)</f>
        <v>40871.506153846152</v>
      </c>
      <c r="O99" s="1098">
        <f>AVERAGE('Total Coliform'!O14:O18,'Total Coliform'!O27:O33,'Total Coliform'!O42:O51)</f>
        <v>11609.695555555556</v>
      </c>
      <c r="P99" s="1098">
        <f>AVERAGE('Total Coliform'!Q14:Q18,'Total Coliform'!Q27:Q33,'Total Coliform'!Q42:Q51)</f>
        <v>6423.42</v>
      </c>
      <c r="Q99" s="1098">
        <f>AVERAGE('Total Coliform'!R14:R18,'Total Coliform'!R27:R33,'Total Coliform'!R42:R51)</f>
        <v>356639.32631578943</v>
      </c>
      <c r="R99" s="1098">
        <f>AVERAGE('Total Coliform'!S14:S18,'Total Coliform'!S27:S33,'Total Coliform'!S42:S51)</f>
        <v>38057.73684210526</v>
      </c>
      <c r="S99" s="1098">
        <f>AVERAGE('Total Coliform'!T14:T18,'Total Coliform'!T27:T33,'Total Coliform'!T42:T51)</f>
        <v>61674.263157894726</v>
      </c>
      <c r="T99" s="1098">
        <f>AVERAGE('Total Coliform'!U14:U18,'Total Coliform'!U27:U33,'Total Coliform'!U42:U51)</f>
        <v>21946.160000000003</v>
      </c>
      <c r="U99" s="1098">
        <f>AVERAGE('Total Coliform'!V14:V18,'Total Coliform'!V27:V33,'Total Coliform'!V42:V51)</f>
        <v>4416330.3505263152</v>
      </c>
      <c r="V99" s="1098" t="e">
        <f>AVERAGE('Total Coliform'!W14:W18,'Total Coliform'!W27:W33,'Total Coliform'!W42:W51)</f>
        <v>#DIV/0!</v>
      </c>
      <c r="W99" s="1098">
        <f>AVERAGE('Total Coliform'!X14:X18,'Total Coliform'!X27:X33,'Total Coliform'!X42:X51)</f>
        <v>47612365.555555552</v>
      </c>
      <c r="X99" s="1098" t="e">
        <f>AVERAGE('Total Coliform'!#REF!,'Total Coliform'!#REF!,'Total Coliform'!#REF!)</f>
        <v>#REF!</v>
      </c>
      <c r="Y99" s="1098">
        <f>AVERAGE('Total Coliform'!Y14:Y18,'Total Coliform'!Y27:Y33,'Total Coliform'!Y42:Y51)</f>
        <v>54491732.788883321</v>
      </c>
      <c r="Z99" s="1098" t="e">
        <f>AVERAGE('Total Coliform'!#REF!,'Total Coliform'!#REF!,'Total Coliform'!#REF!)</f>
        <v>#REF!</v>
      </c>
      <c r="AA99" s="1098">
        <f>AVERAGE('Total Coliform'!Z14:Z18,'Total Coliform'!Z27:Z33,'Total Coliform'!Z42:Z51)</f>
        <v>61304796.28375262</v>
      </c>
      <c r="AB99" s="1098" t="e">
        <f>AVERAGE('Total Coliform'!#REF!,'Total Coliform'!#REF!,'Total Coliform'!#REF!)</f>
        <v>#REF!</v>
      </c>
      <c r="AC99" s="1098">
        <f>AVERAGE('Total Coliform'!AA14:AA18,'Total Coliform'!AA27:AA33,'Total Coliform'!AA42:AA51)</f>
        <v>27134.408150228574</v>
      </c>
      <c r="AD99" s="1098">
        <f>AVERAGE('Total Coliform'!AB14:AB18,'Total Coliform'!AB27:AB33,'Total Coliform'!AB42:AB51)</f>
        <v>66862.310000000012</v>
      </c>
      <c r="AE99" s="1098" t="e">
        <f>AVERAGE('Total Coliform'!AC14:AC18,'Total Coliform'!AC27:AC33,'Total Coliform'!AC42:AC51)</f>
        <v>#DIV/0!</v>
      </c>
    </row>
    <row r="100" spans="1:31">
      <c r="A100" s="1103" t="s">
        <v>320</v>
      </c>
      <c r="B100" s="1577"/>
      <c r="C100" s="1582"/>
      <c r="D100" s="1577"/>
      <c r="E100" s="1577"/>
      <c r="F100" s="1577"/>
      <c r="G100" s="1577"/>
      <c r="H100" s="1577"/>
      <c r="I100" s="1577"/>
      <c r="J100" s="1577"/>
      <c r="K100" s="1577"/>
      <c r="L100" s="1577"/>
      <c r="M100" s="1577"/>
      <c r="N100" s="1577"/>
      <c r="O100" s="1577"/>
      <c r="P100" s="1577"/>
      <c r="Q100" s="1577"/>
      <c r="R100" s="1577"/>
      <c r="S100" s="1577"/>
      <c r="T100" s="1577"/>
      <c r="U100" s="1577"/>
      <c r="V100" s="1577"/>
      <c r="W100" s="1577"/>
      <c r="X100" s="1577"/>
      <c r="Y100" s="1577"/>
      <c r="Z100" s="1577"/>
      <c r="AA100" s="1577"/>
      <c r="AB100" s="1577"/>
      <c r="AC100" s="1577"/>
      <c r="AD100" s="1577"/>
      <c r="AE100" s="1577"/>
    </row>
    <row r="101" spans="1:31">
      <c r="A101" s="3873" t="s">
        <v>173</v>
      </c>
      <c r="B101" s="3869" t="s">
        <v>201</v>
      </c>
      <c r="C101" s="1581" t="s">
        <v>312</v>
      </c>
      <c r="D101" s="1577">
        <f>MAX('Offshore DO, pH, Phos. Sal. Con'!D59:D67)</f>
        <v>7.23</v>
      </c>
      <c r="E101" s="1561" t="s">
        <v>82</v>
      </c>
      <c r="F101" s="1577">
        <f>MAX('Offshore DO, pH, Phos. Sal. Con'!F59:F67)</f>
        <v>7.33</v>
      </c>
      <c r="G101" s="1577">
        <f>MAX('Offshore DO, pH, Phos. Sal. Con'!G59:G67)</f>
        <v>7.66</v>
      </c>
      <c r="H101" s="1577">
        <f>MAX('Offshore DO, pH, Phos. Sal. Con'!H59:H67)</f>
        <v>12.35</v>
      </c>
      <c r="I101" s="1577">
        <f>MAX('Offshore DO, pH, Phos. Sal. Con'!I59:I67)</f>
        <v>75.28</v>
      </c>
      <c r="J101" s="1577">
        <f>MAX('Offshore DO, pH, Phos. Sal. Con'!J59:J67)</f>
        <v>11.68</v>
      </c>
      <c r="K101" s="1577">
        <f>MAX('Offshore DO, pH, Phos. Sal. Con'!K59:K67)</f>
        <v>10.199999999999999</v>
      </c>
      <c r="L101" s="1577">
        <f>MAX('Offshore DO, pH, Phos. Sal. Con'!L59:L67)</f>
        <v>7.85</v>
      </c>
      <c r="M101" s="1577">
        <f>MAX('Offshore DO, pH, Phos. Sal. Con'!M59:M67)</f>
        <v>10.25</v>
      </c>
      <c r="N101" s="1577">
        <f>MAX('Offshore DO, pH, Phos. Sal. Con'!N59:N67)</f>
        <v>10.77</v>
      </c>
      <c r="O101" s="1577">
        <f>MAX('Offshore DO, pH, Phos. Sal. Con'!O59:O67)</f>
        <v>0</v>
      </c>
      <c r="P101" s="1577">
        <f>MAX('Offshore DO, pH, Phos. Sal. Con'!P59:P67)</f>
        <v>7.81</v>
      </c>
      <c r="Q101" s="1577"/>
      <c r="R101" s="1577"/>
      <c r="S101" s="1577"/>
      <c r="T101" s="1577"/>
      <c r="U101" s="1577"/>
      <c r="V101" s="1577"/>
      <c r="W101" s="1577"/>
      <c r="X101" s="1577"/>
      <c r="Y101" s="1577"/>
      <c r="Z101" s="1577"/>
      <c r="AA101" s="1577"/>
      <c r="AB101" s="1577"/>
      <c r="AC101" s="1577"/>
      <c r="AD101" s="1577"/>
      <c r="AE101" s="1577"/>
    </row>
    <row r="102" spans="1:31" s="1560" customFormat="1">
      <c r="A102" s="3874"/>
      <c r="B102" s="3870"/>
      <c r="C102" s="1581" t="s">
        <v>313</v>
      </c>
      <c r="D102" s="1577">
        <f>MIN('Offshore DO, pH, Phos. Sal. Con'!D59:D67)</f>
        <v>4.74</v>
      </c>
      <c r="E102" s="1561" t="s">
        <v>82</v>
      </c>
      <c r="F102" s="1577">
        <f>MIN('Offshore DO, pH, Phos. Sal. Con'!F59:F67)</f>
        <v>5.28</v>
      </c>
      <c r="G102" s="1577">
        <f>MIN('Offshore DO, pH, Phos. Sal. Con'!G59:G67)</f>
        <v>4.91</v>
      </c>
      <c r="H102" s="1577">
        <f>MIN('Offshore DO, pH, Phos. Sal. Con'!H59:H67)</f>
        <v>4.8600000000000003</v>
      </c>
      <c r="I102" s="1577">
        <f>MIN('Offshore DO, pH, Phos. Sal. Con'!I59:I67)</f>
        <v>6.85</v>
      </c>
      <c r="J102" s="1577">
        <f>MIN('Offshore DO, pH, Phos. Sal. Con'!J59:J67)</f>
        <v>7.53</v>
      </c>
      <c r="K102" s="1577">
        <f>MIN('Offshore DO, pH, Phos. Sal. Con'!K59:K67)</f>
        <v>7.18</v>
      </c>
      <c r="L102" s="1577">
        <f>MIN('Offshore DO, pH, Phos. Sal. Con'!L59:L67)</f>
        <v>7.15</v>
      </c>
      <c r="M102" s="1577">
        <f>MIN('Offshore DO, pH, Phos. Sal. Con'!M59:M67)</f>
        <v>6.42</v>
      </c>
      <c r="N102" s="1577">
        <f>MIN('Offshore DO, pH, Phos. Sal. Con'!N59:N67)</f>
        <v>7.82</v>
      </c>
      <c r="O102" s="1577">
        <f>MIN('Offshore DO, pH, Phos. Sal. Con'!O59:O67)</f>
        <v>0</v>
      </c>
      <c r="P102" s="1577">
        <f>MIN('Offshore DO, pH, Phos. Sal. Con'!P59:P67)</f>
        <v>6.85</v>
      </c>
      <c r="Q102" s="1577"/>
      <c r="R102" s="1577"/>
      <c r="S102" s="1577"/>
      <c r="T102" s="1577"/>
      <c r="U102" s="1577"/>
      <c r="V102" s="1577"/>
      <c r="W102" s="1577"/>
      <c r="X102" s="1577"/>
      <c r="Y102" s="1577"/>
      <c r="Z102" s="1577"/>
      <c r="AA102" s="1577"/>
      <c r="AB102" s="1577"/>
      <c r="AC102" s="1577"/>
      <c r="AD102" s="1577"/>
      <c r="AE102" s="1577"/>
    </row>
    <row r="103" spans="1:31" s="1560" customFormat="1">
      <c r="A103" s="3874"/>
      <c r="B103" s="3871"/>
      <c r="C103" s="1581" t="s">
        <v>315</v>
      </c>
      <c r="D103" s="1580">
        <f>AVERAGE('Offshore DO, pH, Phos. Sal. Con'!D59:D67)</f>
        <v>5.9622222222222216</v>
      </c>
      <c r="E103" s="1561" t="s">
        <v>82</v>
      </c>
      <c r="F103" s="1580">
        <f>AVERAGE('Offshore DO, pH, Phos. Sal. Con'!F59:F67)</f>
        <v>6.1540000000000008</v>
      </c>
      <c r="G103" s="1580">
        <f>AVERAGE('Offshore DO, pH, Phos. Sal. Con'!G59:G67)</f>
        <v>6.477142857142856</v>
      </c>
      <c r="H103" s="1580">
        <f>AVERAGE('Offshore DO, pH, Phos. Sal. Con'!H59:H67)</f>
        <v>7.41</v>
      </c>
      <c r="I103" s="1580">
        <f>AVERAGE('Offshore DO, pH, Phos. Sal. Con'!I59:I67)</f>
        <v>15.536666666666665</v>
      </c>
      <c r="J103" s="1580">
        <f>AVERAGE('Offshore DO, pH, Phos. Sal. Con'!J59:J67)</f>
        <v>9.1512499999999992</v>
      </c>
      <c r="K103" s="1580">
        <f>AVERAGE('Offshore DO, pH, Phos. Sal. Con'!K59:K67)</f>
        <v>8.2633333333333336</v>
      </c>
      <c r="L103" s="1580">
        <f>AVERAGE('Offshore DO, pH, Phos. Sal. Con'!L59:L67)</f>
        <v>7.3900000000000006</v>
      </c>
      <c r="M103" s="1580">
        <f>AVERAGE('Offshore DO, pH, Phos. Sal. Con'!M59:M67)</f>
        <v>8.5677777777777777</v>
      </c>
      <c r="N103" s="1580">
        <f>AVERAGE('Offshore DO, pH, Phos. Sal. Con'!N59:N67)</f>
        <v>8.9933333333333323</v>
      </c>
      <c r="O103" s="1580">
        <f>AVERAGE('Offshore DO, pH, Phos. Sal. Con'!O59:O67)</f>
        <v>0</v>
      </c>
      <c r="P103" s="1580">
        <f>AVERAGE('Offshore DO, pH, Phos. Sal. Con'!P59:P67)</f>
        <v>7.2111111111111104</v>
      </c>
      <c r="Q103" s="1580"/>
      <c r="R103" s="1580"/>
      <c r="S103" s="1580"/>
      <c r="T103" s="1580"/>
      <c r="U103" s="1580"/>
      <c r="V103" s="1580"/>
      <c r="W103" s="1580"/>
      <c r="X103" s="1580"/>
      <c r="Y103" s="1580"/>
      <c r="Z103" s="1580"/>
      <c r="AA103" s="1580"/>
      <c r="AB103" s="1580"/>
      <c r="AC103" s="1580"/>
      <c r="AD103" s="1580"/>
      <c r="AE103" s="1580"/>
    </row>
    <row r="104" spans="1:31">
      <c r="A104" s="3874"/>
      <c r="B104" s="3869" t="s">
        <v>199</v>
      </c>
      <c r="C104" s="1581" t="s">
        <v>312</v>
      </c>
      <c r="D104" s="1584" t="s">
        <v>66</v>
      </c>
      <c r="E104" s="1561" t="s">
        <v>82</v>
      </c>
      <c r="F104" s="1584" t="s">
        <v>66</v>
      </c>
      <c r="G104" s="1580">
        <f>MAX('Offshore DO, pH, Phos. Sal. Con'!AM59:AM67)</f>
        <v>10.09</v>
      </c>
      <c r="H104" s="1580">
        <f>MAX('Offshore DO, pH, Phos. Sal. Con'!AN59:AN67)</f>
        <v>10.57</v>
      </c>
      <c r="I104" s="1580">
        <f>MAX('Offshore DO, pH, Phos. Sal. Con'!AO59:AO67)</f>
        <v>9.2799999999999994</v>
      </c>
      <c r="J104" s="1580">
        <f>MAX('Offshore DO, pH, Phos. Sal. Con'!AP59:AP67)</f>
        <v>9.91</v>
      </c>
      <c r="K104" s="1580">
        <f>MAX('Offshore DO, pH, Phos. Sal. Con'!AQ59:AQ67)</f>
        <v>9.27</v>
      </c>
      <c r="L104" s="1580">
        <f>MAX('Offshore DO, pH, Phos. Sal. Con'!AR59:AR67)</f>
        <v>9.1199999999999992</v>
      </c>
      <c r="M104" s="1580">
        <f>MAX('Offshore DO, pH, Phos. Sal. Con'!AS59:AS67)</f>
        <v>9.2200000000000006</v>
      </c>
      <c r="N104" s="1580">
        <f>MAX('Offshore DO, pH, Phos. Sal. Con'!AT59:AT67)</f>
        <v>9.0299999999999994</v>
      </c>
      <c r="O104" s="1580">
        <f>MAX('Offshore DO, pH, Phos. Sal. Con'!AU59:AU67)</f>
        <v>0</v>
      </c>
      <c r="P104" s="1580">
        <f>MAX('Offshore DO, pH, Phos. Sal. Con'!AV59:AV67)</f>
        <v>0</v>
      </c>
      <c r="Q104" s="1577"/>
      <c r="R104" s="1577"/>
      <c r="S104" s="1577"/>
      <c r="T104" s="1577"/>
      <c r="U104" s="1577"/>
      <c r="V104" s="1577"/>
      <c r="W104" s="1577"/>
      <c r="X104" s="1577"/>
      <c r="Y104" s="1577"/>
      <c r="Z104" s="1577"/>
      <c r="AA104" s="1577"/>
      <c r="AB104" s="1577"/>
      <c r="AC104" s="1577"/>
      <c r="AD104" s="1577"/>
      <c r="AE104" s="1577"/>
    </row>
    <row r="105" spans="1:31" s="1560" customFormat="1">
      <c r="A105" s="3874"/>
      <c r="B105" s="3870"/>
      <c r="C105" s="1581" t="s">
        <v>313</v>
      </c>
      <c r="D105" s="1584" t="s">
        <v>66</v>
      </c>
      <c r="E105" s="1561" t="s">
        <v>82</v>
      </c>
      <c r="F105" s="1584" t="s">
        <v>66</v>
      </c>
      <c r="G105" s="1580">
        <f>MIN('Offshore DO, pH, Phos. Sal. Con'!AM59:AM67)</f>
        <v>9.51</v>
      </c>
      <c r="H105" s="1580">
        <f>MIN('Offshore DO, pH, Phos. Sal. Con'!AN59:AN67)</f>
        <v>9.1300000000000008</v>
      </c>
      <c r="I105" s="1580">
        <f>MIN('Offshore DO, pH, Phos. Sal. Con'!AO59:AO67)</f>
        <v>9.08</v>
      </c>
      <c r="J105" s="1580">
        <f>MIN('Offshore DO, pH, Phos. Sal. Con'!AP59:AP67)</f>
        <v>9.74</v>
      </c>
      <c r="K105" s="1580">
        <f>MIN('Offshore DO, pH, Phos. Sal. Con'!AQ59:AQ67)</f>
        <v>8.8699999999999992</v>
      </c>
      <c r="L105" s="1580">
        <f>MIN('Offshore DO, pH, Phos. Sal. Con'!AR59:AR67)</f>
        <v>8.84</v>
      </c>
      <c r="M105" s="1580">
        <f>MIN('Offshore DO, pH, Phos. Sal. Con'!AS59:AS67)</f>
        <v>8.69</v>
      </c>
      <c r="N105" s="1580">
        <f>MIN('Offshore DO, pH, Phos. Sal. Con'!AT59:AT67)</f>
        <v>8.43</v>
      </c>
      <c r="O105" s="1580">
        <f>MIN('Offshore DO, pH, Phos. Sal. Con'!AU59:AU67)</f>
        <v>0</v>
      </c>
      <c r="P105" s="1580">
        <f>MIN('Offshore DO, pH, Phos. Sal. Con'!AV59:AV67)</f>
        <v>0</v>
      </c>
      <c r="Q105" s="1577"/>
      <c r="R105" s="1577"/>
      <c r="S105" s="1577"/>
      <c r="T105" s="1577"/>
      <c r="U105" s="1577"/>
      <c r="V105" s="1577"/>
      <c r="W105" s="1577"/>
      <c r="X105" s="1577"/>
      <c r="Y105" s="1577"/>
      <c r="Z105" s="1577"/>
      <c r="AA105" s="1577"/>
      <c r="AB105" s="1577"/>
      <c r="AC105" s="1577"/>
      <c r="AD105" s="1577"/>
      <c r="AE105" s="1577"/>
    </row>
    <row r="106" spans="1:31" s="1560" customFormat="1">
      <c r="A106" s="3874"/>
      <c r="B106" s="3871"/>
      <c r="C106" s="1581" t="s">
        <v>315</v>
      </c>
      <c r="D106" s="1584" t="s">
        <v>66</v>
      </c>
      <c r="E106" s="1561" t="s">
        <v>82</v>
      </c>
      <c r="F106" s="1584" t="s">
        <v>66</v>
      </c>
      <c r="G106" s="1580">
        <f>AVERAGE('Offshore DO, pH, Phos. Sal. Con'!AM59:AM67)</f>
        <v>9.8342857142857145</v>
      </c>
      <c r="H106" s="1580">
        <f>AVERAGE('Offshore DO, pH, Phos. Sal. Con'!AN59:AN67)</f>
        <v>10.06111111111111</v>
      </c>
      <c r="I106" s="1580">
        <f>AVERAGE('Offshore DO, pH, Phos. Sal. Con'!AO59:AO67)</f>
        <v>9.1300000000000008</v>
      </c>
      <c r="J106" s="1580">
        <f>AVERAGE('Offshore DO, pH, Phos. Sal. Con'!AP59:AP67)</f>
        <v>9.8112499999999994</v>
      </c>
      <c r="K106" s="1580">
        <f>AVERAGE('Offshore DO, pH, Phos. Sal. Con'!AQ59:AQ67)</f>
        <v>9.0188888888888883</v>
      </c>
      <c r="L106" s="1580">
        <f>AVERAGE('Offshore DO, pH, Phos. Sal. Con'!AR59:AR67)</f>
        <v>8.9911111111111133</v>
      </c>
      <c r="M106" s="1580">
        <f>AVERAGE('Offshore DO, pH, Phos. Sal. Con'!AS59:AS67)</f>
        <v>9.0011111111111095</v>
      </c>
      <c r="N106" s="1580">
        <f>AVERAGE('Offshore DO, pH, Phos. Sal. Con'!AT59:AT67)</f>
        <v>8.7666666666666657</v>
      </c>
      <c r="O106" s="1580">
        <f>AVERAGE('Offshore DO, pH, Phos. Sal. Con'!AU59:AU67)</f>
        <v>0</v>
      </c>
      <c r="P106" s="1580" t="e">
        <f>AVERAGE('Offshore DO, pH, Phos. Sal. Con'!AV59:AV67)</f>
        <v>#DIV/0!</v>
      </c>
      <c r="Q106" s="1577"/>
      <c r="R106" s="1577"/>
      <c r="S106" s="1577"/>
      <c r="T106" s="1577"/>
      <c r="U106" s="1577"/>
      <c r="V106" s="1577"/>
      <c r="W106" s="1577"/>
      <c r="X106" s="1577"/>
      <c r="Y106" s="1577"/>
      <c r="Z106" s="1577"/>
      <c r="AA106" s="1577"/>
      <c r="AB106" s="1577"/>
      <c r="AC106" s="1577"/>
      <c r="AD106" s="1577"/>
      <c r="AE106" s="1577"/>
    </row>
    <row r="107" spans="1:31">
      <c r="A107" s="3874"/>
      <c r="B107" s="3869" t="s">
        <v>169</v>
      </c>
      <c r="C107" s="1581" t="s">
        <v>312</v>
      </c>
      <c r="D107" s="1584" t="s">
        <v>66</v>
      </c>
      <c r="E107" s="1561" t="s">
        <v>82</v>
      </c>
      <c r="F107" s="1584" t="s">
        <v>66</v>
      </c>
      <c r="G107" s="1584" t="s">
        <v>66</v>
      </c>
      <c r="H107" s="1580">
        <f>MAX('Offshore DO, pH, Phos. Sal. Con'!BT59:BT67)</f>
        <v>0.58199999999999996</v>
      </c>
      <c r="I107" s="1580">
        <f>MAX('Offshore DO, pH, Phos. Sal. Con'!BU59:BU67)</f>
        <v>0.995</v>
      </c>
      <c r="J107" s="1580">
        <f>MAX('Offshore DO, pH, Phos. Sal. Con'!BV59:BV67)</f>
        <v>1.032</v>
      </c>
      <c r="K107" s="1580">
        <f>MAX('Offshore DO, pH, Phos. Sal. Con'!BW59:BW67)</f>
        <v>0</v>
      </c>
      <c r="L107" s="1580">
        <f>MAX('Offshore DO, pH, Phos. Sal. Con'!BX59:BX67)</f>
        <v>0</v>
      </c>
      <c r="M107" s="1580">
        <f>MAX('Offshore DO, pH, Phos. Sal. Con'!BY59:BY67)</f>
        <v>1.085</v>
      </c>
      <c r="N107" s="1580">
        <f>MAX('Offshore DO, pH, Phos. Sal. Con'!BZ59:BZ67)</f>
        <v>0</v>
      </c>
      <c r="O107" s="1580">
        <f>MAX('Offshore DO, pH, Phos. Sal. Con'!CA59:CA67)</f>
        <v>0</v>
      </c>
      <c r="P107" s="1580">
        <f>MAX('Offshore DO, pH, Phos. Sal. Con'!CB59:CB67)</f>
        <v>0.24</v>
      </c>
      <c r="Q107" s="1577"/>
      <c r="R107" s="1577"/>
      <c r="S107" s="1577"/>
      <c r="T107" s="1577"/>
      <c r="U107" s="1577"/>
      <c r="V107" s="1577"/>
      <c r="W107" s="1577"/>
      <c r="X107" s="1577"/>
      <c r="Y107" s="1577"/>
      <c r="Z107" s="1577"/>
      <c r="AA107" s="1577"/>
      <c r="AB107" s="1577"/>
      <c r="AC107" s="1577"/>
      <c r="AD107" s="1577"/>
      <c r="AE107" s="1577"/>
    </row>
    <row r="108" spans="1:31" s="1560" customFormat="1">
      <c r="A108" s="3874"/>
      <c r="B108" s="3870"/>
      <c r="C108" s="1581" t="s">
        <v>313</v>
      </c>
      <c r="D108" s="1584" t="s">
        <v>66</v>
      </c>
      <c r="E108" s="1561" t="s">
        <v>82</v>
      </c>
      <c r="F108" s="1584" t="s">
        <v>66</v>
      </c>
      <c r="G108" s="1584" t="s">
        <v>66</v>
      </c>
      <c r="H108" s="1580">
        <f>MIN('Offshore DO, pH, Phos. Sal. Con'!BT59:BT67)</f>
        <v>0.24</v>
      </c>
      <c r="I108" s="1580">
        <f>MIN('Offshore DO, pH, Phos. Sal. Con'!BU59:BU67)</f>
        <v>0.60799999999999998</v>
      </c>
      <c r="J108" s="1580">
        <f>MIN('Offshore DO, pH, Phos. Sal. Con'!BV59:BV67)</f>
        <v>0</v>
      </c>
      <c r="K108" s="1580">
        <f>MIN('Offshore DO, pH, Phos. Sal. Con'!BW59:BW67)</f>
        <v>0</v>
      </c>
      <c r="L108" s="1580">
        <f>MIN('Offshore DO, pH, Phos. Sal. Con'!BX59:BX67)</f>
        <v>0</v>
      </c>
      <c r="M108" s="1580">
        <f>MIN('Offshore DO, pH, Phos. Sal. Con'!BY59:BY67)</f>
        <v>0.86099999999999999</v>
      </c>
      <c r="N108" s="1580">
        <f>MIN('Offshore DO, pH, Phos. Sal. Con'!BZ59:BZ67)</f>
        <v>0</v>
      </c>
      <c r="O108" s="1580">
        <f>MIN('Offshore DO, pH, Phos. Sal. Con'!CA59:CA67)</f>
        <v>0</v>
      </c>
      <c r="P108" s="1580">
        <f>MIN('Offshore DO, pH, Phos. Sal. Con'!CB59:CB67)</f>
        <v>0.13</v>
      </c>
      <c r="Q108" s="1577"/>
      <c r="R108" s="1577"/>
      <c r="S108" s="1577"/>
      <c r="T108" s="1577"/>
      <c r="U108" s="1577"/>
      <c r="V108" s="1577"/>
      <c r="W108" s="1577"/>
      <c r="X108" s="1577"/>
      <c r="Y108" s="1577"/>
      <c r="Z108" s="1577"/>
      <c r="AA108" s="1577"/>
      <c r="AB108" s="1577"/>
      <c r="AC108" s="1577"/>
      <c r="AD108" s="1577"/>
      <c r="AE108" s="1577"/>
    </row>
    <row r="109" spans="1:31" s="1560" customFormat="1">
      <c r="A109" s="3875"/>
      <c r="B109" s="3871"/>
      <c r="C109" s="1581" t="s">
        <v>315</v>
      </c>
      <c r="D109" s="1584" t="s">
        <v>66</v>
      </c>
      <c r="E109" s="1561" t="s">
        <v>82</v>
      </c>
      <c r="F109" s="1584" t="s">
        <v>66</v>
      </c>
      <c r="G109" s="1584" t="s">
        <v>66</v>
      </c>
      <c r="H109" s="1580">
        <f>AVERAGE('Offshore DO, pH, Phos. Sal. Con'!BT59:BT67)</f>
        <v>0.37733333333333335</v>
      </c>
      <c r="I109" s="1580">
        <f>AVERAGE('Offshore DO, pH, Phos. Sal. Con'!BU59:BU67)</f>
        <v>0.75477777777777777</v>
      </c>
      <c r="J109" s="1580">
        <f>AVERAGE('Offshore DO, pH, Phos. Sal. Con'!BV59:BV67)</f>
        <v>0.81766666666666654</v>
      </c>
      <c r="K109" s="1580">
        <f>AVERAGE('Offshore DO, pH, Phos. Sal. Con'!BW59:BW67)</f>
        <v>0</v>
      </c>
      <c r="L109" s="1580">
        <f>AVERAGE('Offshore DO, pH, Phos. Sal. Con'!BX59:BX67)</f>
        <v>0</v>
      </c>
      <c r="M109" s="1580">
        <f>AVERAGE('Offshore DO, pH, Phos. Sal. Con'!BY59:BY67)</f>
        <v>0.97933333333333339</v>
      </c>
      <c r="N109" s="1580">
        <f>AVERAGE('Offshore DO, pH, Phos. Sal. Con'!BZ59:BZ67)</f>
        <v>0</v>
      </c>
      <c r="O109" s="1580" t="e">
        <f>AVERAGE('Offshore DO, pH, Phos. Sal. Con'!CA59:CA67)</f>
        <v>#DIV/0!</v>
      </c>
      <c r="P109" s="1580">
        <f>AVERAGE('Offshore DO, pH, Phos. Sal. Con'!CB59:CB67)</f>
        <v>0.17444444444444446</v>
      </c>
      <c r="Q109" s="1577"/>
      <c r="R109" s="1577"/>
      <c r="S109" s="1577"/>
      <c r="T109" s="1577"/>
      <c r="U109" s="1577"/>
      <c r="V109" s="1577"/>
      <c r="W109" s="1577"/>
      <c r="X109" s="1577"/>
      <c r="Y109" s="1577"/>
      <c r="Z109" s="1577"/>
      <c r="AA109" s="1577"/>
      <c r="AB109" s="1577"/>
      <c r="AC109" s="1577"/>
      <c r="AD109" s="1577"/>
      <c r="AE109" s="1577"/>
    </row>
    <row r="110" spans="1:31">
      <c r="A110" s="3873" t="s">
        <v>308</v>
      </c>
      <c r="B110" s="3869" t="s">
        <v>201</v>
      </c>
      <c r="C110" s="1581" t="s">
        <v>312</v>
      </c>
      <c r="D110" s="1580">
        <f>MAX('Offshore DO, pH, Phos. Sal. Con'!D72:D80)</f>
        <v>6.89</v>
      </c>
      <c r="E110" s="1561" t="s">
        <v>82</v>
      </c>
      <c r="F110" s="1580">
        <f>MAX('Offshore DO, pH, Phos. Sal. Con'!F72:F80)</f>
        <v>5.75</v>
      </c>
      <c r="G110" s="1580">
        <f>MAX('Offshore DO, pH, Phos. Sal. Con'!G72:G80)</f>
        <v>6.86</v>
      </c>
      <c r="H110" s="1580">
        <f>MAX('Offshore DO, pH, Phos. Sal. Con'!H72:H80)</f>
        <v>5.82</v>
      </c>
      <c r="I110" s="1580">
        <f>MAX('Offshore DO, pH, Phos. Sal. Con'!I72:I80)</f>
        <v>6.07</v>
      </c>
      <c r="J110" s="1580">
        <f>MAX('Offshore DO, pH, Phos. Sal. Con'!J72:J80)</f>
        <v>5.0999999999999996</v>
      </c>
      <c r="K110" s="1580">
        <f>MAX('Offshore DO, pH, Phos. Sal. Con'!K72:K80)</f>
        <v>6.19</v>
      </c>
      <c r="L110" s="1580">
        <f>MAX('Offshore DO, pH, Phos. Sal. Con'!L72:L80)</f>
        <v>6.94</v>
      </c>
      <c r="M110" s="1580">
        <f>MAX('Offshore DO, pH, Phos. Sal. Con'!M72:M80)</f>
        <v>8.1199999999999992</v>
      </c>
      <c r="N110" s="1580">
        <f>MAX('Offshore DO, pH, Phos. Sal. Con'!N72:N80)</f>
        <v>7.84</v>
      </c>
      <c r="O110" s="1580">
        <f>MAX('Offshore DO, pH, Phos. Sal. Con'!O72:O80)</f>
        <v>0</v>
      </c>
      <c r="P110" s="1580">
        <f>MAX('Offshore DO, pH, Phos. Sal. Con'!P72:P80)</f>
        <v>6.66</v>
      </c>
      <c r="Q110" s="1577"/>
      <c r="R110" s="1577"/>
      <c r="S110" s="1577"/>
      <c r="T110" s="1577"/>
      <c r="U110" s="1577"/>
      <c r="V110" s="1577"/>
      <c r="W110" s="1577"/>
      <c r="X110" s="1577"/>
      <c r="Y110" s="1577"/>
      <c r="Z110" s="1577"/>
      <c r="AA110" s="1577"/>
      <c r="AB110" s="1577"/>
      <c r="AC110" s="1577"/>
      <c r="AD110" s="1577"/>
      <c r="AE110" s="1577"/>
    </row>
    <row r="111" spans="1:31" s="1560" customFormat="1">
      <c r="A111" s="3874"/>
      <c r="B111" s="3870"/>
      <c r="C111" s="1581" t="s">
        <v>313</v>
      </c>
      <c r="D111" s="1580">
        <f>MIN('Offshore DO, pH, Phos. Sal. Con'!D72:D80)</f>
        <v>4.71</v>
      </c>
      <c r="E111" s="1561" t="s">
        <v>82</v>
      </c>
      <c r="F111" s="1580">
        <f>MIN('Offshore DO, pH, Phos. Sal. Con'!F72:F80)</f>
        <v>4.66</v>
      </c>
      <c r="G111" s="1580">
        <f>MIN('Offshore DO, pH, Phos. Sal. Con'!G72:G80)</f>
        <v>3.32</v>
      </c>
      <c r="H111" s="1580">
        <f>MIN('Offshore DO, pH, Phos. Sal. Con'!H72:H80)</f>
        <v>2.87</v>
      </c>
      <c r="I111" s="1580">
        <f>MIN('Offshore DO, pH, Phos. Sal. Con'!I72:I80)</f>
        <v>4.2</v>
      </c>
      <c r="J111" s="1580">
        <f>MIN('Offshore DO, pH, Phos. Sal. Con'!J72:J80)</f>
        <v>2.15</v>
      </c>
      <c r="K111" s="1580">
        <f>MIN('Offshore DO, pH, Phos. Sal. Con'!K72:K80)</f>
        <v>2.0699999999999998</v>
      </c>
      <c r="L111" s="1580">
        <f>MIN('Offshore DO, pH, Phos. Sal. Con'!L72:L80)</f>
        <v>5.4</v>
      </c>
      <c r="M111" s="1580">
        <f>MIN('Offshore DO, pH, Phos. Sal. Con'!M72:M80)</f>
        <v>5.4</v>
      </c>
      <c r="N111" s="1580">
        <f>MIN('Offshore DO, pH, Phos. Sal. Con'!N72:N80)</f>
        <v>6.85</v>
      </c>
      <c r="O111" s="1580">
        <f>MIN('Offshore DO, pH, Phos. Sal. Con'!O72:O80)</f>
        <v>0</v>
      </c>
      <c r="P111" s="1580">
        <f>MIN('Offshore DO, pH, Phos. Sal. Con'!P72:P80)</f>
        <v>5.6</v>
      </c>
      <c r="Q111" s="1577"/>
      <c r="R111" s="1577"/>
      <c r="S111" s="1577"/>
      <c r="T111" s="1577"/>
      <c r="U111" s="1577"/>
      <c r="V111" s="1577"/>
      <c r="W111" s="1577"/>
      <c r="X111" s="1577"/>
      <c r="Y111" s="1577"/>
      <c r="Z111" s="1577"/>
      <c r="AA111" s="1577"/>
      <c r="AB111" s="1577"/>
      <c r="AC111" s="1577"/>
      <c r="AD111" s="1577"/>
      <c r="AE111" s="1577"/>
    </row>
    <row r="112" spans="1:31" s="1560" customFormat="1">
      <c r="A112" s="3874"/>
      <c r="B112" s="3871"/>
      <c r="C112" s="1581" t="s">
        <v>315</v>
      </c>
      <c r="D112" s="1580">
        <f>AVERAGE('Offshore DO, pH, Phos. Sal. Con'!D72:D80)</f>
        <v>5.9433333333333334</v>
      </c>
      <c r="E112" s="1561" t="s">
        <v>82</v>
      </c>
      <c r="F112" s="1580">
        <f>AVERAGE('Offshore DO, pH, Phos. Sal. Con'!F72:F80)</f>
        <v>5.0979999999999999</v>
      </c>
      <c r="G112" s="1580">
        <f>AVERAGE('Offshore DO, pH, Phos. Sal. Con'!G72:G80)</f>
        <v>5.3500000000000005</v>
      </c>
      <c r="H112" s="1580">
        <f>AVERAGE('Offshore DO, pH, Phos. Sal. Con'!H72:H80)</f>
        <v>4.8988888888888891</v>
      </c>
      <c r="I112" s="1580">
        <f>AVERAGE('Offshore DO, pH, Phos. Sal. Con'!I72:I80)</f>
        <v>5.2500000000000009</v>
      </c>
      <c r="J112" s="1580">
        <f>AVERAGE('Offshore DO, pH, Phos. Sal. Con'!J72:J80)</f>
        <v>3.3699999999999992</v>
      </c>
      <c r="K112" s="1580">
        <f>AVERAGE('Offshore DO, pH, Phos. Sal. Con'!K72:K80)</f>
        <v>4.7044444444444444</v>
      </c>
      <c r="L112" s="1580">
        <f>AVERAGE('Offshore DO, pH, Phos. Sal. Con'!L72:L80)</f>
        <v>6.2655555555555544</v>
      </c>
      <c r="M112" s="1580">
        <f>AVERAGE('Offshore DO, pH, Phos. Sal. Con'!M72:M80)</f>
        <v>7.014444444444444</v>
      </c>
      <c r="N112" s="1580">
        <f>AVERAGE('Offshore DO, pH, Phos. Sal. Con'!N72:N80)</f>
        <v>7.2099999999999991</v>
      </c>
      <c r="O112" s="1580">
        <f>AVERAGE('Offshore DO, pH, Phos. Sal. Con'!O72:O80)</f>
        <v>0</v>
      </c>
      <c r="P112" s="1580">
        <f>AVERAGE('Offshore DO, pH, Phos. Sal. Con'!P72:P80)</f>
        <v>6.1966666666666672</v>
      </c>
      <c r="Q112" s="1577"/>
      <c r="R112" s="1577"/>
      <c r="S112" s="1577"/>
      <c r="T112" s="1577"/>
      <c r="U112" s="1577"/>
      <c r="V112" s="1577"/>
      <c r="W112" s="1577"/>
      <c r="X112" s="1577"/>
      <c r="Y112" s="1577"/>
      <c r="Z112" s="1577"/>
      <c r="AA112" s="1577"/>
      <c r="AB112" s="1577"/>
      <c r="AC112" s="1577"/>
      <c r="AD112" s="1577"/>
      <c r="AE112" s="1577"/>
    </row>
    <row r="113" spans="1:31">
      <c r="A113" s="3874"/>
      <c r="B113" s="3869" t="s">
        <v>199</v>
      </c>
      <c r="C113" s="1581" t="s">
        <v>312</v>
      </c>
      <c r="D113" s="1584" t="s">
        <v>66</v>
      </c>
      <c r="E113" s="1561" t="s">
        <v>82</v>
      </c>
      <c r="F113" s="1584" t="s">
        <v>66</v>
      </c>
      <c r="G113" s="1580">
        <f>MAX('Offshore DO, pH, Phos. Sal. Con'!AM72:AM80)</f>
        <v>9.81</v>
      </c>
      <c r="H113" s="1580">
        <f>MAX('Offshore DO, pH, Phos. Sal. Con'!AN72:AN80)</f>
        <v>10.15</v>
      </c>
      <c r="I113" s="1580">
        <f>MAX('Offshore DO, pH, Phos. Sal. Con'!AO72:AO80)</f>
        <v>9.1199999999999992</v>
      </c>
      <c r="J113" s="1580">
        <f>MAX('Offshore DO, pH, Phos. Sal. Con'!AP72:AP80)</f>
        <v>9.16</v>
      </c>
      <c r="K113" s="1580">
        <f>MAX('Offshore DO, pH, Phos. Sal. Con'!AQ72:AQ80)</f>
        <v>8.99</v>
      </c>
      <c r="L113" s="1580">
        <f>MAX('Offshore DO, pH, Phos. Sal. Con'!AR72:AR80)</f>
        <v>9.01</v>
      </c>
      <c r="M113" s="1580">
        <f>MAX('Offshore DO, pH, Phos. Sal. Con'!AS72:AS80)</f>
        <v>8.99</v>
      </c>
      <c r="N113" s="1580">
        <f>MAX('Offshore DO, pH, Phos. Sal. Con'!AT72:AT80)</f>
        <v>8.9600000000000009</v>
      </c>
      <c r="O113" s="1580">
        <f>MAX('Offshore DO, pH, Phos. Sal. Con'!AU72:AU80)</f>
        <v>0</v>
      </c>
      <c r="P113" s="1580">
        <f>MAX('Offshore DO, pH, Phos. Sal. Con'!AV72:AV80)</f>
        <v>9.65</v>
      </c>
      <c r="Q113" s="1577"/>
      <c r="R113" s="1577"/>
      <c r="S113" s="1577"/>
      <c r="T113" s="1577"/>
      <c r="U113" s="1577"/>
      <c r="V113" s="1577"/>
      <c r="W113" s="1577"/>
      <c r="X113" s="1577"/>
      <c r="Y113" s="1577"/>
      <c r="Z113" s="1577"/>
      <c r="AA113" s="1577"/>
      <c r="AB113" s="1577"/>
      <c r="AC113" s="1577"/>
      <c r="AD113" s="1577"/>
      <c r="AE113" s="1577"/>
    </row>
    <row r="114" spans="1:31" s="1560" customFormat="1">
      <c r="A114" s="3874"/>
      <c r="B114" s="3870"/>
      <c r="C114" s="1581" t="s">
        <v>313</v>
      </c>
      <c r="D114" s="1584" t="s">
        <v>66</v>
      </c>
      <c r="E114" s="1561" t="s">
        <v>82</v>
      </c>
      <c r="F114" s="1584" t="s">
        <v>66</v>
      </c>
      <c r="G114" s="1580">
        <f>MIN('Offshore DO, pH, Phos. Sal. Con'!AM72:AM80)</f>
        <v>9.51</v>
      </c>
      <c r="H114" s="1580">
        <f>MIN('Offshore DO, pH, Phos. Sal. Con'!AN72:AN80)</f>
        <v>9.64</v>
      </c>
      <c r="I114" s="1580">
        <f>MIN('Offshore DO, pH, Phos. Sal. Con'!AO72:AO80)</f>
        <v>8.6999999999999993</v>
      </c>
      <c r="J114" s="1580">
        <f>MIN('Offshore DO, pH, Phos. Sal. Con'!AP72:AP80)</f>
        <v>8.75</v>
      </c>
      <c r="K114" s="1580">
        <f>MIN('Offshore DO, pH, Phos. Sal. Con'!AQ72:AQ80)</f>
        <v>8.56</v>
      </c>
      <c r="L114" s="1580">
        <f>MIN('Offshore DO, pH, Phos. Sal. Con'!AR72:AR80)</f>
        <v>8.6300000000000008</v>
      </c>
      <c r="M114" s="1580">
        <f>MIN('Offshore DO, pH, Phos. Sal. Con'!AS72:AS80)</f>
        <v>8.65</v>
      </c>
      <c r="N114" s="1580">
        <f>MIN('Offshore DO, pH, Phos. Sal. Con'!AT72:AT80)</f>
        <v>8.6999999999999993</v>
      </c>
      <c r="O114" s="1580">
        <f>MIN('Offshore DO, pH, Phos. Sal. Con'!AU72:AU80)</f>
        <v>0</v>
      </c>
      <c r="P114" s="1580">
        <f>MIN('Offshore DO, pH, Phos. Sal. Con'!AV72:AV80)</f>
        <v>5.6</v>
      </c>
      <c r="Q114" s="1577"/>
      <c r="R114" s="1577"/>
      <c r="S114" s="1577"/>
      <c r="T114" s="1577"/>
      <c r="U114" s="1577"/>
      <c r="V114" s="1577"/>
      <c r="W114" s="1577"/>
      <c r="X114" s="1577"/>
      <c r="Y114" s="1577"/>
      <c r="Z114" s="1577"/>
      <c r="AA114" s="1577"/>
      <c r="AB114" s="1577"/>
      <c r="AC114" s="1577"/>
      <c r="AD114" s="1577"/>
      <c r="AE114" s="1577"/>
    </row>
    <row r="115" spans="1:31" s="1560" customFormat="1">
      <c r="A115" s="3874"/>
      <c r="B115" s="3871"/>
      <c r="C115" s="1581" t="s">
        <v>315</v>
      </c>
      <c r="D115" s="1584" t="s">
        <v>66</v>
      </c>
      <c r="E115" s="1561" t="s">
        <v>82</v>
      </c>
      <c r="F115" s="1584" t="s">
        <v>66</v>
      </c>
      <c r="G115" s="1580">
        <f>AVERAGE('Offshore DO, pH, Phos. Sal. Con'!AM72:AM80)</f>
        <v>9.7071428571428573</v>
      </c>
      <c r="H115" s="1580">
        <f>AVERAGE('Offshore DO, pH, Phos. Sal. Con'!AN72:AN80)</f>
        <v>9.9811111111111117</v>
      </c>
      <c r="I115" s="1580">
        <f>AVERAGE('Offshore DO, pH, Phos. Sal. Con'!AO72:AO80)</f>
        <v>8.913333333333334</v>
      </c>
      <c r="J115" s="1580">
        <f>AVERAGE('Offshore DO, pH, Phos. Sal. Con'!AP72:AP80)</f>
        <v>8.8737499999999994</v>
      </c>
      <c r="K115" s="1580">
        <f>AVERAGE('Offshore DO, pH, Phos. Sal. Con'!AQ72:AQ80)</f>
        <v>8.7666666666666675</v>
      </c>
      <c r="L115" s="1580">
        <f>AVERAGE('Offshore DO, pH, Phos. Sal. Con'!AR72:AR80)</f>
        <v>8.8888888888888893</v>
      </c>
      <c r="M115" s="1580">
        <f>AVERAGE('Offshore DO, pH, Phos. Sal. Con'!AS72:AS80)</f>
        <v>8.8044444444444458</v>
      </c>
      <c r="N115" s="1580">
        <f>AVERAGE('Offshore DO, pH, Phos. Sal. Con'!AT72:AT80)</f>
        <v>8.8783333333333321</v>
      </c>
      <c r="O115" s="1580">
        <f>AVERAGE('Offshore DO, pH, Phos. Sal. Con'!AU72:AU80)</f>
        <v>0</v>
      </c>
      <c r="P115" s="1580">
        <f>AVERAGE('Offshore DO, pH, Phos. Sal. Con'!AV72:AV80)</f>
        <v>8.8522222222222222</v>
      </c>
      <c r="Q115" s="1577"/>
      <c r="R115" s="1577"/>
      <c r="S115" s="1577"/>
      <c r="T115" s="1577"/>
      <c r="U115" s="1577"/>
      <c r="V115" s="1577"/>
      <c r="W115" s="1577"/>
      <c r="X115" s="1577"/>
      <c r="Y115" s="1577"/>
      <c r="Z115" s="1577"/>
      <c r="AA115" s="1577"/>
      <c r="AB115" s="1577"/>
      <c r="AC115" s="1577"/>
      <c r="AD115" s="1577"/>
      <c r="AE115" s="1577"/>
    </row>
    <row r="116" spans="1:31">
      <c r="A116" s="3874"/>
      <c r="B116" s="3869" t="s">
        <v>169</v>
      </c>
      <c r="C116" s="1581" t="s">
        <v>312</v>
      </c>
      <c r="D116" s="1584" t="s">
        <v>66</v>
      </c>
      <c r="E116" s="1561" t="s">
        <v>82</v>
      </c>
      <c r="F116" s="1584" t="s">
        <v>66</v>
      </c>
      <c r="G116" s="1584" t="s">
        <v>66</v>
      </c>
      <c r="H116" s="1580">
        <f>MAX('Offshore DO, pH, Phos. Sal. Con'!BT72:BT80)</f>
        <v>0.28499999999999998</v>
      </c>
      <c r="I116" s="1580">
        <f>MAX('Offshore DO, pH, Phos. Sal. Con'!BU72:BU80)</f>
        <v>0.80500000000000005</v>
      </c>
      <c r="J116" s="1580">
        <f>MAX('Offshore DO, pH, Phos. Sal. Con'!BV72:BV80)</f>
        <v>0.94299999999999995</v>
      </c>
      <c r="K116" s="1580">
        <f>MAX('Offshore DO, pH, Phos. Sal. Con'!BW72:BW80)</f>
        <v>0</v>
      </c>
      <c r="L116" s="1580">
        <f>MAX('Offshore DO, pH, Phos. Sal. Con'!BX72:BX80)</f>
        <v>0</v>
      </c>
      <c r="M116" s="1580">
        <f>MAX('Offshore DO, pH, Phos. Sal. Con'!BY72:BY80)</f>
        <v>1.0960000000000001</v>
      </c>
      <c r="N116" s="1580">
        <f>MAX('Offshore DO, pH, Phos. Sal. Con'!BZ72:BZ80)</f>
        <v>0</v>
      </c>
      <c r="O116" s="1580">
        <f>MAX('Offshore DO, pH, Phos. Sal. Con'!CA72:CA80)</f>
        <v>0</v>
      </c>
      <c r="P116" s="1580">
        <f>MAX('Offshore DO, pH, Phos. Sal. Con'!CB72:CB80)</f>
        <v>0.4</v>
      </c>
      <c r="Q116" s="1577"/>
      <c r="R116" s="1577"/>
      <c r="S116" s="1577"/>
      <c r="T116" s="1577"/>
      <c r="U116" s="1577"/>
      <c r="V116" s="1577"/>
      <c r="W116" s="1577"/>
      <c r="X116" s="1577"/>
      <c r="Y116" s="1577"/>
      <c r="Z116" s="1577"/>
      <c r="AA116" s="1577"/>
      <c r="AB116" s="1577"/>
      <c r="AC116" s="1577"/>
      <c r="AD116" s="1577"/>
      <c r="AE116" s="1577"/>
    </row>
    <row r="117" spans="1:31" s="1560" customFormat="1">
      <c r="A117" s="3874"/>
      <c r="B117" s="3870"/>
      <c r="C117" s="1581" t="s">
        <v>313</v>
      </c>
      <c r="D117" s="1584" t="s">
        <v>66</v>
      </c>
      <c r="E117" s="1561" t="s">
        <v>82</v>
      </c>
      <c r="F117" s="1584" t="s">
        <v>66</v>
      </c>
      <c r="G117" s="1584" t="s">
        <v>66</v>
      </c>
      <c r="H117" s="1580">
        <f>MIN('Offshore DO, pH, Phos. Sal. Con'!BT72:BT80)</f>
        <v>0.23200000000000001</v>
      </c>
      <c r="I117" s="1580">
        <f>MIN('Offshore DO, pH, Phos. Sal. Con'!BU72:BU80)</f>
        <v>0.58699999999999997</v>
      </c>
      <c r="J117" s="1580">
        <f>MIN('Offshore DO, pH, Phos. Sal. Con'!BV72:BV80)</f>
        <v>0</v>
      </c>
      <c r="K117" s="1580">
        <f>MIN('Offshore DO, pH, Phos. Sal. Con'!BW72:BW80)</f>
        <v>0</v>
      </c>
      <c r="L117" s="1580">
        <f>MIN('Offshore DO, pH, Phos. Sal. Con'!BX72:BX80)</f>
        <v>0</v>
      </c>
      <c r="M117" s="1580">
        <f>MIN('Offshore DO, pH, Phos. Sal. Con'!BY72:BY80)</f>
        <v>0.81399999999999995</v>
      </c>
      <c r="N117" s="1580">
        <f>MIN('Offshore DO, pH, Phos. Sal. Con'!BZ72:BZ80)</f>
        <v>0</v>
      </c>
      <c r="O117" s="1580">
        <f>MIN('Offshore DO, pH, Phos. Sal. Con'!CA72:CA80)</f>
        <v>0</v>
      </c>
      <c r="P117" s="1580">
        <f>MIN('Offshore DO, pH, Phos. Sal. Con'!CB72:CB80)</f>
        <v>0.11</v>
      </c>
      <c r="Q117" s="1577"/>
      <c r="R117" s="1577"/>
      <c r="S117" s="1577"/>
      <c r="T117" s="1577"/>
      <c r="U117" s="1577"/>
      <c r="V117" s="1577"/>
      <c r="W117" s="1577"/>
      <c r="X117" s="1577"/>
      <c r="Y117" s="1577"/>
      <c r="Z117" s="1577"/>
      <c r="AA117" s="1577"/>
      <c r="AB117" s="1577"/>
      <c r="AC117" s="1577"/>
      <c r="AD117" s="1577"/>
      <c r="AE117" s="1577"/>
    </row>
    <row r="118" spans="1:31" s="1560" customFormat="1">
      <c r="A118" s="3875"/>
      <c r="B118" s="3871"/>
      <c r="C118" s="1581" t="s">
        <v>315</v>
      </c>
      <c r="D118" s="1584" t="s">
        <v>66</v>
      </c>
      <c r="E118" s="1561" t="s">
        <v>82</v>
      </c>
      <c r="F118" s="1584" t="s">
        <v>66</v>
      </c>
      <c r="G118" s="1584" t="s">
        <v>66</v>
      </c>
      <c r="H118" s="1580">
        <f>AVERAGE('Offshore DO, pH, Phos. Sal. Con'!BT72:BT80)</f>
        <v>0.25600000000000001</v>
      </c>
      <c r="I118" s="1580">
        <f>AVERAGE('Offshore DO, pH, Phos. Sal. Con'!BU72:BU80)</f>
        <v>0.68699999999999983</v>
      </c>
      <c r="J118" s="1580">
        <f>AVERAGE('Offshore DO, pH, Phos. Sal. Con'!BV72:BV80)</f>
        <v>0.6701111111111111</v>
      </c>
      <c r="K118" s="1580">
        <f>AVERAGE('Offshore DO, pH, Phos. Sal. Con'!BW72:BW80)</f>
        <v>0</v>
      </c>
      <c r="L118" s="1580">
        <f>AVERAGE('Offshore DO, pH, Phos. Sal. Con'!BX72:BX80)</f>
        <v>0</v>
      </c>
      <c r="M118" s="1580">
        <f>AVERAGE('Offshore DO, pH, Phos. Sal. Con'!BY72:BY80)</f>
        <v>0.96966666666666645</v>
      </c>
      <c r="N118" s="1580">
        <f>AVERAGE('Offshore DO, pH, Phos. Sal. Con'!BZ72:BZ80)</f>
        <v>0</v>
      </c>
      <c r="O118" s="1580" t="e">
        <f>AVERAGE('Offshore DO, pH, Phos. Sal. Con'!CA72:CA80)</f>
        <v>#DIV/0!</v>
      </c>
      <c r="P118" s="1580">
        <f>AVERAGE('Offshore DO, pH, Phos. Sal. Con'!CB72:CB80)</f>
        <v>0.19555555555555559</v>
      </c>
      <c r="Q118" s="1577"/>
      <c r="R118" s="1577"/>
      <c r="S118" s="1577"/>
      <c r="T118" s="1577"/>
      <c r="U118" s="1577"/>
      <c r="V118" s="1577"/>
      <c r="W118" s="1577"/>
      <c r="X118" s="1577"/>
      <c r="Y118" s="1577"/>
      <c r="Z118" s="1577"/>
      <c r="AA118" s="1577"/>
      <c r="AB118" s="1577"/>
      <c r="AC118" s="1577"/>
      <c r="AD118" s="1577"/>
      <c r="AE118" s="1577"/>
    </row>
    <row r="119" spans="1:31">
      <c r="A119" s="3872" t="s">
        <v>171</v>
      </c>
      <c r="B119" s="3869" t="s">
        <v>201</v>
      </c>
      <c r="C119" s="1581" t="s">
        <v>312</v>
      </c>
      <c r="D119" s="1580">
        <f>MAX('Offshore DO, pH, Phos. Sal. Con'!D85:D93)</f>
        <v>6.75</v>
      </c>
      <c r="E119" s="1561" t="s">
        <v>82</v>
      </c>
      <c r="F119" s="1580">
        <f>MAX('Offshore DO, pH, Phos. Sal. Con'!F85:F93)</f>
        <v>5.0599999999999996</v>
      </c>
      <c r="G119" s="1580">
        <f>MAX('Offshore DO, pH, Phos. Sal. Con'!G85:G93)</f>
        <v>6.42</v>
      </c>
      <c r="H119" s="1580">
        <f>MAX('Offshore DO, pH, Phos. Sal. Con'!H85:H93)</f>
        <v>4.82</v>
      </c>
      <c r="I119" s="1580">
        <f>MAX('Offshore DO, pH, Phos. Sal. Con'!I85:I93)</f>
        <v>5.61</v>
      </c>
      <c r="J119" s="1580">
        <f>MAX('Offshore DO, pH, Phos. Sal. Con'!J85:J93)</f>
        <v>3.58</v>
      </c>
      <c r="K119" s="1580">
        <f>MAX('Offshore DO, pH, Phos. Sal. Con'!K85:K93)</f>
        <v>5.48</v>
      </c>
      <c r="L119" s="1580">
        <f>MAX('Offshore DO, pH, Phos. Sal. Con'!L85:L93)</f>
        <v>6.84</v>
      </c>
      <c r="M119" s="1580">
        <f>MAX('Offshore DO, pH, Phos. Sal. Con'!M85:M93)</f>
        <v>6.5</v>
      </c>
      <c r="N119" s="1580">
        <f>MAX('Offshore DO, pH, Phos. Sal. Con'!N85:N93)</f>
        <v>7.48</v>
      </c>
      <c r="O119" s="1580">
        <f>MAX('Offshore DO, pH, Phos. Sal. Con'!O85:O93)</f>
        <v>0</v>
      </c>
      <c r="P119" s="1580">
        <f>MAX('Offshore DO, pH, Phos. Sal. Con'!P85:P93)</f>
        <v>6.12</v>
      </c>
      <c r="Q119" s="1577"/>
      <c r="R119" s="1577"/>
      <c r="S119" s="1577"/>
      <c r="T119" s="1577"/>
      <c r="U119" s="1577"/>
      <c r="V119" s="1577"/>
      <c r="W119" s="1577"/>
      <c r="X119" s="1577"/>
      <c r="Y119" s="1577"/>
      <c r="Z119" s="1577"/>
      <c r="AA119" s="1577"/>
      <c r="AB119" s="1577"/>
      <c r="AC119" s="1577"/>
      <c r="AD119" s="1577"/>
      <c r="AE119" s="1577"/>
    </row>
    <row r="120" spans="1:31" s="1560" customFormat="1">
      <c r="A120" s="3872"/>
      <c r="B120" s="3870"/>
      <c r="C120" s="1581" t="s">
        <v>313</v>
      </c>
      <c r="D120" s="1580">
        <f>MIN('Offshore DO, pH, Phos. Sal. Con'!D85:D93)</f>
        <v>3.37</v>
      </c>
      <c r="E120" s="1561" t="s">
        <v>82</v>
      </c>
      <c r="F120" s="1580">
        <f>MIN('Offshore DO, pH, Phos. Sal. Con'!F85:F93)</f>
        <v>3.16</v>
      </c>
      <c r="G120" s="1580">
        <f>MIN('Offshore DO, pH, Phos. Sal. Con'!G85:G93)</f>
        <v>1.66</v>
      </c>
      <c r="H120" s="1580">
        <f>MIN('Offshore DO, pH, Phos. Sal. Con'!H85:H93)</f>
        <v>1.28</v>
      </c>
      <c r="I120" s="1580">
        <f>MIN('Offshore DO, pH, Phos. Sal. Con'!I85:I93)</f>
        <v>2.72</v>
      </c>
      <c r="J120" s="1580">
        <f>MIN('Offshore DO, pH, Phos. Sal. Con'!J85:J93)</f>
        <v>1.63</v>
      </c>
      <c r="K120" s="1580">
        <f>MIN('Offshore DO, pH, Phos. Sal. Con'!K85:K93)</f>
        <v>1.89</v>
      </c>
      <c r="L120" s="1580">
        <f>MIN('Offshore DO, pH, Phos. Sal. Con'!L85:L93)</f>
        <v>2.9</v>
      </c>
      <c r="M120" s="1580">
        <f>MIN('Offshore DO, pH, Phos. Sal. Con'!M85:M93)</f>
        <v>4.07</v>
      </c>
      <c r="N120" s="1580">
        <f>MIN('Offshore DO, pH, Phos. Sal. Con'!N85:N93)</f>
        <v>3.63</v>
      </c>
      <c r="O120" s="1580">
        <f>MIN('Offshore DO, pH, Phos. Sal. Con'!O85:O93)</f>
        <v>0</v>
      </c>
      <c r="P120" s="1580">
        <f>MIN('Offshore DO, pH, Phos. Sal. Con'!P85:P93)</f>
        <v>3.03</v>
      </c>
      <c r="Q120" s="1577"/>
      <c r="R120" s="1577"/>
      <c r="S120" s="1577"/>
      <c r="T120" s="1577"/>
      <c r="U120" s="1577"/>
      <c r="V120" s="1577"/>
      <c r="W120" s="1577"/>
      <c r="X120" s="1577"/>
      <c r="Y120" s="1577"/>
      <c r="Z120" s="1577"/>
      <c r="AA120" s="1577"/>
      <c r="AB120" s="1577"/>
      <c r="AC120" s="1577"/>
      <c r="AD120" s="1577"/>
      <c r="AE120" s="1577"/>
    </row>
    <row r="121" spans="1:31" s="1560" customFormat="1">
      <c r="A121" s="3872"/>
      <c r="B121" s="3871"/>
      <c r="C121" s="1581" t="s">
        <v>315</v>
      </c>
      <c r="D121" s="1580">
        <f>AVERAGE('Offshore DO, pH, Phos. Sal. Con'!D85:D93)</f>
        <v>5.3611111111111107</v>
      </c>
      <c r="E121" s="1561" t="s">
        <v>82</v>
      </c>
      <c r="F121" s="1580">
        <f>AVERAGE('Offshore DO, pH, Phos. Sal. Con'!F85:F93)</f>
        <v>4.2479999999999993</v>
      </c>
      <c r="G121" s="1580">
        <f>AVERAGE('Offshore DO, pH, Phos. Sal. Con'!G85:G93)</f>
        <v>3.52</v>
      </c>
      <c r="H121" s="1580">
        <f>AVERAGE('Offshore DO, pH, Phos. Sal. Con'!H85:H93)</f>
        <v>2.7433333333333341</v>
      </c>
      <c r="I121" s="1580">
        <f>AVERAGE('Offshore DO, pH, Phos. Sal. Con'!I85:I93)</f>
        <v>4.2255555555555553</v>
      </c>
      <c r="J121" s="1580">
        <f>AVERAGE('Offshore DO, pH, Phos. Sal. Con'!J85:J93)</f>
        <v>2.2762500000000001</v>
      </c>
      <c r="K121" s="1580">
        <f>AVERAGE('Offshore DO, pH, Phos. Sal. Con'!K85:K93)</f>
        <v>3.5188888888888883</v>
      </c>
      <c r="L121" s="1580">
        <f>AVERAGE('Offshore DO, pH, Phos. Sal. Con'!L85:L93)</f>
        <v>5.3033333333333337</v>
      </c>
      <c r="M121" s="1580">
        <f>AVERAGE('Offshore DO, pH, Phos. Sal. Con'!M85:M93)</f>
        <v>4.8733333333333331</v>
      </c>
      <c r="N121" s="1580">
        <f>AVERAGE('Offshore DO, pH, Phos. Sal. Con'!N85:N93)</f>
        <v>5.4516666666666671</v>
      </c>
      <c r="O121" s="1580">
        <f>AVERAGE('Offshore DO, pH, Phos. Sal. Con'!O85:O93)</f>
        <v>0</v>
      </c>
      <c r="P121" s="1580">
        <f>AVERAGE('Offshore DO, pH, Phos. Sal. Con'!P85:P93)</f>
        <v>5.19</v>
      </c>
      <c r="Q121" s="1577"/>
      <c r="R121" s="1577"/>
      <c r="S121" s="1577"/>
      <c r="T121" s="1577"/>
      <c r="U121" s="1577"/>
      <c r="V121" s="1577"/>
      <c r="W121" s="1577"/>
      <c r="X121" s="1577"/>
      <c r="Y121" s="1577"/>
      <c r="Z121" s="1577"/>
      <c r="AA121" s="1577"/>
      <c r="AB121" s="1577"/>
      <c r="AC121" s="1577"/>
      <c r="AD121" s="1577"/>
      <c r="AE121" s="1577"/>
    </row>
    <row r="122" spans="1:31">
      <c r="A122" s="3872"/>
      <c r="B122" s="3869" t="s">
        <v>199</v>
      </c>
      <c r="C122" s="1581" t="s">
        <v>312</v>
      </c>
      <c r="D122" s="1584" t="s">
        <v>66</v>
      </c>
      <c r="E122" s="1561" t="s">
        <v>82</v>
      </c>
      <c r="F122" s="1584" t="s">
        <v>66</v>
      </c>
      <c r="G122" s="1580">
        <f>MAX('Offshore DO, pH, Phos. Sal. Con'!AM85:AM93)</f>
        <v>9.8000000000000007</v>
      </c>
      <c r="H122" s="1580">
        <f>MAX('Offshore DO, pH, Phos. Sal. Con'!AN85:AN93)</f>
        <v>9.9700000000000006</v>
      </c>
      <c r="I122" s="1580">
        <f>MAX('Offshore DO, pH, Phos. Sal. Con'!AO85:AO93)</f>
        <v>9.1</v>
      </c>
      <c r="J122" s="1580">
        <f>MAX('Offshore DO, pH, Phos. Sal. Con'!AP85:AP93)</f>
        <v>9.08</v>
      </c>
      <c r="K122" s="1580">
        <f>MAX('Offshore DO, pH, Phos. Sal. Con'!AQ85:AQ93)</f>
        <v>8.99</v>
      </c>
      <c r="L122" s="1580">
        <f>MAX('Offshore DO, pH, Phos. Sal. Con'!AR85:AR93)</f>
        <v>9.02</v>
      </c>
      <c r="M122" s="1580">
        <f>MAX('Offshore DO, pH, Phos. Sal. Con'!AS85:AS93)</f>
        <v>8.84</v>
      </c>
      <c r="N122" s="1580">
        <f>MAX('Offshore DO, pH, Phos. Sal. Con'!AT85:AT93)</f>
        <v>8.9499999999999993</v>
      </c>
      <c r="O122" s="1580">
        <f>MAX('Offshore DO, pH, Phos. Sal. Con'!AU85:AU93)</f>
        <v>0</v>
      </c>
      <c r="P122" s="1580">
        <f>MAX('Offshore DO, pH, Phos. Sal. Con'!AV85:AV93)</f>
        <v>0</v>
      </c>
      <c r="Q122" s="1577"/>
      <c r="R122" s="1577"/>
      <c r="S122" s="1577"/>
      <c r="T122" s="1577"/>
      <c r="U122" s="1577"/>
      <c r="V122" s="1577"/>
      <c r="W122" s="1577"/>
      <c r="X122" s="1577"/>
      <c r="Y122" s="1577"/>
      <c r="Z122" s="1577"/>
      <c r="AA122" s="1577"/>
      <c r="AB122" s="1577"/>
      <c r="AC122" s="1577"/>
      <c r="AD122" s="1577"/>
      <c r="AE122" s="1577"/>
    </row>
    <row r="123" spans="1:31" s="1560" customFormat="1">
      <c r="A123" s="3872"/>
      <c r="B123" s="3870"/>
      <c r="C123" s="1581" t="s">
        <v>313</v>
      </c>
      <c r="D123" s="1584" t="s">
        <v>66</v>
      </c>
      <c r="E123" s="1561" t="s">
        <v>82</v>
      </c>
      <c r="F123" s="1584" t="s">
        <v>66</v>
      </c>
      <c r="G123" s="1580">
        <f>MIN('Offshore DO, pH, Phos. Sal. Con'!AM85:AM93)</f>
        <v>8.0299999999999994</v>
      </c>
      <c r="H123" s="1580">
        <f>MIN('Offshore DO, pH, Phos. Sal. Con'!AN85:AN93)</f>
        <v>9.7100000000000009</v>
      </c>
      <c r="I123" s="1580">
        <f>MIN('Offshore DO, pH, Phos. Sal. Con'!AO85:AO93)</f>
        <v>8.35</v>
      </c>
      <c r="J123" s="1580">
        <f>MIN('Offshore DO, pH, Phos. Sal. Con'!AP85:AP93)</f>
        <v>8.66</v>
      </c>
      <c r="K123" s="1580">
        <f>MIN('Offshore DO, pH, Phos. Sal. Con'!AQ85:AQ93)</f>
        <v>8.66</v>
      </c>
      <c r="L123" s="1580">
        <f>MIN('Offshore DO, pH, Phos. Sal. Con'!AR85:AR93)</f>
        <v>8.5399999999999991</v>
      </c>
      <c r="M123" s="1580">
        <f>MIN('Offshore DO, pH, Phos. Sal. Con'!AS85:AS93)</f>
        <v>8.36</v>
      </c>
      <c r="N123" s="1580">
        <f>MIN('Offshore DO, pH, Phos. Sal. Con'!AT85:AT93)</f>
        <v>8.59</v>
      </c>
      <c r="O123" s="1580">
        <f>MIN('Offshore DO, pH, Phos. Sal. Con'!AU85:AU93)</f>
        <v>0</v>
      </c>
      <c r="P123" s="1580">
        <f>MIN('Offshore DO, pH, Phos. Sal. Con'!AV85:AV93)</f>
        <v>0</v>
      </c>
      <c r="Q123" s="1577"/>
      <c r="R123" s="1577"/>
      <c r="S123" s="1577"/>
      <c r="T123" s="1577"/>
      <c r="U123" s="1577"/>
      <c r="V123" s="1577"/>
      <c r="W123" s="1577"/>
      <c r="X123" s="1577"/>
      <c r="Y123" s="1577"/>
      <c r="Z123" s="1577"/>
      <c r="AA123" s="1577"/>
      <c r="AB123" s="1577"/>
      <c r="AC123" s="1577"/>
      <c r="AD123" s="1577"/>
      <c r="AE123" s="1577"/>
    </row>
    <row r="124" spans="1:31" s="1560" customFormat="1">
      <c r="A124" s="3872"/>
      <c r="B124" s="3871"/>
      <c r="C124" s="1581" t="s">
        <v>315</v>
      </c>
      <c r="D124" s="1584" t="s">
        <v>66</v>
      </c>
      <c r="E124" s="1561" t="s">
        <v>82</v>
      </c>
      <c r="F124" s="1584" t="s">
        <v>66</v>
      </c>
      <c r="G124" s="1580">
        <f>AVERAGE('Offshore DO, pH, Phos. Sal. Con'!AM85:AM93)</f>
        <v>9.4228571428571417</v>
      </c>
      <c r="H124" s="1580">
        <f>AVERAGE('Offshore DO, pH, Phos. Sal. Con'!AN85:AN93)</f>
        <v>9.8844444444444459</v>
      </c>
      <c r="I124" s="1580">
        <f>AVERAGE('Offshore DO, pH, Phos. Sal. Con'!AO85:AO93)</f>
        <v>8.7822222222222219</v>
      </c>
      <c r="J124" s="1580">
        <f>AVERAGE('Offshore DO, pH, Phos. Sal. Con'!AP85:AP93)</f>
        <v>8.92</v>
      </c>
      <c r="K124" s="1580">
        <f>AVERAGE('Offshore DO, pH, Phos. Sal. Con'!AQ85:AQ93)</f>
        <v>8.7855555555555558</v>
      </c>
      <c r="L124" s="1580">
        <f>AVERAGE('Offshore DO, pH, Phos. Sal. Con'!AR85:AR93)</f>
        <v>8.8344444444444434</v>
      </c>
      <c r="M124" s="1580">
        <f>AVERAGE('Offshore DO, pH, Phos. Sal. Con'!AS85:AS93)</f>
        <v>8.7299999999999986</v>
      </c>
      <c r="N124" s="1580">
        <f>AVERAGE('Offshore DO, pH, Phos. Sal. Con'!AT85:AT93)</f>
        <v>8.7333333333333343</v>
      </c>
      <c r="O124" s="1580">
        <f>AVERAGE('Offshore DO, pH, Phos. Sal. Con'!AU85:AU93)</f>
        <v>0</v>
      </c>
      <c r="P124" s="1580" t="e">
        <f>AVERAGE('Offshore DO, pH, Phos. Sal. Con'!AV85:AV93)</f>
        <v>#DIV/0!</v>
      </c>
      <c r="Q124" s="1577"/>
      <c r="R124" s="1577"/>
      <c r="S124" s="1577"/>
      <c r="T124" s="1577"/>
      <c r="U124" s="1577"/>
      <c r="V124" s="1577"/>
      <c r="W124" s="1577"/>
      <c r="X124" s="1577"/>
      <c r="Y124" s="1577"/>
      <c r="Z124" s="1577"/>
      <c r="AA124" s="1577"/>
      <c r="AB124" s="1577"/>
      <c r="AC124" s="1577"/>
      <c r="AD124" s="1577"/>
      <c r="AE124" s="1577"/>
    </row>
    <row r="125" spans="1:31">
      <c r="A125" s="3872"/>
      <c r="B125" s="3869" t="s">
        <v>169</v>
      </c>
      <c r="C125" s="1581" t="s">
        <v>312</v>
      </c>
      <c r="D125" s="1584" t="s">
        <v>66</v>
      </c>
      <c r="E125" s="1561" t="s">
        <v>82</v>
      </c>
      <c r="F125" s="1584" t="s">
        <v>66</v>
      </c>
      <c r="G125" s="1584" t="s">
        <v>66</v>
      </c>
      <c r="H125" s="1580">
        <f>MAX('Offshore DO, pH, Phos. Sal. Con'!BT85:BT93)</f>
        <v>0.56699999999999995</v>
      </c>
      <c r="I125" s="1580">
        <f>MAX('Offshore DO, pH, Phos. Sal. Con'!BU85:BU93)</f>
        <v>0.74</v>
      </c>
      <c r="J125" s="1580">
        <f>MAX('Offshore DO, pH, Phos. Sal. Con'!BV85:BV93)</f>
        <v>1.151</v>
      </c>
      <c r="K125" s="1580">
        <f>MAX('Offshore DO, pH, Phos. Sal. Con'!BW85:BW93)</f>
        <v>0</v>
      </c>
      <c r="L125" s="1580">
        <f>MAX('Offshore DO, pH, Phos. Sal. Con'!BX85:BX93)</f>
        <v>0</v>
      </c>
      <c r="M125" s="1580">
        <f>MAX('Offshore DO, pH, Phos. Sal. Con'!BY85:BY93)</f>
        <v>8.9849999999999994</v>
      </c>
      <c r="N125" s="1580">
        <f>MAX('Offshore DO, pH, Phos. Sal. Con'!BZ85:BZ93)</f>
        <v>0</v>
      </c>
      <c r="O125" s="1580">
        <f>MAX('Offshore DO, pH, Phos. Sal. Con'!CA85:CA93)</f>
        <v>0</v>
      </c>
      <c r="P125" s="1580">
        <f>MAX('Offshore DO, pH, Phos. Sal. Con'!CB85:CB93)</f>
        <v>0.45</v>
      </c>
      <c r="Q125" s="1577"/>
      <c r="R125" s="1577"/>
      <c r="S125" s="1577"/>
      <c r="T125" s="1577"/>
      <c r="U125" s="1577"/>
      <c r="V125" s="1577"/>
      <c r="W125" s="1577"/>
      <c r="X125" s="1577"/>
      <c r="Y125" s="1577"/>
      <c r="Z125" s="1577"/>
      <c r="AA125" s="1577"/>
      <c r="AB125" s="1577"/>
      <c r="AC125" s="1577"/>
      <c r="AD125" s="1577"/>
      <c r="AE125" s="1577"/>
    </row>
    <row r="126" spans="1:31" s="1560" customFormat="1">
      <c r="A126" s="3872"/>
      <c r="B126" s="3870"/>
      <c r="C126" s="1581" t="s">
        <v>313</v>
      </c>
      <c r="D126" s="1584" t="s">
        <v>66</v>
      </c>
      <c r="E126" s="1561" t="s">
        <v>82</v>
      </c>
      <c r="F126" s="1584" t="s">
        <v>66</v>
      </c>
      <c r="G126" s="1584" t="s">
        <v>66</v>
      </c>
      <c r="H126" s="1580">
        <f>MIN('Offshore DO, pH, Phos. Sal. Con'!BT85:BT93)</f>
        <v>0.24099999999999999</v>
      </c>
      <c r="I126" s="1580">
        <f>MIN('Offshore DO, pH, Phos. Sal. Con'!BU85:BU93)</f>
        <v>0.54200000000000004</v>
      </c>
      <c r="J126" s="1580">
        <f>MIN('Offshore DO, pH, Phos. Sal. Con'!BV85:BV93)</f>
        <v>0</v>
      </c>
      <c r="K126" s="1580">
        <f>MIN('Offshore DO, pH, Phos. Sal. Con'!BW85:BW93)</f>
        <v>0</v>
      </c>
      <c r="L126" s="1580">
        <f>MIN('Offshore DO, pH, Phos. Sal. Con'!BX85:BX93)</f>
        <v>0</v>
      </c>
      <c r="M126" s="1580">
        <f>MIN('Offshore DO, pH, Phos. Sal. Con'!BY85:BY93)</f>
        <v>1.0109999999999999</v>
      </c>
      <c r="N126" s="1580">
        <f>MIN('Offshore DO, pH, Phos. Sal. Con'!BZ85:BZ93)</f>
        <v>0</v>
      </c>
      <c r="O126" s="1580">
        <f>MIN('Offshore DO, pH, Phos. Sal. Con'!CA85:CA93)</f>
        <v>0</v>
      </c>
      <c r="P126" s="1580">
        <f>MIN('Offshore DO, pH, Phos. Sal. Con'!CB85:CB93)</f>
        <v>0.25</v>
      </c>
      <c r="Q126" s="1577"/>
      <c r="R126" s="1577"/>
      <c r="S126" s="1577"/>
      <c r="T126" s="1577"/>
      <c r="U126" s="1577"/>
      <c r="V126" s="1577"/>
      <c r="W126" s="1577"/>
      <c r="X126" s="1577"/>
      <c r="Y126" s="1577"/>
      <c r="Z126" s="1577"/>
      <c r="AA126" s="1577"/>
      <c r="AB126" s="1577"/>
      <c r="AC126" s="1577"/>
      <c r="AD126" s="1577"/>
      <c r="AE126" s="1577"/>
    </row>
    <row r="127" spans="1:31" s="1560" customFormat="1">
      <c r="A127" s="3872"/>
      <c r="B127" s="3871"/>
      <c r="C127" s="1581" t="s">
        <v>315</v>
      </c>
      <c r="D127" s="1584" t="s">
        <v>66</v>
      </c>
      <c r="E127" s="1561" t="s">
        <v>82</v>
      </c>
      <c r="F127" s="1584" t="s">
        <v>66</v>
      </c>
      <c r="G127" s="1584" t="s">
        <v>66</v>
      </c>
      <c r="H127" s="1580">
        <f>AVERAGE('Offshore DO, pH, Phos. Sal. Con'!BT85:BT93)</f>
        <v>0.42677777777777781</v>
      </c>
      <c r="I127" s="1580">
        <f>AVERAGE('Offshore DO, pH, Phos. Sal. Con'!BU85:BU93)</f>
        <v>0.64466666666666672</v>
      </c>
      <c r="J127" s="1580">
        <f>AVERAGE('Offshore DO, pH, Phos. Sal. Con'!BV85:BV93)</f>
        <v>0.80799999999999994</v>
      </c>
      <c r="K127" s="1580">
        <f>AVERAGE('Offshore DO, pH, Phos. Sal. Con'!BW85:BW93)</f>
        <v>0</v>
      </c>
      <c r="L127" s="1580">
        <f>AVERAGE('Offshore DO, pH, Phos. Sal. Con'!BX85:BX93)</f>
        <v>0</v>
      </c>
      <c r="M127" s="1580">
        <f>AVERAGE('Offshore DO, pH, Phos. Sal. Con'!BY85:BY93)</f>
        <v>1.9571111111111108</v>
      </c>
      <c r="N127" s="1580">
        <f>AVERAGE('Offshore DO, pH, Phos. Sal. Con'!BZ85:BZ93)</f>
        <v>0</v>
      </c>
      <c r="O127" s="1580" t="e">
        <f>AVERAGE('Offshore DO, pH, Phos. Sal. Con'!CA85:CA93)</f>
        <v>#DIV/0!</v>
      </c>
      <c r="P127" s="1580">
        <f>AVERAGE('Offshore DO, pH, Phos. Sal. Con'!CB85:CB93)</f>
        <v>0.36000000000000004</v>
      </c>
      <c r="Q127" s="1577"/>
      <c r="R127" s="1577"/>
      <c r="S127" s="1577"/>
      <c r="T127" s="1577"/>
      <c r="U127" s="1577"/>
      <c r="V127" s="1577"/>
      <c r="W127" s="1577"/>
      <c r="X127" s="1577"/>
      <c r="Y127" s="1577"/>
      <c r="Z127" s="1577"/>
      <c r="AA127" s="1577"/>
      <c r="AB127" s="1577"/>
      <c r="AC127" s="1577"/>
      <c r="AD127" s="1577"/>
      <c r="AE127" s="1577"/>
    </row>
  </sheetData>
  <mergeCells count="59">
    <mergeCell ref="B125:B127"/>
    <mergeCell ref="A119:A127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A101:A109"/>
    <mergeCell ref="A110:A118"/>
    <mergeCell ref="A88:A99"/>
    <mergeCell ref="B88:B90"/>
    <mergeCell ref="B91:B93"/>
    <mergeCell ref="B94:B96"/>
    <mergeCell ref="B97:B99"/>
    <mergeCell ref="B82:B84"/>
    <mergeCell ref="B85:B87"/>
    <mergeCell ref="A70:A87"/>
    <mergeCell ref="B70:B72"/>
    <mergeCell ref="B73:B75"/>
    <mergeCell ref="B76:B78"/>
    <mergeCell ref="B79:B81"/>
    <mergeCell ref="B67:B69"/>
    <mergeCell ref="A52:A69"/>
    <mergeCell ref="B52:B54"/>
    <mergeCell ref="B55:B57"/>
    <mergeCell ref="B58:B60"/>
    <mergeCell ref="B61:B63"/>
    <mergeCell ref="B64:B66"/>
    <mergeCell ref="A25:A51"/>
    <mergeCell ref="B34:B36"/>
    <mergeCell ref="B37:B39"/>
    <mergeCell ref="B40:B42"/>
    <mergeCell ref="B43:B45"/>
    <mergeCell ref="B46:B48"/>
    <mergeCell ref="B49:B51"/>
    <mergeCell ref="B25:B27"/>
    <mergeCell ref="B28:B30"/>
    <mergeCell ref="B31:B33"/>
    <mergeCell ref="A4:A24"/>
    <mergeCell ref="B4:B6"/>
    <mergeCell ref="B7:B9"/>
    <mergeCell ref="B10:B12"/>
    <mergeCell ref="B13:B15"/>
    <mergeCell ref="B16:B18"/>
    <mergeCell ref="B19:B21"/>
    <mergeCell ref="B22:B24"/>
    <mergeCell ref="AB2:AE2"/>
    <mergeCell ref="A2:A3"/>
    <mergeCell ref="B2:B3"/>
    <mergeCell ref="C2:C3"/>
    <mergeCell ref="D2:G2"/>
    <mergeCell ref="H2:K2"/>
    <mergeCell ref="L2:O2"/>
    <mergeCell ref="P2:S2"/>
    <mergeCell ref="T2:W2"/>
    <mergeCell ref="X2:AA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49"/>
  <sheetViews>
    <sheetView workbookViewId="0">
      <selection activeCell="O17" sqref="O17"/>
    </sheetView>
  </sheetViews>
  <sheetFormatPr defaultRowHeight="15"/>
  <cols>
    <col min="2" max="2" width="18.140625" customWidth="1"/>
  </cols>
  <sheetData>
    <row r="1" spans="1:12" ht="15.75" customHeight="1">
      <c r="A1" s="3878" t="s">
        <v>367</v>
      </c>
      <c r="B1" s="3878"/>
      <c r="C1" s="3878"/>
      <c r="D1" s="3878"/>
      <c r="E1" s="3878"/>
      <c r="F1" s="3878"/>
      <c r="G1" s="3878"/>
      <c r="H1" s="3878"/>
      <c r="I1" s="3878"/>
      <c r="J1" s="3878"/>
      <c r="K1" s="3878"/>
      <c r="L1" s="2978"/>
    </row>
    <row r="2" spans="1:12" ht="16.5" thickBot="1">
      <c r="A2" s="3879" t="s">
        <v>368</v>
      </c>
      <c r="B2" s="3879"/>
      <c r="C2" s="3879"/>
      <c r="D2" s="3879"/>
      <c r="E2" s="3879"/>
      <c r="F2" s="3879"/>
      <c r="G2" s="3879"/>
      <c r="H2" s="3879"/>
      <c r="I2" s="3879"/>
      <c r="J2" s="3879"/>
      <c r="K2" s="3879"/>
      <c r="L2" s="2978"/>
    </row>
    <row r="3" spans="1:12" ht="15.75" thickBot="1">
      <c r="A3" s="3880" t="s">
        <v>239</v>
      </c>
      <c r="B3" s="3880" t="s">
        <v>329</v>
      </c>
      <c r="C3" s="3883" t="s">
        <v>369</v>
      </c>
      <c r="D3" s="3884"/>
      <c r="E3" s="3885"/>
      <c r="F3" s="3886" t="s">
        <v>370</v>
      </c>
      <c r="G3" s="3887"/>
      <c r="H3" s="3888"/>
      <c r="I3" s="3886" t="s">
        <v>371</v>
      </c>
      <c r="J3" s="3887"/>
      <c r="K3" s="3888"/>
      <c r="L3" s="2978"/>
    </row>
    <row r="4" spans="1:12" ht="15.75" customHeight="1">
      <c r="A4" s="3881"/>
      <c r="B4" s="3881"/>
      <c r="C4" s="3889" t="s">
        <v>334</v>
      </c>
      <c r="D4" s="3889" t="s">
        <v>322</v>
      </c>
      <c r="E4" s="3889" t="s">
        <v>323</v>
      </c>
      <c r="F4" s="3891" t="s">
        <v>334</v>
      </c>
      <c r="G4" s="3876" t="s">
        <v>322</v>
      </c>
      <c r="H4" s="3876" t="s">
        <v>323</v>
      </c>
      <c r="I4" s="3891" t="s">
        <v>334</v>
      </c>
      <c r="J4" s="3876" t="s">
        <v>322</v>
      </c>
      <c r="K4" s="3876" t="s">
        <v>323</v>
      </c>
      <c r="L4" s="2978"/>
    </row>
    <row r="5" spans="1:12" ht="15.75" thickBot="1">
      <c r="A5" s="3882"/>
      <c r="B5" s="3882"/>
      <c r="C5" s="3890"/>
      <c r="D5" s="3890"/>
      <c r="E5" s="3890"/>
      <c r="F5" s="3892"/>
      <c r="G5" s="3877"/>
      <c r="H5" s="3877"/>
      <c r="I5" s="3892"/>
      <c r="J5" s="3877"/>
      <c r="K5" s="3877"/>
      <c r="L5" s="2978"/>
    </row>
    <row r="6" spans="1:12" ht="15.75" thickBot="1">
      <c r="A6" s="2979"/>
      <c r="B6" s="2980"/>
      <c r="C6" s="2981"/>
      <c r="D6" s="2983"/>
      <c r="E6" s="2983"/>
      <c r="F6" s="2985"/>
      <c r="G6" s="2985"/>
      <c r="H6" s="2985"/>
      <c r="I6" s="2985"/>
      <c r="J6" s="2985"/>
      <c r="K6" s="2985"/>
      <c r="L6" s="2978"/>
    </row>
    <row r="7" spans="1:12" ht="15.75" thickBot="1">
      <c r="A7" s="3895" t="s">
        <v>324</v>
      </c>
      <c r="B7" s="3896"/>
      <c r="C7" s="2986">
        <v>112</v>
      </c>
      <c r="D7" s="2986">
        <v>47</v>
      </c>
      <c r="E7" s="2987">
        <v>0.41959999999999997</v>
      </c>
      <c r="F7" s="2988">
        <v>149</v>
      </c>
      <c r="G7" s="2988">
        <v>53</v>
      </c>
      <c r="H7" s="2989">
        <v>0.35570000000000002</v>
      </c>
      <c r="I7" s="2988">
        <v>146</v>
      </c>
      <c r="J7" s="2988">
        <v>28</v>
      </c>
      <c r="K7" s="2989">
        <v>0.1918</v>
      </c>
      <c r="L7" s="2978"/>
    </row>
    <row r="8" spans="1:12" ht="15.75" thickBot="1">
      <c r="A8" s="2979"/>
      <c r="B8" s="2980" t="s">
        <v>330</v>
      </c>
      <c r="C8" s="2981">
        <v>50</v>
      </c>
      <c r="D8" s="2990">
        <v>17</v>
      </c>
      <c r="E8" s="2991">
        <v>0.34</v>
      </c>
      <c r="F8" s="2992">
        <v>81</v>
      </c>
      <c r="G8" s="2992">
        <v>20</v>
      </c>
      <c r="H8" s="2993">
        <v>0.24690000000000001</v>
      </c>
      <c r="I8" s="2992">
        <v>79</v>
      </c>
      <c r="J8" s="2992">
        <v>16</v>
      </c>
      <c r="K8" s="2993">
        <v>0.20250000000000001</v>
      </c>
      <c r="L8" s="2978"/>
    </row>
    <row r="9" spans="1:12" ht="15.75" thickBot="1">
      <c r="A9" s="2979"/>
      <c r="B9" s="2980" t="s">
        <v>331</v>
      </c>
      <c r="C9" s="2981">
        <v>14</v>
      </c>
      <c r="D9" s="2990">
        <v>9</v>
      </c>
      <c r="E9" s="2991">
        <v>0.64290000000000003</v>
      </c>
      <c r="F9" s="2992">
        <v>19</v>
      </c>
      <c r="G9" s="2992">
        <v>10</v>
      </c>
      <c r="H9" s="2993">
        <v>0.52629999999999999</v>
      </c>
      <c r="I9" s="2992">
        <v>19</v>
      </c>
      <c r="J9" s="2992">
        <v>11</v>
      </c>
      <c r="K9" s="2993">
        <v>0.57889999999999997</v>
      </c>
      <c r="L9" s="2978"/>
    </row>
    <row r="10" spans="1:12" ht="15.75" thickBot="1">
      <c r="A10" s="2979"/>
      <c r="B10" s="2980" t="s">
        <v>333</v>
      </c>
      <c r="C10" s="2981" t="s">
        <v>336</v>
      </c>
      <c r="D10" s="2990" t="s">
        <v>336</v>
      </c>
      <c r="E10" s="2990" t="s">
        <v>336</v>
      </c>
      <c r="F10" s="2992" t="s">
        <v>336</v>
      </c>
      <c r="G10" s="2992" t="s">
        <v>336</v>
      </c>
      <c r="H10" s="2992" t="s">
        <v>336</v>
      </c>
      <c r="I10" s="2992">
        <v>0</v>
      </c>
      <c r="J10" s="2992">
        <v>0</v>
      </c>
      <c r="K10" s="2993">
        <v>0</v>
      </c>
      <c r="L10" s="2978"/>
    </row>
    <row r="11" spans="1:12" ht="15.75" thickBot="1">
      <c r="A11" s="2979"/>
      <c r="B11" s="2980" t="s">
        <v>111</v>
      </c>
      <c r="C11" s="2981">
        <v>14</v>
      </c>
      <c r="D11" s="2990">
        <v>3</v>
      </c>
      <c r="E11" s="2991">
        <v>0.21429999999999999</v>
      </c>
      <c r="F11" s="2992">
        <v>14</v>
      </c>
      <c r="G11" s="2992">
        <v>4</v>
      </c>
      <c r="H11" s="2993">
        <v>0.28570000000000001</v>
      </c>
      <c r="I11" s="2992">
        <v>14</v>
      </c>
      <c r="J11" s="2992">
        <v>1</v>
      </c>
      <c r="K11" s="2993">
        <v>7.1400000000000005E-2</v>
      </c>
      <c r="L11" s="2978"/>
    </row>
    <row r="12" spans="1:12" ht="15.75" thickBot="1">
      <c r="A12" s="2979"/>
      <c r="B12" s="2980" t="s">
        <v>332</v>
      </c>
      <c r="C12" s="2981">
        <v>9</v>
      </c>
      <c r="D12" s="2990">
        <v>9</v>
      </c>
      <c r="E12" s="2991">
        <v>1</v>
      </c>
      <c r="F12" s="2992">
        <v>9</v>
      </c>
      <c r="G12" s="2992">
        <v>9</v>
      </c>
      <c r="H12" s="2993">
        <v>1</v>
      </c>
      <c r="I12" s="2992">
        <v>9</v>
      </c>
      <c r="J12" s="2992">
        <v>0</v>
      </c>
      <c r="K12" s="2993">
        <v>0</v>
      </c>
      <c r="L12" s="2978"/>
    </row>
    <row r="13" spans="1:12" ht="15.75" thickBot="1">
      <c r="A13" s="2979"/>
      <c r="B13" s="2980" t="s">
        <v>372</v>
      </c>
      <c r="C13" s="2981">
        <v>25</v>
      </c>
      <c r="D13" s="2990">
        <v>9</v>
      </c>
      <c r="E13" s="2991">
        <v>0.36</v>
      </c>
      <c r="F13" s="2992">
        <v>26</v>
      </c>
      <c r="G13" s="2992">
        <v>10</v>
      </c>
      <c r="H13" s="2993">
        <v>0.3846</v>
      </c>
      <c r="I13" s="2992">
        <v>25</v>
      </c>
      <c r="J13" s="2992">
        <v>0</v>
      </c>
      <c r="K13" s="2993">
        <v>0</v>
      </c>
      <c r="L13" s="2978"/>
    </row>
    <row r="14" spans="1:12" ht="15.75" thickBot="1">
      <c r="A14" s="2979"/>
      <c r="B14" s="2980"/>
      <c r="C14" s="2994"/>
      <c r="D14" s="2982"/>
      <c r="E14" s="2982"/>
      <c r="F14" s="2984"/>
      <c r="G14" s="2984"/>
      <c r="H14" s="2984"/>
      <c r="I14" s="2984"/>
      <c r="J14" s="2984"/>
      <c r="K14" s="2984"/>
      <c r="L14" s="2978"/>
    </row>
    <row r="15" spans="1:12" ht="15.75" thickBot="1">
      <c r="A15" s="3895" t="s">
        <v>335</v>
      </c>
      <c r="B15" s="3896"/>
      <c r="C15" s="2986">
        <v>77</v>
      </c>
      <c r="D15" s="2986">
        <v>18</v>
      </c>
      <c r="E15" s="2987">
        <v>0.23380000000000001</v>
      </c>
      <c r="F15" s="2988">
        <v>98</v>
      </c>
      <c r="G15" s="2988">
        <v>41</v>
      </c>
      <c r="H15" s="2989">
        <v>0.41839999999999999</v>
      </c>
      <c r="I15" s="2988">
        <v>99</v>
      </c>
      <c r="J15" s="2988">
        <v>33</v>
      </c>
      <c r="K15" s="2989">
        <v>0.33329999999999999</v>
      </c>
      <c r="L15" s="2978"/>
    </row>
    <row r="16" spans="1:12" ht="15.75" thickBot="1">
      <c r="A16" s="2979"/>
      <c r="B16" s="2980" t="s">
        <v>330</v>
      </c>
      <c r="C16" s="2981">
        <v>63</v>
      </c>
      <c r="D16" s="2990">
        <v>16</v>
      </c>
      <c r="E16" s="2991">
        <v>0.254</v>
      </c>
      <c r="F16" s="2992">
        <v>84</v>
      </c>
      <c r="G16" s="2992">
        <v>34</v>
      </c>
      <c r="H16" s="2993">
        <v>0.40479999999999999</v>
      </c>
      <c r="I16" s="2992">
        <v>76</v>
      </c>
      <c r="J16" s="2992">
        <v>23</v>
      </c>
      <c r="K16" s="2993">
        <v>0.30259999999999998</v>
      </c>
      <c r="L16" s="2978"/>
    </row>
    <row r="17" spans="1:12" ht="15.75" thickBot="1">
      <c r="A17" s="2979"/>
      <c r="B17" s="2980" t="s">
        <v>111</v>
      </c>
      <c r="C17" s="2981">
        <v>14</v>
      </c>
      <c r="D17" s="2990">
        <v>2</v>
      </c>
      <c r="E17" s="2991">
        <v>0.1429</v>
      </c>
      <c r="F17" s="2992">
        <v>14</v>
      </c>
      <c r="G17" s="2992">
        <v>7</v>
      </c>
      <c r="H17" s="2993">
        <v>0.5</v>
      </c>
      <c r="I17" s="2992">
        <v>14</v>
      </c>
      <c r="J17" s="2992">
        <v>1</v>
      </c>
      <c r="K17" s="2993">
        <v>7.1400000000000005E-2</v>
      </c>
      <c r="L17" s="2978"/>
    </row>
    <row r="18" spans="1:12" ht="15.75" thickBot="1">
      <c r="A18" s="2979"/>
      <c r="B18" s="2980" t="s">
        <v>332</v>
      </c>
      <c r="C18" s="2981" t="s">
        <v>336</v>
      </c>
      <c r="D18" s="2990" t="s">
        <v>336</v>
      </c>
      <c r="E18" s="2990" t="s">
        <v>336</v>
      </c>
      <c r="F18" s="2992" t="s">
        <v>336</v>
      </c>
      <c r="G18" s="2992" t="s">
        <v>336</v>
      </c>
      <c r="H18" s="2992" t="s">
        <v>336</v>
      </c>
      <c r="I18" s="2992">
        <v>9</v>
      </c>
      <c r="J18" s="2992">
        <v>9</v>
      </c>
      <c r="K18" s="2993">
        <v>1</v>
      </c>
      <c r="L18" s="2978"/>
    </row>
    <row r="19" spans="1:12" ht="15.75" thickBot="1">
      <c r="A19" s="2979"/>
      <c r="B19" s="2980" t="s">
        <v>372</v>
      </c>
      <c r="C19" s="2981" t="s">
        <v>336</v>
      </c>
      <c r="D19" s="2990" t="s">
        <v>336</v>
      </c>
      <c r="E19" s="2990" t="s">
        <v>336</v>
      </c>
      <c r="F19" s="2992" t="s">
        <v>336</v>
      </c>
      <c r="G19" s="2992" t="s">
        <v>336</v>
      </c>
      <c r="H19" s="2992" t="s">
        <v>336</v>
      </c>
      <c r="I19" s="2992">
        <v>0</v>
      </c>
      <c r="J19" s="2992">
        <v>0</v>
      </c>
      <c r="K19" s="2993">
        <v>0</v>
      </c>
      <c r="L19" s="2978"/>
    </row>
    <row r="20" spans="1:12" ht="15.75" thickBot="1">
      <c r="A20" s="2979"/>
      <c r="B20" s="2980"/>
      <c r="C20" s="2994"/>
      <c r="D20" s="2982"/>
      <c r="E20" s="2982"/>
      <c r="F20" s="2984"/>
      <c r="G20" s="2984"/>
      <c r="H20" s="2984"/>
      <c r="I20" s="2984"/>
      <c r="J20" s="2984"/>
      <c r="K20" s="2984"/>
      <c r="L20" s="2978"/>
    </row>
    <row r="21" spans="1:12" ht="15.75" thickBot="1">
      <c r="A21" s="3895" t="s">
        <v>199</v>
      </c>
      <c r="B21" s="3896"/>
      <c r="C21" s="2986">
        <v>112</v>
      </c>
      <c r="D21" s="2986">
        <v>111</v>
      </c>
      <c r="E21" s="2987">
        <v>0.99109999999999998</v>
      </c>
      <c r="F21" s="2988">
        <v>147</v>
      </c>
      <c r="G21" s="2988">
        <v>137</v>
      </c>
      <c r="H21" s="2989">
        <v>0.93200000000000005</v>
      </c>
      <c r="I21" s="2988">
        <v>132</v>
      </c>
      <c r="J21" s="2988">
        <v>126</v>
      </c>
      <c r="K21" s="2989">
        <v>0.95450000000000002</v>
      </c>
      <c r="L21" s="2978"/>
    </row>
    <row r="22" spans="1:12" ht="15.75" thickBot="1">
      <c r="A22" s="2979"/>
      <c r="B22" s="2980" t="s">
        <v>330</v>
      </c>
      <c r="C22" s="2981">
        <v>50</v>
      </c>
      <c r="D22" s="2990">
        <v>49</v>
      </c>
      <c r="E22" s="2991">
        <v>0.98</v>
      </c>
      <c r="F22" s="2992">
        <v>84</v>
      </c>
      <c r="G22" s="2992">
        <v>80</v>
      </c>
      <c r="H22" s="2993">
        <v>0.95240000000000002</v>
      </c>
      <c r="I22" s="2992">
        <v>79</v>
      </c>
      <c r="J22" s="2992">
        <v>73</v>
      </c>
      <c r="K22" s="2993">
        <v>0.92410000000000003</v>
      </c>
      <c r="L22" s="2978"/>
    </row>
    <row r="23" spans="1:12" ht="15.75" thickBot="1">
      <c r="A23" s="2979"/>
      <c r="B23" s="2980" t="s">
        <v>331</v>
      </c>
      <c r="C23" s="2981">
        <v>14</v>
      </c>
      <c r="D23" s="2990">
        <v>14</v>
      </c>
      <c r="E23" s="2991">
        <v>1</v>
      </c>
      <c r="F23" s="2992">
        <v>14</v>
      </c>
      <c r="G23" s="2992">
        <v>14</v>
      </c>
      <c r="H23" s="2993">
        <v>1</v>
      </c>
      <c r="I23" s="2992">
        <v>19</v>
      </c>
      <c r="J23" s="2992">
        <v>19</v>
      </c>
      <c r="K23" s="2993">
        <v>1</v>
      </c>
      <c r="L23" s="2978"/>
    </row>
    <row r="24" spans="1:12" ht="15.75" thickBot="1">
      <c r="A24" s="2979"/>
      <c r="B24" s="2980" t="s">
        <v>333</v>
      </c>
      <c r="C24" s="2981" t="s">
        <v>336</v>
      </c>
      <c r="D24" s="2990" t="s">
        <v>336</v>
      </c>
      <c r="E24" s="2990" t="s">
        <v>336</v>
      </c>
      <c r="F24" s="2992" t="s">
        <v>336</v>
      </c>
      <c r="G24" s="2992" t="s">
        <v>336</v>
      </c>
      <c r="H24" s="2992" t="s">
        <v>336</v>
      </c>
      <c r="I24" s="2992">
        <v>0</v>
      </c>
      <c r="J24" s="2992">
        <v>0</v>
      </c>
      <c r="K24" s="2993">
        <v>0</v>
      </c>
      <c r="L24" s="2978"/>
    </row>
    <row r="25" spans="1:12" ht="15.75" thickBot="1">
      <c r="A25" s="2979"/>
      <c r="B25" s="2980" t="s">
        <v>111</v>
      </c>
      <c r="C25" s="2981">
        <v>14</v>
      </c>
      <c r="D25" s="2990">
        <v>14</v>
      </c>
      <c r="E25" s="2991">
        <v>1</v>
      </c>
      <c r="F25" s="2992">
        <v>14</v>
      </c>
      <c r="G25" s="2992">
        <v>9</v>
      </c>
      <c r="H25" s="2993">
        <v>0.64290000000000003</v>
      </c>
      <c r="I25" s="2992">
        <v>0</v>
      </c>
      <c r="J25" s="2992">
        <v>0</v>
      </c>
      <c r="K25" s="2993">
        <v>0</v>
      </c>
      <c r="L25" s="2978"/>
    </row>
    <row r="26" spans="1:12" ht="15.75" thickBot="1">
      <c r="A26" s="2979"/>
      <c r="B26" s="2980" t="s">
        <v>332</v>
      </c>
      <c r="C26" s="2981">
        <v>9</v>
      </c>
      <c r="D26" s="2990">
        <v>9</v>
      </c>
      <c r="E26" s="2991">
        <v>1</v>
      </c>
      <c r="F26" s="2992">
        <v>9</v>
      </c>
      <c r="G26" s="2992">
        <v>9</v>
      </c>
      <c r="H26" s="2993">
        <v>1</v>
      </c>
      <c r="I26" s="2992">
        <v>9</v>
      </c>
      <c r="J26" s="2992">
        <v>9</v>
      </c>
      <c r="K26" s="2993">
        <v>1</v>
      </c>
      <c r="L26" s="2978"/>
    </row>
    <row r="27" spans="1:12" ht="15.75" thickBot="1">
      <c r="A27" s="2979"/>
      <c r="B27" s="2980" t="s">
        <v>372</v>
      </c>
      <c r="C27" s="2981">
        <v>25</v>
      </c>
      <c r="D27" s="2990">
        <v>25</v>
      </c>
      <c r="E27" s="2991">
        <v>1</v>
      </c>
      <c r="F27" s="2992">
        <v>26</v>
      </c>
      <c r="G27" s="2992">
        <v>25</v>
      </c>
      <c r="H27" s="2993">
        <v>0.96150000000000002</v>
      </c>
      <c r="I27" s="2992">
        <v>25</v>
      </c>
      <c r="J27" s="2992">
        <v>25</v>
      </c>
      <c r="K27" s="2993">
        <v>1</v>
      </c>
      <c r="L27" s="2978"/>
    </row>
    <row r="28" spans="1:12" ht="15.75" thickBot="1">
      <c r="A28" s="2979"/>
      <c r="B28" s="2980"/>
      <c r="C28" s="2994"/>
      <c r="D28" s="2982"/>
      <c r="E28" s="2982"/>
      <c r="F28" s="2984"/>
      <c r="G28" s="2984"/>
      <c r="H28" s="2984"/>
      <c r="I28" s="2984"/>
      <c r="J28" s="2984"/>
      <c r="K28" s="2984"/>
      <c r="L28" s="2978"/>
    </row>
    <row r="29" spans="1:12" ht="15.75" thickBot="1">
      <c r="A29" s="3895" t="s">
        <v>170</v>
      </c>
      <c r="B29" s="3896"/>
      <c r="C29" s="2986">
        <v>53</v>
      </c>
      <c r="D29" s="2986">
        <v>45</v>
      </c>
      <c r="E29" s="2987">
        <v>0.84909999999999997</v>
      </c>
      <c r="F29" s="2988">
        <v>74</v>
      </c>
      <c r="G29" s="2988">
        <v>67</v>
      </c>
      <c r="H29" s="2989">
        <v>0.90539999999999998</v>
      </c>
      <c r="I29" s="2988">
        <v>126</v>
      </c>
      <c r="J29" s="2988">
        <v>67</v>
      </c>
      <c r="K29" s="2989">
        <v>0.53169999999999995</v>
      </c>
      <c r="L29" s="2978"/>
    </row>
    <row r="30" spans="1:12" ht="15.75" thickBot="1">
      <c r="A30" s="2979"/>
      <c r="B30" s="2980" t="s">
        <v>330</v>
      </c>
      <c r="C30" s="2981">
        <v>39</v>
      </c>
      <c r="D30" s="2990">
        <v>31</v>
      </c>
      <c r="E30" s="2991">
        <v>0.79490000000000005</v>
      </c>
      <c r="F30" s="2992">
        <v>60</v>
      </c>
      <c r="G30" s="2992">
        <v>53</v>
      </c>
      <c r="H30" s="2993">
        <v>0.88329999999999997</v>
      </c>
      <c r="I30" s="2992">
        <v>79</v>
      </c>
      <c r="J30" s="2992">
        <v>24</v>
      </c>
      <c r="K30" s="2993">
        <v>0.34179999999999999</v>
      </c>
      <c r="L30" s="2978"/>
    </row>
    <row r="31" spans="1:12" ht="15.75" thickBot="1">
      <c r="A31" s="2979"/>
      <c r="B31" s="2980" t="s">
        <v>111</v>
      </c>
      <c r="C31" s="2981">
        <v>14</v>
      </c>
      <c r="D31" s="2990">
        <v>14</v>
      </c>
      <c r="E31" s="2991">
        <v>1</v>
      </c>
      <c r="F31" s="2992">
        <v>14</v>
      </c>
      <c r="G31" s="2992">
        <v>14</v>
      </c>
      <c r="H31" s="2993">
        <v>1</v>
      </c>
      <c r="I31" s="2992">
        <v>14</v>
      </c>
      <c r="J31" s="2992">
        <v>10</v>
      </c>
      <c r="K31" s="2993">
        <v>0.71430000000000005</v>
      </c>
      <c r="L31" s="2978"/>
    </row>
    <row r="32" spans="1:12" ht="15.75" thickBot="1">
      <c r="A32" s="2979"/>
      <c r="B32" s="2980" t="s">
        <v>332</v>
      </c>
      <c r="C32" s="2981" t="s">
        <v>336</v>
      </c>
      <c r="D32" s="2990" t="s">
        <v>336</v>
      </c>
      <c r="E32" s="2990" t="s">
        <v>336</v>
      </c>
      <c r="F32" s="2992" t="s">
        <v>336</v>
      </c>
      <c r="G32" s="2992" t="s">
        <v>336</v>
      </c>
      <c r="H32" s="2992" t="s">
        <v>336</v>
      </c>
      <c r="I32" s="2992">
        <v>9</v>
      </c>
      <c r="J32" s="2992">
        <v>9</v>
      </c>
      <c r="K32" s="2993">
        <v>1</v>
      </c>
      <c r="L32" s="2978"/>
    </row>
    <row r="33" spans="1:12" ht="15.75" thickBot="1">
      <c r="A33" s="2979"/>
      <c r="B33" s="2980" t="s">
        <v>372</v>
      </c>
      <c r="C33" s="2981" t="s">
        <v>336</v>
      </c>
      <c r="D33" s="2990" t="s">
        <v>336</v>
      </c>
      <c r="E33" s="2990" t="s">
        <v>336</v>
      </c>
      <c r="F33" s="2992" t="s">
        <v>336</v>
      </c>
      <c r="G33" s="2992" t="s">
        <v>336</v>
      </c>
      <c r="H33" s="2992" t="s">
        <v>336</v>
      </c>
      <c r="I33" s="2992">
        <v>24</v>
      </c>
      <c r="J33" s="2992">
        <v>24</v>
      </c>
      <c r="K33" s="2993">
        <v>1</v>
      </c>
      <c r="L33" s="2978"/>
    </row>
    <row r="34" spans="1:12" ht="15.75" thickBot="1">
      <c r="A34" s="2979"/>
      <c r="B34" s="2980"/>
      <c r="C34" s="2994"/>
      <c r="D34" s="2982"/>
      <c r="E34" s="2982"/>
      <c r="F34" s="2984"/>
      <c r="G34" s="2984"/>
      <c r="H34" s="2984"/>
      <c r="I34" s="2984"/>
      <c r="J34" s="2984"/>
      <c r="K34" s="2984"/>
      <c r="L34" s="2978"/>
    </row>
    <row r="35" spans="1:12" ht="15.75" thickBot="1">
      <c r="A35" s="3895" t="s">
        <v>169</v>
      </c>
      <c r="B35" s="3896"/>
      <c r="C35" s="2986">
        <v>53</v>
      </c>
      <c r="D35" s="2986">
        <v>0</v>
      </c>
      <c r="E35" s="2987">
        <v>0</v>
      </c>
      <c r="F35" s="2988">
        <v>98</v>
      </c>
      <c r="G35" s="2988">
        <v>24</v>
      </c>
      <c r="H35" s="2989">
        <v>0.24490000000000001</v>
      </c>
      <c r="I35" s="2988">
        <v>57</v>
      </c>
      <c r="J35" s="2988">
        <v>20</v>
      </c>
      <c r="K35" s="2989">
        <v>0.35089999999999999</v>
      </c>
      <c r="L35" s="2978"/>
    </row>
    <row r="36" spans="1:12" ht="15.75" thickBot="1">
      <c r="A36" s="2979"/>
      <c r="B36" s="2980" t="s">
        <v>330</v>
      </c>
      <c r="C36" s="2981">
        <v>39</v>
      </c>
      <c r="D36" s="2990">
        <v>0</v>
      </c>
      <c r="E36" s="2991">
        <v>0</v>
      </c>
      <c r="F36" s="2992">
        <v>84</v>
      </c>
      <c r="G36" s="2992">
        <v>10</v>
      </c>
      <c r="H36" s="2993">
        <v>0.11899999999999999</v>
      </c>
      <c r="I36" s="2992">
        <v>24</v>
      </c>
      <c r="J36" s="2992">
        <v>2</v>
      </c>
      <c r="K36" s="2993">
        <v>8.3299999999999999E-2</v>
      </c>
      <c r="L36" s="2978"/>
    </row>
    <row r="37" spans="1:12" ht="15.75" thickBot="1">
      <c r="A37" s="2979"/>
      <c r="B37" s="2980" t="s">
        <v>111</v>
      </c>
      <c r="C37" s="2981">
        <v>14</v>
      </c>
      <c r="D37" s="2990">
        <v>0</v>
      </c>
      <c r="E37" s="2991">
        <v>0</v>
      </c>
      <c r="F37" s="2992">
        <v>14</v>
      </c>
      <c r="G37" s="2992">
        <v>14</v>
      </c>
      <c r="H37" s="2993">
        <v>1</v>
      </c>
      <c r="I37" s="2992">
        <v>0</v>
      </c>
      <c r="J37" s="2992">
        <v>0</v>
      </c>
      <c r="K37" s="2993">
        <v>0</v>
      </c>
      <c r="L37" s="2978"/>
    </row>
    <row r="38" spans="1:12" ht="15.75" thickBot="1">
      <c r="A38" s="2979"/>
      <c r="B38" s="2980" t="s">
        <v>332</v>
      </c>
      <c r="C38" s="2981" t="s">
        <v>336</v>
      </c>
      <c r="D38" s="2990" t="s">
        <v>336</v>
      </c>
      <c r="E38" s="2990" t="s">
        <v>336</v>
      </c>
      <c r="F38" s="2992" t="s">
        <v>336</v>
      </c>
      <c r="G38" s="2992" t="s">
        <v>336</v>
      </c>
      <c r="H38" s="2992" t="s">
        <v>336</v>
      </c>
      <c r="I38" s="2992">
        <v>9</v>
      </c>
      <c r="J38" s="2992">
        <v>9</v>
      </c>
      <c r="K38" s="2993">
        <v>1</v>
      </c>
      <c r="L38" s="2978"/>
    </row>
    <row r="39" spans="1:12" ht="15.75" thickBot="1">
      <c r="A39" s="2979"/>
      <c r="B39" s="2980" t="s">
        <v>372</v>
      </c>
      <c r="C39" s="2981" t="s">
        <v>336</v>
      </c>
      <c r="D39" s="2990" t="s">
        <v>336</v>
      </c>
      <c r="E39" s="2990" t="s">
        <v>336</v>
      </c>
      <c r="F39" s="2992" t="s">
        <v>336</v>
      </c>
      <c r="G39" s="2992" t="s">
        <v>336</v>
      </c>
      <c r="H39" s="2992" t="s">
        <v>336</v>
      </c>
      <c r="I39" s="2992">
        <v>24</v>
      </c>
      <c r="J39" s="2992">
        <v>9</v>
      </c>
      <c r="K39" s="2993">
        <v>0.375</v>
      </c>
      <c r="L39" s="2978"/>
    </row>
    <row r="40" spans="1:12" ht="15.75" thickBot="1">
      <c r="A40" s="2979"/>
      <c r="B40" s="2980"/>
      <c r="C40" s="2994"/>
      <c r="D40" s="2982"/>
      <c r="E40" s="2982"/>
      <c r="F40" s="2984"/>
      <c r="G40" s="2984"/>
      <c r="H40" s="2984"/>
      <c r="I40" s="2984"/>
      <c r="J40" s="2984"/>
      <c r="K40" s="2984"/>
      <c r="L40" s="2978"/>
    </row>
    <row r="41" spans="1:12" ht="15.75" thickBot="1">
      <c r="A41" s="3895" t="s">
        <v>206</v>
      </c>
      <c r="B41" s="3896"/>
      <c r="C41" s="2986">
        <v>28</v>
      </c>
      <c r="D41" s="2986">
        <v>7</v>
      </c>
      <c r="E41" s="2987">
        <v>0.25</v>
      </c>
      <c r="F41" s="2988">
        <v>9</v>
      </c>
      <c r="G41" s="2988">
        <v>4</v>
      </c>
      <c r="H41" s="2989">
        <v>0.44440000000000002</v>
      </c>
      <c r="I41" s="2988">
        <v>48</v>
      </c>
      <c r="J41" s="2988">
        <v>15</v>
      </c>
      <c r="K41" s="2989">
        <v>0.3125</v>
      </c>
      <c r="L41" s="2978"/>
    </row>
    <row r="42" spans="1:12" ht="15.75" thickBot="1">
      <c r="A42" s="2979"/>
      <c r="B42" s="2980" t="s">
        <v>331</v>
      </c>
      <c r="C42" s="2981">
        <v>14</v>
      </c>
      <c r="D42" s="2990">
        <v>7</v>
      </c>
      <c r="E42" s="2991">
        <v>0.5</v>
      </c>
      <c r="F42" s="2992">
        <v>19</v>
      </c>
      <c r="G42" s="2992">
        <v>4</v>
      </c>
      <c r="H42" s="2993">
        <v>0.44440000000000002</v>
      </c>
      <c r="I42" s="2992">
        <v>14</v>
      </c>
      <c r="J42" s="2992">
        <v>6</v>
      </c>
      <c r="K42" s="2993">
        <v>0.42859999999999998</v>
      </c>
      <c r="L42" s="2978"/>
    </row>
    <row r="43" spans="1:12" ht="15.75" thickBot="1">
      <c r="A43" s="2979"/>
      <c r="B43" s="2980" t="s">
        <v>111</v>
      </c>
      <c r="C43" s="2981">
        <v>14</v>
      </c>
      <c r="D43" s="2990">
        <v>0</v>
      </c>
      <c r="E43" s="2991">
        <v>0</v>
      </c>
      <c r="F43" s="2992">
        <v>14</v>
      </c>
      <c r="G43" s="2992">
        <v>0</v>
      </c>
      <c r="H43" s="2993">
        <v>0</v>
      </c>
      <c r="I43" s="2992">
        <v>0</v>
      </c>
      <c r="J43" s="2992">
        <v>0</v>
      </c>
      <c r="K43" s="2993">
        <v>0</v>
      </c>
      <c r="L43" s="2978"/>
    </row>
    <row r="44" spans="1:12" ht="15.75" thickBot="1">
      <c r="A44" s="2979"/>
      <c r="B44" s="2980" t="s">
        <v>332</v>
      </c>
      <c r="C44" s="2981" t="s">
        <v>336</v>
      </c>
      <c r="D44" s="2990" t="s">
        <v>336</v>
      </c>
      <c r="E44" s="2990" t="s">
        <v>336</v>
      </c>
      <c r="F44" s="2992" t="s">
        <v>336</v>
      </c>
      <c r="G44" s="2992" t="s">
        <v>336</v>
      </c>
      <c r="H44" s="2992" t="s">
        <v>336</v>
      </c>
      <c r="I44" s="2992">
        <v>9</v>
      </c>
      <c r="J44" s="2992">
        <v>9</v>
      </c>
      <c r="K44" s="2993">
        <v>1</v>
      </c>
      <c r="L44" s="2978"/>
    </row>
    <row r="45" spans="1:12" ht="15.75" thickBot="1">
      <c r="A45" s="2979"/>
      <c r="B45" s="2980" t="s">
        <v>372</v>
      </c>
      <c r="C45" s="2981" t="s">
        <v>336</v>
      </c>
      <c r="D45" s="2990" t="s">
        <v>336</v>
      </c>
      <c r="E45" s="2990" t="s">
        <v>336</v>
      </c>
      <c r="F45" s="2992" t="s">
        <v>336</v>
      </c>
      <c r="G45" s="2992" t="s">
        <v>336</v>
      </c>
      <c r="H45" s="2992" t="s">
        <v>336</v>
      </c>
      <c r="I45" s="2992">
        <v>25</v>
      </c>
      <c r="J45" s="2992">
        <v>0</v>
      </c>
      <c r="K45" s="2993">
        <v>0</v>
      </c>
      <c r="L45" s="2978"/>
    </row>
    <row r="46" spans="1:12" ht="15.75" thickBot="1">
      <c r="A46" s="3893"/>
      <c r="B46" s="3894"/>
      <c r="C46" s="2982"/>
      <c r="D46" s="2982"/>
      <c r="E46" s="2982"/>
      <c r="F46" s="2984"/>
      <c r="G46" s="2984"/>
      <c r="H46" s="2984"/>
      <c r="I46" s="2984"/>
      <c r="J46" s="2984"/>
      <c r="K46" s="2984"/>
      <c r="L46" s="2978"/>
    </row>
    <row r="47" spans="1:12" ht="15.75" thickBot="1">
      <c r="A47" s="3895" t="s">
        <v>207</v>
      </c>
      <c r="B47" s="3896"/>
      <c r="C47" s="2986">
        <v>28</v>
      </c>
      <c r="D47" s="2986">
        <v>1</v>
      </c>
      <c r="E47" s="2987">
        <v>3.5700000000000003E-2</v>
      </c>
      <c r="F47" s="2988">
        <v>33</v>
      </c>
      <c r="G47" s="2988">
        <v>0</v>
      </c>
      <c r="H47" s="2989">
        <v>0</v>
      </c>
      <c r="I47" s="2988">
        <v>14</v>
      </c>
      <c r="J47" s="2988">
        <v>0</v>
      </c>
      <c r="K47" s="2989">
        <v>0</v>
      </c>
      <c r="L47" s="2978"/>
    </row>
    <row r="48" spans="1:12" ht="15.75" thickBot="1">
      <c r="A48" s="2979"/>
      <c r="B48" s="2980" t="s">
        <v>331</v>
      </c>
      <c r="C48" s="2981">
        <v>14</v>
      </c>
      <c r="D48" s="2990">
        <v>1</v>
      </c>
      <c r="E48" s="2991">
        <v>7.1400000000000005E-2</v>
      </c>
      <c r="F48" s="2992">
        <v>19</v>
      </c>
      <c r="G48" s="2992">
        <v>0</v>
      </c>
      <c r="H48" s="2993">
        <v>0</v>
      </c>
      <c r="I48" s="2992" t="s">
        <v>336</v>
      </c>
      <c r="J48" s="2992" t="s">
        <v>336</v>
      </c>
      <c r="K48" s="2992" t="s">
        <v>336</v>
      </c>
      <c r="L48" s="2978"/>
    </row>
    <row r="49" spans="1:12" ht="15.75" thickBot="1">
      <c r="A49" s="2979"/>
      <c r="B49" s="2980" t="s">
        <v>111</v>
      </c>
      <c r="C49" s="2981">
        <v>14</v>
      </c>
      <c r="D49" s="2990">
        <v>0</v>
      </c>
      <c r="E49" s="2991">
        <v>0</v>
      </c>
      <c r="F49" s="2992">
        <v>14</v>
      </c>
      <c r="G49" s="2992">
        <v>0</v>
      </c>
      <c r="H49" s="2993">
        <v>0</v>
      </c>
      <c r="I49" s="2992">
        <v>14</v>
      </c>
      <c r="J49" s="2992">
        <v>0</v>
      </c>
      <c r="K49" s="2993">
        <v>0</v>
      </c>
      <c r="L49" s="2978"/>
    </row>
  </sheetData>
  <mergeCells count="24">
    <mergeCell ref="A46:B46"/>
    <mergeCell ref="A47:B47"/>
    <mergeCell ref="A7:B7"/>
    <mergeCell ref="A15:B15"/>
    <mergeCell ref="A21:B21"/>
    <mergeCell ref="A29:B29"/>
    <mergeCell ref="A35:B35"/>
    <mergeCell ref="A41:B41"/>
    <mergeCell ref="K4:K5"/>
    <mergeCell ref="A1:K1"/>
    <mergeCell ref="A2:K2"/>
    <mergeCell ref="A3:A5"/>
    <mergeCell ref="B3:B5"/>
    <mergeCell ref="C3:E3"/>
    <mergeCell ref="F3:H3"/>
    <mergeCell ref="I3:K3"/>
    <mergeCell ref="C4:C5"/>
    <mergeCell ref="D4:D5"/>
    <mergeCell ref="E4:E5"/>
    <mergeCell ref="F4:F5"/>
    <mergeCell ref="G4:G5"/>
    <mergeCell ref="H4:H5"/>
    <mergeCell ref="I4:I5"/>
    <mergeCell ref="J4:J5"/>
  </mergeCells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C3:H9"/>
  <sheetViews>
    <sheetView zoomScale="80" zoomScaleNormal="80" workbookViewId="0">
      <selection activeCell="E7" sqref="E7"/>
    </sheetView>
  </sheetViews>
  <sheetFormatPr defaultRowHeight="15"/>
  <cols>
    <col min="1" max="2" width="9.140625" style="3451"/>
    <col min="3" max="3" width="15" style="3451" customWidth="1"/>
    <col min="4" max="4" width="28.28515625" style="3451" customWidth="1"/>
    <col min="5" max="6" width="9.140625" style="3451"/>
    <col min="7" max="7" width="15.140625" style="3451" customWidth="1"/>
    <col min="8" max="9" width="16" style="3451" customWidth="1"/>
    <col min="10" max="16384" width="9.140625" style="3451"/>
  </cols>
  <sheetData>
    <row r="3" spans="3:8">
      <c r="C3" s="3897" t="s">
        <v>301</v>
      </c>
      <c r="D3" s="3897" t="s">
        <v>430</v>
      </c>
      <c r="E3" s="11"/>
      <c r="F3" s="11"/>
      <c r="G3" s="11"/>
      <c r="H3" s="11"/>
    </row>
    <row r="4" spans="3:8">
      <c r="C4" s="3897"/>
      <c r="D4" s="3897"/>
      <c r="E4" s="11"/>
      <c r="F4" s="11"/>
      <c r="G4" s="11"/>
      <c r="H4" s="11"/>
    </row>
    <row r="5" spans="3:8">
      <c r="C5" s="11"/>
      <c r="D5" s="11"/>
      <c r="E5" s="11"/>
      <c r="F5" s="11"/>
      <c r="G5" s="11"/>
      <c r="H5" s="11"/>
    </row>
    <row r="6" spans="3:8">
      <c r="C6" s="1375" t="s">
        <v>205</v>
      </c>
      <c r="D6" s="1375" t="s">
        <v>430</v>
      </c>
      <c r="E6" s="1375" t="s">
        <v>201</v>
      </c>
      <c r="F6" s="1375" t="s">
        <v>199</v>
      </c>
      <c r="G6" s="1375" t="s">
        <v>207</v>
      </c>
      <c r="H6" s="1375" t="s">
        <v>206</v>
      </c>
    </row>
    <row r="7" spans="3:8">
      <c r="C7" s="3451" t="s">
        <v>23</v>
      </c>
      <c r="D7" s="3451" t="s">
        <v>431</v>
      </c>
    </row>
    <row r="8" spans="3:8">
      <c r="C8" s="3451" t="s">
        <v>23</v>
      </c>
      <c r="D8" s="3451" t="s">
        <v>432</v>
      </c>
    </row>
    <row r="9" spans="3:8">
      <c r="C9" s="3451" t="s">
        <v>23</v>
      </c>
      <c r="D9" s="3451" t="s">
        <v>433</v>
      </c>
    </row>
  </sheetData>
  <mergeCells count="2">
    <mergeCell ref="C3:C4"/>
    <mergeCell ref="D3:D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DO</vt:lpstr>
      <vt:lpstr>BOD</vt:lpstr>
      <vt:lpstr>pH</vt:lpstr>
      <vt:lpstr>Ammonia</vt:lpstr>
      <vt:lpstr>Nitrate</vt:lpstr>
      <vt:lpstr>TSS</vt:lpstr>
      <vt:lpstr>Phosphate</vt:lpstr>
      <vt:lpstr>Oil &amp; Grease</vt:lpstr>
      <vt:lpstr>Fecal Coliform</vt:lpstr>
      <vt:lpstr>Total Coliform</vt:lpstr>
      <vt:lpstr>Total Coliform (Rivers)</vt:lpstr>
      <vt:lpstr>Bathing Beaches DO,pH</vt:lpstr>
      <vt:lpstr>Offshore DO, pH, Phos. Sal. Con</vt:lpstr>
      <vt:lpstr>Heavy metals</vt:lpstr>
      <vt:lpstr>% Overall Water Body</vt:lpstr>
      <vt:lpstr> Summary% Pass Regions</vt:lpstr>
      <vt:lpstr>Summary per parameter</vt:lpstr>
      <vt:lpstr>Summary per parameter 2ND QTR E</vt:lpstr>
      <vt:lpstr>Overall summary</vt:lpstr>
      <vt:lpstr>Sheet1</vt:lpstr>
      <vt:lpstr>Rivermouth</vt:lpstr>
      <vt:lpstr>BOD!Print_Titles</vt:lpstr>
      <vt:lpstr>DO!Print_Titles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Manila Bay Water Quality Excel Database</dc:title>
  <dc:subject>Water Quality</dc:subject>
  <dc:creator>Archer Rebuya</dc:creator>
  <dc:description>Password is Restricted</dc:description>
  <cp:lastModifiedBy>ebbornillajr</cp:lastModifiedBy>
  <cp:lastPrinted>2017-06-19T05:44:21Z</cp:lastPrinted>
  <dcterms:created xsi:type="dcterms:W3CDTF">2013-08-05T08:54:44Z</dcterms:created>
  <dcterms:modified xsi:type="dcterms:W3CDTF">2017-08-08T09:56:33Z</dcterms:modified>
  <cp:category>Water Quslity</cp:category>
</cp:coreProperties>
</file>