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end" sheetId="1" r:id="rId4"/>
    <sheet state="visible" name="Backend" sheetId="2" r:id="rId5"/>
    <sheet state="visible" name="FrontEndBackup" sheetId="3" r:id="rId6"/>
    <sheet state="visible" name="Cal" sheetId="4" r:id="rId7"/>
  </sheets>
  <definedNames/>
  <calcPr/>
</workbook>
</file>

<file path=xl/sharedStrings.xml><?xml version="1.0" encoding="utf-8"?>
<sst xmlns="http://schemas.openxmlformats.org/spreadsheetml/2006/main" count="69" uniqueCount="47">
  <si>
    <t>Stock Name</t>
  </si>
  <si>
    <t>Symbol</t>
  </si>
  <si>
    <t>ACTION</t>
  </si>
  <si>
    <t>Current Price</t>
  </si>
  <si>
    <t>% Change</t>
  </si>
  <si>
    <t>52-Week Low</t>
  </si>
  <si>
    <t>52-Week High</t>
  </si>
  <si>
    <t>200 DMA</t>
  </si>
  <si>
    <t>Is around DMA-200</t>
  </si>
  <si>
    <t>Target Buy</t>
  </si>
  <si>
    <t>Target Sell</t>
  </si>
  <si>
    <t>My Buy</t>
  </si>
  <si>
    <t>Asian Paints</t>
  </si>
  <si>
    <t>NSE:ASIANPAINT</t>
  </si>
  <si>
    <t>DMart</t>
  </si>
  <si>
    <t>NSE:DMART</t>
  </si>
  <si>
    <t>HDFC Bank</t>
  </si>
  <si>
    <t>NSE:HDFCBANK</t>
  </si>
  <si>
    <t>Pidilite</t>
  </si>
  <si>
    <t>NSE:PIDILITIND</t>
  </si>
  <si>
    <t>Campus</t>
  </si>
  <si>
    <t>NSE:CAMPUS</t>
  </si>
  <si>
    <t>Action</t>
  </si>
  <si>
    <t>Difference Buy</t>
  </si>
  <si>
    <t>Difference Sell</t>
  </si>
  <si>
    <t>Message Attachment</t>
  </si>
  <si>
    <t>Email Required</t>
  </si>
  <si>
    <t>Email Sent</t>
  </si>
  <si>
    <t>Subject</t>
  </si>
  <si>
    <t>Message</t>
  </si>
  <si>
    <t>Tata Elxsi</t>
  </si>
  <si>
    <t>NSE:TATAELXSI</t>
  </si>
  <si>
    <t>Titan</t>
  </si>
  <si>
    <t>NSE:TITAN</t>
  </si>
  <si>
    <t>Bajaj Finance</t>
  </si>
  <si>
    <t>NSE:BAJFINANCE</t>
  </si>
  <si>
    <t>Britania</t>
  </si>
  <si>
    <t>NSE:BRITANNIA</t>
  </si>
  <si>
    <t>Kotak Bank</t>
  </si>
  <si>
    <t>NSE:KOTAKBANK</t>
  </si>
  <si>
    <t>LTTS</t>
  </si>
  <si>
    <t>NSE:LTTS</t>
  </si>
  <si>
    <t>Muthoot Finance</t>
  </si>
  <si>
    <t>NSE:MUTHOOTFIN</t>
  </si>
  <si>
    <t>5% drop</t>
  </si>
  <si>
    <t>10% Drop</t>
  </si>
  <si>
    <t>12.5% rise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</si>
</sst>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10">
    <font>
      <sz val="10.0"/>
      <color rgb="FF000000"/>
      <name val="Arial"/>
      <scheme val="minor"/>
    </font>
    <font>
      <b/>
      <sz val="13.0"/>
      <color rgb="FF00FF00"/>
      <name val="Calibri"/>
    </font>
    <font>
      <b/>
      <sz val="13.0"/>
      <color theme="1"/>
      <name val="Calibri"/>
    </font>
    <font>
      <b/>
      <sz val="13.0"/>
      <color rgb="FFFFFFFF"/>
      <name val="Calibri"/>
    </font>
    <font>
      <color theme="1"/>
      <name val="Calibri"/>
    </font>
    <font>
      <b/>
      <sz val="13.0"/>
      <color rgb="FFFFFF00"/>
      <name val="Calibri"/>
    </font>
    <font>
      <sz val="13.0"/>
      <color theme="1"/>
      <name val="Calibri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32A400"/>
        <bgColor rgb="FF32A4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2" fillId="5" fontId="3" numFmtId="0" xfId="0" applyAlignment="1" applyBorder="1" applyFill="1" applyFont="1">
      <alignment horizontal="center" readingOrder="0" shrinkToFit="0" vertical="center" wrapText="1"/>
    </xf>
    <xf borderId="2" fillId="6" fontId="3" numFmtId="0" xfId="0" applyAlignment="1" applyBorder="1" applyFill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shrinkToFit="0" vertical="center" wrapText="1"/>
    </xf>
    <xf borderId="2" fillId="7" fontId="3" numFmtId="0" xfId="0" applyAlignment="1" applyBorder="1" applyFill="1" applyFont="1">
      <alignment horizontal="center" shrinkToFit="0" vertical="center" wrapText="1"/>
    </xf>
    <xf borderId="2" fillId="8" fontId="3" numFmtId="0" xfId="0" applyAlignment="1" applyBorder="1" applyFill="1" applyFont="1">
      <alignment horizontal="center" readingOrder="0" shrinkToFit="0" vertical="center" wrapText="1"/>
    </xf>
    <xf borderId="2" fillId="9" fontId="3" numFmtId="0" xfId="0" applyAlignment="1" applyBorder="1" applyFill="1" applyFont="1">
      <alignment horizontal="center" readingOrder="0" shrinkToFit="0" vertical="center" wrapText="1"/>
    </xf>
    <xf borderId="2" fillId="10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1" fillId="11" fontId="5" numFmtId="0" xfId="0" applyAlignment="1" applyBorder="1" applyFill="1" applyFont="1">
      <alignment readingOrder="0" vertical="center"/>
    </xf>
    <xf borderId="4" fillId="12" fontId="2" numFmtId="0" xfId="0" applyAlignment="1" applyBorder="1" applyFill="1" applyFont="1">
      <alignment readingOrder="0" vertical="center"/>
    </xf>
    <xf borderId="5" fillId="13" fontId="2" numFmtId="0" xfId="0" applyAlignment="1" applyBorder="1" applyFill="1" applyFont="1">
      <alignment horizontal="center" readingOrder="0" vertical="center"/>
    </xf>
    <xf borderId="1" fillId="11" fontId="1" numFmtId="164" xfId="0" applyAlignment="1" applyBorder="1" applyFont="1" applyNumberFormat="1">
      <alignment horizontal="center" vertical="center"/>
    </xf>
    <xf borderId="4" fillId="14" fontId="6" numFmtId="2" xfId="0" applyAlignment="1" applyBorder="1" applyFill="1" applyFont="1" applyNumberFormat="1">
      <alignment horizontal="center" vertical="center"/>
    </xf>
    <xf borderId="4" fillId="15" fontId="6" numFmtId="4" xfId="0" applyAlignment="1" applyBorder="1" applyFill="1" applyFont="1" applyNumberFormat="1">
      <alignment horizontal="center" vertical="center"/>
    </xf>
    <xf borderId="4" fillId="16" fontId="6" numFmtId="4" xfId="0" applyAlignment="1" applyBorder="1" applyFill="1" applyFont="1" applyNumberFormat="1">
      <alignment horizontal="center" vertical="center"/>
    </xf>
    <xf borderId="4" fillId="13" fontId="6" numFmtId="0" xfId="0" applyAlignment="1" applyBorder="1" applyFont="1">
      <alignment horizontal="center" vertical="center"/>
    </xf>
    <xf borderId="4" fillId="17" fontId="2" numFmtId="164" xfId="0" applyAlignment="1" applyBorder="1" applyFill="1" applyFont="1" applyNumberFormat="1">
      <alignment horizontal="center" readingOrder="0" vertical="center"/>
    </xf>
    <xf borderId="4" fillId="18" fontId="2" numFmtId="164" xfId="0" applyAlignment="1" applyBorder="1" applyFill="1" applyFont="1" applyNumberFormat="1">
      <alignment horizontal="center" vertical="center"/>
    </xf>
    <xf borderId="4" fillId="19" fontId="2" numFmtId="164" xfId="0" applyAlignment="1" applyBorder="1" applyFill="1" applyFont="1" applyNumberFormat="1">
      <alignment horizontal="center" readingOrder="0" vertical="center"/>
    </xf>
    <xf borderId="6" fillId="20" fontId="7" numFmtId="0" xfId="0" applyAlignment="1" applyBorder="1" applyFill="1" applyFont="1">
      <alignment horizontal="center" vertical="center"/>
    </xf>
    <xf borderId="6" fillId="20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6" fillId="0" fontId="8" numFmtId="0" xfId="0" applyAlignment="1" applyBorder="1" applyFont="1">
      <alignment vertical="center"/>
    </xf>
    <xf borderId="6" fillId="21" fontId="8" numFmtId="0" xfId="0" applyBorder="1" applyFill="1" applyFont="1"/>
    <xf borderId="6" fillId="0" fontId="8" numFmtId="0" xfId="0" applyAlignment="1" applyBorder="1" applyFont="1">
      <alignment horizontal="center" vertical="center"/>
    </xf>
    <xf borderId="6" fillId="0" fontId="8" numFmtId="4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readingOrder="0" vertical="center"/>
    </xf>
    <xf borderId="0" fillId="0" fontId="9" numFmtId="0" xfId="0" applyFont="1"/>
    <xf borderId="1" fillId="11" fontId="5" numFmtId="0" xfId="0" applyAlignment="1" applyBorder="1" applyFont="1">
      <alignment vertical="center"/>
    </xf>
    <xf borderId="4" fillId="12" fontId="2" numFmtId="0" xfId="0" applyAlignment="1" applyBorder="1" applyFont="1">
      <alignment vertical="center"/>
    </xf>
    <xf borderId="4" fillId="18" fontId="2" numFmtId="164" xfId="0" applyAlignment="1" applyBorder="1" applyFont="1" applyNumberFormat="1">
      <alignment horizontal="center" readingOrder="0" vertical="center"/>
    </xf>
    <xf borderId="1" fillId="11" fontId="5" numFmtId="0" xfId="0" applyAlignment="1" applyBorder="1" applyFont="1">
      <alignment vertical="center"/>
    </xf>
    <xf borderId="4" fillId="12" fontId="2" numFmtId="0" xfId="0" applyAlignment="1" applyBorder="1" applyFont="1">
      <alignment vertical="center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2" max="2" width="17.88"/>
    <col customWidth="1" min="3" max="3" width="15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2" t="s">
        <v>12</v>
      </c>
      <c r="B2" s="13" t="s">
        <v>13</v>
      </c>
      <c r="C2" s="14" t="str">
        <f t="shared" ref="C2:C6" si="1">if(isblank(B2),"",if(isblank(J2),"",if(isblank(K2),"",if(D2&gt;=K2,"SELL",if(D2&lt;=J2,"BUY","HOLD")))))</f>
        <v>HOLD</v>
      </c>
      <c r="D2" s="15">
        <f>IFERROR(__xludf.DUMMYFUNCTION("GOOGLEFINANCE(B2, ""price"")"),3195.0)</f>
        <v>3195</v>
      </c>
      <c r="E2" s="16">
        <f>IFERROR(__xludf.DUMMYFUNCTION("GOOGLEFINANCE(B2, ""changepct"")"),0.78)</f>
        <v>0.78</v>
      </c>
      <c r="F2" s="17">
        <f>IFERROR(__xludf.DUMMYFUNCTION("GOOGLEFINANCE(B2,""low52"")"),2685.85)</f>
        <v>2685.85</v>
      </c>
      <c r="G2" s="17">
        <f>IFERROR(__xludf.DUMMYFUNCTION("GOOGLEFINANCE(B2,""high52"")"),3568.0)</f>
        <v>3568</v>
      </c>
      <c r="H2" s="18">
        <f>IFERROR(__xludf.DUMMYFUNCTION("AVERAGE(INDEX(GoogleFinance(B2,""all"",WORKDAY(TODAY(),-200),TODAY()),,3))"),3099.148677248679)</f>
        <v>3099.148677</v>
      </c>
      <c r="I2" s="19" t="b">
        <f t="shared" ref="I2:I6" si="2">D2&lt;H2</f>
        <v>0</v>
      </c>
      <c r="J2" s="20">
        <f t="shared" ref="J2:J5" si="3">0.95*L2</f>
        <v>3012.45</v>
      </c>
      <c r="K2" s="21">
        <f t="shared" ref="K2:K6" si="4">L2*1.125</f>
        <v>3567.375</v>
      </c>
      <c r="L2" s="22">
        <v>3171.0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2" t="s">
        <v>14</v>
      </c>
      <c r="B3" s="13" t="s">
        <v>15</v>
      </c>
      <c r="C3" s="14" t="str">
        <f t="shared" si="1"/>
        <v>HOLD</v>
      </c>
      <c r="D3" s="15">
        <f>IFERROR(__xludf.DUMMYFUNCTION("GOOGLEFINANCE(B3, ""price"")"),3671.05)</f>
        <v>3671.05</v>
      </c>
      <c r="E3" s="16">
        <f>IFERROR(__xludf.DUMMYFUNCTION("GOOGLEFINANCE(B3, ""changepct"")"),0.0)</f>
        <v>0</v>
      </c>
      <c r="F3" s="17">
        <f>IFERROR(__xludf.DUMMYFUNCTION("GOOGLEFINANCE(B3,""low52"")"),3292.0)</f>
        <v>3292</v>
      </c>
      <c r="G3" s="17">
        <f>IFERROR(__xludf.DUMMYFUNCTION("GOOGLEFINANCE(B3,""high52"")"),4600.0)</f>
        <v>4600</v>
      </c>
      <c r="H3" s="18">
        <f>IFERROR(__xludf.DUMMYFUNCTION("AVERAGE(INDEX(GoogleFinance(B3,""all"",WORKDAY(TODAY(),-200),TODAY()),,3))"),3663.78386243386)</f>
        <v>3663.783862</v>
      </c>
      <c r="I3" s="19" t="b">
        <f t="shared" si="2"/>
        <v>0</v>
      </c>
      <c r="J3" s="20">
        <f t="shared" si="3"/>
        <v>3514.05</v>
      </c>
      <c r="K3" s="21">
        <f t="shared" si="4"/>
        <v>4161.375</v>
      </c>
      <c r="L3" s="22">
        <v>3699.0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2" t="s">
        <v>16</v>
      </c>
      <c r="B4" s="13" t="s">
        <v>17</v>
      </c>
      <c r="C4" s="14" t="str">
        <f t="shared" si="1"/>
        <v>HOLD</v>
      </c>
      <c r="D4" s="15">
        <f>IFERROR(__xludf.DUMMYFUNCTION("GOOGLEFINANCE(B4, ""price"")"),1523.7)</f>
        <v>1523.7</v>
      </c>
      <c r="E4" s="16">
        <f>IFERROR(__xludf.DUMMYFUNCTION("GOOGLEFINANCE(B4, ""changepct"")"),0.0)</f>
        <v>0</v>
      </c>
      <c r="F4" s="17">
        <f>IFERROR(__xludf.DUMMYFUNCTION("GOOGLEFINANCE(B4,""low52"")"),1365.0)</f>
        <v>1365</v>
      </c>
      <c r="G4" s="17">
        <f>IFERROR(__xludf.DUMMYFUNCTION("GOOGLEFINANCE(B4,""high52"")"),1757.5)</f>
        <v>1757.5</v>
      </c>
      <c r="H4" s="18">
        <f>IFERROR(__xludf.DUMMYFUNCTION("AVERAGE(INDEX(GoogleFinance(B4,""all"",WORKDAY(TODAY(),-200),TODAY()),,3))"),1640.0783068783073)</f>
        <v>1640.078307</v>
      </c>
      <c r="I4" s="19" t="b">
        <f t="shared" si="2"/>
        <v>1</v>
      </c>
      <c r="J4" s="20">
        <f t="shared" si="3"/>
        <v>1494.35</v>
      </c>
      <c r="K4" s="21">
        <f t="shared" si="4"/>
        <v>1769.625</v>
      </c>
      <c r="L4" s="22">
        <v>1573.0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2" t="s">
        <v>18</v>
      </c>
      <c r="B5" s="13" t="s">
        <v>19</v>
      </c>
      <c r="C5" s="14" t="str">
        <f t="shared" si="1"/>
        <v>HOLD</v>
      </c>
      <c r="D5" s="15">
        <f>IFERROR(__xludf.DUMMYFUNCTION("GOOGLEFINANCE(B5, ""price"")"),2440.0)</f>
        <v>2440</v>
      </c>
      <c r="E5" s="16">
        <f>IFERROR(__xludf.DUMMYFUNCTION("GOOGLEFINANCE(B5, ""changepct"")"),0.77)</f>
        <v>0.77</v>
      </c>
      <c r="F5" s="17">
        <f>IFERROR(__xludf.DUMMYFUNCTION("GOOGLEFINANCE(B5,""low52"")"),2250.05)</f>
        <v>2250.05</v>
      </c>
      <c r="G5" s="17">
        <f>IFERROR(__xludf.DUMMYFUNCTION("GOOGLEFINANCE(B5,""high52"")"),2796.0)</f>
        <v>2796</v>
      </c>
      <c r="H5" s="18">
        <f>IFERROR(__xludf.DUMMYFUNCTION("AVERAGE(INDEX(GoogleFinance(B5,""all"",WORKDAY(TODAY(),-200),TODAY()),,3))"),2509.094179894181)</f>
        <v>2509.09418</v>
      </c>
      <c r="I5" s="19" t="b">
        <f t="shared" si="2"/>
        <v>1</v>
      </c>
      <c r="J5" s="20">
        <f t="shared" si="3"/>
        <v>2375</v>
      </c>
      <c r="K5" s="21">
        <f t="shared" si="4"/>
        <v>2812.5</v>
      </c>
      <c r="L5" s="22">
        <v>2500.0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2" t="s">
        <v>20</v>
      </c>
      <c r="B6" s="13" t="s">
        <v>21</v>
      </c>
      <c r="C6" s="14" t="str">
        <f t="shared" si="1"/>
        <v>HOLD</v>
      </c>
      <c r="D6" s="15">
        <f>IFERROR(__xludf.DUMMYFUNCTION("GOOGLEFINANCE(B6, ""price"")"),292.35)</f>
        <v>292.35</v>
      </c>
      <c r="E6" s="16">
        <f>IFERROR(__xludf.DUMMYFUNCTION("GOOGLEFINANCE(B6, ""changepct"")"),0.9)</f>
        <v>0.9</v>
      </c>
      <c r="F6" s="17">
        <f>IFERROR(__xludf.DUMMYFUNCTION("GOOGLEFINANCE(B6,""low52"")"),282.75)</f>
        <v>282.75</v>
      </c>
      <c r="G6" s="17">
        <f>IFERROR(__xludf.DUMMYFUNCTION("GOOGLEFINANCE(B6,""high52"")"),639.3)</f>
        <v>639.3</v>
      </c>
      <c r="H6" s="18">
        <f>IFERROR(__xludf.DUMMYFUNCTION("AVERAGE(INDEX(GoogleFinance(B6,""all"",WORKDAY(TODAY(),-200),TODAY()),,3))"),350.21190476190463)</f>
        <v>350.2119048</v>
      </c>
      <c r="I6" s="19" t="b">
        <f t="shared" si="2"/>
        <v>1</v>
      </c>
      <c r="J6" s="20">
        <v>290.0</v>
      </c>
      <c r="K6" s="21">
        <f t="shared" si="4"/>
        <v>360</v>
      </c>
      <c r="L6" s="22">
        <v>320.0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</sheetData>
  <conditionalFormatting sqref="C2:C6">
    <cfRule type="cellIs" dxfId="0" priority="1" operator="equal">
      <formula>"BUY"</formula>
    </cfRule>
  </conditionalFormatting>
  <conditionalFormatting sqref="C2:C6">
    <cfRule type="cellIs" dxfId="1" priority="2" operator="equal">
      <formula>"SELL"</formula>
    </cfRule>
  </conditionalFormatting>
  <conditionalFormatting sqref="C2:C6">
    <cfRule type="cellIs" dxfId="2" priority="3" operator="equal">
      <formula>"HOLD"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  <col customWidth="1" min="9" max="9" width="43.63"/>
    <col customWidth="1" min="12" max="12" width="59.5"/>
    <col customWidth="1" min="13" max="13" width="123.63"/>
  </cols>
  <sheetData>
    <row r="1">
      <c r="A1" s="23" t="s">
        <v>0</v>
      </c>
      <c r="B1" s="23" t="s">
        <v>1</v>
      </c>
      <c r="C1" s="24" t="s">
        <v>22</v>
      </c>
      <c r="D1" s="23" t="s">
        <v>3</v>
      </c>
      <c r="E1" s="24" t="s">
        <v>9</v>
      </c>
      <c r="F1" s="24" t="s">
        <v>10</v>
      </c>
      <c r="G1" s="24" t="s">
        <v>23</v>
      </c>
      <c r="H1" s="24" t="s">
        <v>24</v>
      </c>
      <c r="I1" s="24" t="s">
        <v>25</v>
      </c>
      <c r="J1" s="24" t="s">
        <v>26</v>
      </c>
      <c r="K1" s="24" t="s">
        <v>27</v>
      </c>
      <c r="L1" s="24" t="s">
        <v>28</v>
      </c>
      <c r="M1" s="24" t="s">
        <v>29</v>
      </c>
      <c r="N1" s="25"/>
      <c r="O1" s="25"/>
      <c r="P1" s="25"/>
      <c r="Q1" s="25"/>
      <c r="R1" s="25"/>
      <c r="S1" s="25"/>
      <c r="T1" s="25"/>
      <c r="U1" s="25"/>
    </row>
    <row r="2">
      <c r="A2" s="26" t="str">
        <f>Frontend!A2</f>
        <v>Asian Paints</v>
      </c>
      <c r="B2" s="27" t="str">
        <f>Frontend!B2</f>
        <v>NSE:ASIANPAINT</v>
      </c>
      <c r="C2" s="28" t="str">
        <f>Frontend!C2</f>
        <v>HOLD</v>
      </c>
      <c r="D2" s="29">
        <f>Frontend!D2</f>
        <v>3195</v>
      </c>
      <c r="E2" s="29">
        <f>Frontend!J2</f>
        <v>3012.45</v>
      </c>
      <c r="F2" s="29">
        <f>Frontend!K2</f>
        <v>3567.375</v>
      </c>
      <c r="G2" s="29" t="str">
        <f t="shared" ref="G2:G6" si="1">if(isblank(A2),"",if(D2&gt;E2,"",if(D2&lt;=E2,E2-D2,"")))</f>
        <v/>
      </c>
      <c r="H2" s="29" t="str">
        <f t="shared" ref="H2:H6" si="2">if(isblank(A2),"",if(D2&lt;F2,"",if(D2&gt;=F2,D2-F2,"")))</f>
        <v/>
      </c>
      <c r="I2" s="26" t="str">
        <f>IFERROR(__xludf.DUMMYFUNCTION("if(isblank(A2),"""",if(D2&lt;=E2,CONCAT("" "",A2&amp;"" is below your TARGET BUY by ₹""&amp;(index(split(value(E2-D2),""₹""), 0, 1))&amp;""""),if(D2&gt;=F2,CONCAT("" "",A2&amp;"" is above your TARGET SELL by ₹""&amp;(index(split(value(D2-F2),""₹""), 0, 1))&amp;""""),""""))) "),"")</f>
        <v/>
      </c>
      <c r="J2" s="26" t="str">
        <f t="shared" ref="J2:J6" si="3">if(K2="YES","NO",if(C2="BUY", "YES", if(C2="SELL","YES",if(C2="","",""))))</f>
        <v/>
      </c>
      <c r="L2" s="30" t="str">
        <f>IFERROR(__xludf.DUMMYFUNCTION("if(isblank(A2),"""",if(C2=""BUY"",CONCAT(GOOGLEFINANCE(B2,""name""),"" (""&amp;B2&amp;"") has hit TARGET BUY price.""), if(C2=""SELL"",CONCAT(GOOGLEFINANCE(B2,""name""), "" (""&amp;B2&amp;"") has hit TARGET SELL price.""),"""")))"),"")</f>
        <v/>
      </c>
      <c r="M2" s="26" t="str">
        <f>IFERROR(__xludf.DUMMYFUNCTION("if(C2=""BUY"",CONCAT(GOOGLEFINANCE(B2,""name""), ""(""&amp;B2&amp;"") is currently at ₹""&amp;D2&amp;"" and has passed your target buy of ₹""&amp;E2&amp;"".""&amp;I2),if(C2=""SELL"",CONCAT(GOOGLEFINANCE(B2,""name""),""(""&amp;B2&amp;"") is currently at ₹""&amp;D2&amp;"" and has passed your target s"&amp;"ell of ₹""&amp;F2&amp;"".""&amp;I2),""""))"),"")</f>
        <v/>
      </c>
      <c r="N2" s="25"/>
      <c r="O2" s="25"/>
      <c r="P2" s="25"/>
      <c r="Q2" s="25"/>
      <c r="R2" s="25"/>
      <c r="S2" s="25"/>
      <c r="T2" s="25"/>
      <c r="U2" s="25"/>
    </row>
    <row r="3">
      <c r="A3" s="26" t="str">
        <f>Frontend!A3</f>
        <v>DMart</v>
      </c>
      <c r="B3" s="27" t="str">
        <f>Frontend!B3</f>
        <v>NSE:DMART</v>
      </c>
      <c r="C3" s="28" t="str">
        <f>Frontend!C3</f>
        <v>HOLD</v>
      </c>
      <c r="D3" s="29">
        <f>Frontend!D3</f>
        <v>3671.05</v>
      </c>
      <c r="E3" s="29">
        <f>Frontend!J3</f>
        <v>3514.05</v>
      </c>
      <c r="F3" s="29">
        <f>Frontend!K3</f>
        <v>4161.375</v>
      </c>
      <c r="G3" s="29" t="str">
        <f t="shared" si="1"/>
        <v/>
      </c>
      <c r="H3" s="29" t="str">
        <f t="shared" si="2"/>
        <v/>
      </c>
      <c r="I3" s="26" t="str">
        <f>IFERROR(__xludf.DUMMYFUNCTION("if(isblank(A3),"""",if(D3&lt;=E3,CONCAT("" "",A3&amp;"" is below your TARGET BUY by ₹""&amp;(index(split(value(E3-D3),""₹""), 0, 1))&amp;""""),if(D3&gt;=F3,CONCAT("" "",A3&amp;"" is above your TARGET SELL by ₹""&amp;(index(split(value(D3-F3),""₹""), 0, 1))&amp;""""),""""))) "),"")</f>
        <v/>
      </c>
      <c r="J3" s="26" t="str">
        <f t="shared" si="3"/>
        <v/>
      </c>
      <c r="K3" s="31"/>
      <c r="L3" s="30" t="str">
        <f>IFERROR(__xludf.DUMMYFUNCTION("if(isblank(A3),"""",if(C3=""BUY"",CONCAT(GOOGLEFINANCE(B3,""name""),"" (""&amp;B3&amp;"") has hit TARGET BUY price.""), if(C3=""SELL"",CONCAT(GOOGLEFINANCE(B3,""name""), "" (""&amp;B3&amp;"") has hit TARGET SELL price.""),"""")))"),"")</f>
        <v/>
      </c>
      <c r="M3" s="26" t="str">
        <f>IFERROR(__xludf.DUMMYFUNCTION("if(C3=""BUY"",CONCAT(GOOGLEFINANCE(B3,""name""), ""(""&amp;B3&amp;"") is currently at ₹""&amp;D3&amp;"" and has passed your target buy of ₹""&amp;E3&amp;"".""&amp;I3),if(C3=""SELL"",CONCAT(GOOGLEFINANCE(B3,""name""),""(""&amp;B3&amp;"") is currently at ₹""&amp;D3&amp;"" and has passed your target s"&amp;"ell of ₹""&amp;F3&amp;"".""&amp;I3),""""))"),"")</f>
        <v/>
      </c>
      <c r="N3" s="25"/>
      <c r="O3" s="25"/>
      <c r="P3" s="25"/>
      <c r="Q3" s="25"/>
      <c r="R3" s="25"/>
      <c r="S3" s="25"/>
      <c r="T3" s="25"/>
      <c r="U3" s="25"/>
    </row>
    <row r="4">
      <c r="A4" s="26" t="str">
        <f>Frontend!A4</f>
        <v>HDFC Bank</v>
      </c>
      <c r="B4" s="27" t="str">
        <f>Frontend!B4</f>
        <v>NSE:HDFCBANK</v>
      </c>
      <c r="C4" s="28" t="str">
        <f>Frontend!C4</f>
        <v>HOLD</v>
      </c>
      <c r="D4" s="29">
        <f>Frontend!D4</f>
        <v>1523.7</v>
      </c>
      <c r="E4" s="29">
        <f>Frontend!J4</f>
        <v>1494.35</v>
      </c>
      <c r="F4" s="29">
        <f>Frontend!K4</f>
        <v>1769.625</v>
      </c>
      <c r="G4" s="29" t="str">
        <f t="shared" si="1"/>
        <v/>
      </c>
      <c r="H4" s="29" t="str">
        <f t="shared" si="2"/>
        <v/>
      </c>
      <c r="I4" s="26" t="str">
        <f>IFERROR(__xludf.DUMMYFUNCTION("if(isblank(A4),"""",if(D4&lt;=E4,CONCAT("" "",A4&amp;"" is below your TARGET BUY by ₹""&amp;(index(split(value(E4-D4),""₹""), 0, 1))&amp;""""),if(D4&gt;=F4,CONCAT("" "",A4&amp;"" is above your TARGET SELL by ₹""&amp;(index(split(value(D4-F4),""₹""), 0, 1))&amp;""""),""""))) "),"")</f>
        <v/>
      </c>
      <c r="J4" s="26" t="str">
        <f t="shared" si="3"/>
        <v/>
      </c>
      <c r="L4" s="30" t="str">
        <f>IFERROR(__xludf.DUMMYFUNCTION("if(isblank(A4),"""",if(C4=""BUY"",CONCAT(GOOGLEFINANCE(B4,""name""),"" (""&amp;B4&amp;"") has hit TARGET BUY price.""), if(C4=""SELL"",CONCAT(GOOGLEFINANCE(B4,""name""), "" (""&amp;B4&amp;"") has hit TARGET SELL price.""),"""")))"),"")</f>
        <v/>
      </c>
      <c r="M4" s="26" t="str">
        <f>IFERROR(__xludf.DUMMYFUNCTION("if(C4=""BUY"",CONCAT(GOOGLEFINANCE(B4,""name""), ""(""&amp;B4&amp;"") is currently at ₹""&amp;D4&amp;"" and has passed your target buy of ₹""&amp;E4&amp;"".""&amp;I4),if(C4=""SELL"",CONCAT(GOOGLEFINANCE(B4,""name""),""(""&amp;B4&amp;"") is currently at ₹""&amp;D4&amp;"" and has passed your target s"&amp;"ell of ₹""&amp;F4&amp;"".""&amp;I4),""""))"),"")</f>
        <v/>
      </c>
      <c r="N4" s="25"/>
      <c r="O4" s="25"/>
      <c r="P4" s="25"/>
      <c r="Q4" s="25"/>
      <c r="R4" s="25"/>
      <c r="S4" s="25"/>
      <c r="T4" s="25"/>
      <c r="U4" s="25"/>
    </row>
    <row r="5">
      <c r="A5" s="26" t="str">
        <f>Frontend!A5</f>
        <v>Pidilite</v>
      </c>
      <c r="B5" s="27" t="str">
        <f>Frontend!B5</f>
        <v>NSE:PIDILITIND</v>
      </c>
      <c r="C5" s="28" t="str">
        <f>Frontend!C5</f>
        <v>HOLD</v>
      </c>
      <c r="D5" s="29">
        <f>Frontend!D5</f>
        <v>2440</v>
      </c>
      <c r="E5" s="29">
        <f>Frontend!J5</f>
        <v>2375</v>
      </c>
      <c r="F5" s="29">
        <f>Frontend!K5</f>
        <v>2812.5</v>
      </c>
      <c r="G5" s="29" t="str">
        <f t="shared" si="1"/>
        <v/>
      </c>
      <c r="H5" s="29" t="str">
        <f t="shared" si="2"/>
        <v/>
      </c>
      <c r="I5" s="26" t="str">
        <f>IFERROR(__xludf.DUMMYFUNCTION("if(isblank(A5),"""",if(D5&lt;=E5,CONCAT("" "",A5&amp;"" is below your TARGET BUY by ₹""&amp;(index(split(value(E5-D5),""₹""), 0, 1))&amp;""""),if(D5&gt;=F5,CONCAT("" "",A5&amp;"" is above your TARGET SELL by ₹""&amp;(index(split(value(D5-F5),""₹""), 0, 1))&amp;""""),""""))) "),"")</f>
        <v/>
      </c>
      <c r="J5" s="26" t="str">
        <f t="shared" si="3"/>
        <v/>
      </c>
      <c r="K5" s="31"/>
      <c r="L5" s="30" t="str">
        <f>IFERROR(__xludf.DUMMYFUNCTION("if(isblank(A5),"""",if(C5=""BUY"",CONCAT(GOOGLEFINANCE(B5,""name""),"" (""&amp;B5&amp;"") has hit TARGET BUY price.""), if(C5=""SELL"",CONCAT(GOOGLEFINANCE(B5,""name""), "" (""&amp;B5&amp;"") has hit TARGET SELL price.""),"""")))"),"")</f>
        <v/>
      </c>
      <c r="M5" s="26" t="str">
        <f>IFERROR(__xludf.DUMMYFUNCTION("if(C5=""BUY"",CONCAT(GOOGLEFINANCE(B5,""name""), ""(""&amp;B5&amp;"") is currently at ₹""&amp;D5&amp;"" and has passed your target buy of ₹""&amp;E5&amp;"".""&amp;I5),if(C5=""SELL"",CONCAT(GOOGLEFINANCE(B5,""name""),""(""&amp;B5&amp;"") is currently at ₹""&amp;D5&amp;"" and has passed your target s"&amp;"ell of ₹""&amp;F5&amp;"".""&amp;I5),""""))"),"")</f>
        <v/>
      </c>
      <c r="N5" s="25"/>
      <c r="O5" s="25"/>
      <c r="P5" s="25"/>
      <c r="Q5" s="25"/>
      <c r="R5" s="25"/>
      <c r="S5" s="25"/>
      <c r="T5" s="25"/>
      <c r="U5" s="25"/>
    </row>
    <row r="6">
      <c r="A6" s="26" t="str">
        <f>Frontend!A6</f>
        <v>Campus</v>
      </c>
      <c r="B6" s="27" t="str">
        <f>Frontend!B6</f>
        <v>NSE:CAMPUS</v>
      </c>
      <c r="C6" s="28" t="str">
        <f>Frontend!C6</f>
        <v>HOLD</v>
      </c>
      <c r="D6" s="29">
        <f>Frontend!D6</f>
        <v>292.35</v>
      </c>
      <c r="E6" s="29">
        <f>Frontend!J6</f>
        <v>290</v>
      </c>
      <c r="F6" s="29">
        <f>Frontend!K6</f>
        <v>360</v>
      </c>
      <c r="G6" s="29" t="str">
        <f t="shared" si="1"/>
        <v/>
      </c>
      <c r="H6" s="29" t="str">
        <f t="shared" si="2"/>
        <v/>
      </c>
      <c r="I6" s="26" t="str">
        <f>IFERROR(__xludf.DUMMYFUNCTION("if(isblank(A6),"""",if(D6&lt;=E6,CONCAT("" "",A6&amp;"" is below your TARGET BUY by ₹""&amp;(index(split(value(E6-D6),""₹""), 0, 1))&amp;""""),if(D6&gt;=F6,CONCAT("" "",A6&amp;"" is above your TARGET SELL by ₹""&amp;(index(split(value(D6-F6),""₹""), 0, 1))&amp;""""),""""))) "),"")</f>
        <v/>
      </c>
      <c r="J6" s="26" t="str">
        <f t="shared" si="3"/>
        <v/>
      </c>
      <c r="K6" s="31"/>
      <c r="L6" s="30" t="str">
        <f>IFERROR(__xludf.DUMMYFUNCTION("if(isblank(A6),"""",if(C6=""BUY"",CONCAT(GOOGLEFINANCE(B6,""name""),"" (""&amp;B6&amp;"") has hit TARGET BUY price.""), if(C6=""SELL"",CONCAT(GOOGLEFINANCE(B6,""name""), "" (""&amp;B6&amp;"") has hit TARGET SELL price.""),"""")))"),"")</f>
        <v/>
      </c>
      <c r="M6" s="26" t="str">
        <f>IFERROR(__xludf.DUMMYFUNCTION("if(C6=""BUY"",CONCAT(GOOGLEFINANCE(B6,""name""), ""(""&amp;B6&amp;"") is currently at ₹""&amp;D6&amp;"" and has passed your target buy of ₹""&amp;E6&amp;"".""&amp;I6),if(C6=""SELL"",CONCAT(GOOGLEFINANCE(B6,""name""),""(""&amp;B6&amp;"") is currently at ₹""&amp;D6&amp;"" and has passed your target s"&amp;"ell of ₹""&amp;F6&amp;"".""&amp;I6),""""))"),"")</f>
        <v/>
      </c>
      <c r="N6" s="25"/>
      <c r="O6" s="25"/>
      <c r="P6" s="25"/>
      <c r="Q6" s="25"/>
      <c r="R6" s="25"/>
      <c r="S6" s="25"/>
      <c r="T6" s="25"/>
      <c r="U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88"/>
    <col customWidth="1" min="3" max="3" width="15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32" t="s">
        <v>30</v>
      </c>
      <c r="B2" s="33" t="s">
        <v>31</v>
      </c>
      <c r="C2" s="14" t="str">
        <f t="shared" ref="C2:C11" si="1">if(isblank(B2),"",if(isblank(J2),"",if(isblank(K2),"",if(D2&gt;=K2,"SELL",if(D2&lt;=J2,"BUY","HOLD")))))</f>
        <v>SELL</v>
      </c>
      <c r="D2" s="15">
        <f>IFERROR(__xludf.DUMMYFUNCTION("GOOGLEFINANCE(B2, ""price"")"),7248.0)</f>
        <v>7248</v>
      </c>
      <c r="E2" s="16">
        <f>IFERROR(__xludf.DUMMYFUNCTION("GOOGLEFINANCE(B2, ""changepct"")"),0.28)</f>
        <v>0.28</v>
      </c>
      <c r="F2" s="17">
        <f>IFERROR(__xludf.DUMMYFUNCTION("GOOGLEFINANCE(B2,""low52"")"),5709.05)</f>
        <v>5709.05</v>
      </c>
      <c r="G2" s="17">
        <f>IFERROR(__xludf.DUMMYFUNCTION("GOOGLEFINANCE(B2,""high52"")"),8685.0)</f>
        <v>8685</v>
      </c>
      <c r="H2" s="18">
        <f>IFERROR(__xludf.DUMMYFUNCTION("AVERAGE(INDEX(GoogleFinance(B2,""all"",WORKDAY(TODAY(),-200),TODAY()),,3))"),6960.299206349204)</f>
        <v>6960.299206</v>
      </c>
      <c r="I2" s="19" t="b">
        <f t="shared" ref="I2:I11" si="2">D2&lt;H2</f>
        <v>0</v>
      </c>
      <c r="J2" s="20">
        <v>6200.0</v>
      </c>
      <c r="K2" s="34">
        <v>7000.0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2" t="s">
        <v>12</v>
      </c>
      <c r="B3" s="13" t="s">
        <v>13</v>
      </c>
      <c r="C3" s="14" t="str">
        <f t="shared" si="1"/>
        <v>HOLD</v>
      </c>
      <c r="D3" s="15">
        <f>IFERROR(__xludf.DUMMYFUNCTION("GOOGLEFINANCE(B3, ""price"")"),3195.0)</f>
        <v>3195</v>
      </c>
      <c r="E3" s="16">
        <f>IFERROR(__xludf.DUMMYFUNCTION("GOOGLEFINANCE(B3, ""changepct"")"),0.78)</f>
        <v>0.78</v>
      </c>
      <c r="F3" s="17">
        <f>IFERROR(__xludf.DUMMYFUNCTION("GOOGLEFINANCE(B3,""low52"")"),2685.85)</f>
        <v>2685.85</v>
      </c>
      <c r="G3" s="17">
        <f>IFERROR(__xludf.DUMMYFUNCTION("GOOGLEFINANCE(B3,""high52"")"),3568.0)</f>
        <v>3568</v>
      </c>
      <c r="H3" s="18">
        <f>IFERROR(__xludf.DUMMYFUNCTION("AVERAGE(INDEX(GoogleFinance(B3,""all"",WORKDAY(TODAY(),-200),TODAY()),,3))"),3099.148677248679)</f>
        <v>3099.148677</v>
      </c>
      <c r="I3" s="19" t="b">
        <f t="shared" si="2"/>
        <v>0</v>
      </c>
      <c r="J3" s="20">
        <v>3171.0</v>
      </c>
      <c r="K3" s="21">
        <f t="shared" ref="K3:K11" si="3">J3*1.125</f>
        <v>3567.375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2" t="s">
        <v>32</v>
      </c>
      <c r="B4" s="13" t="s">
        <v>33</v>
      </c>
      <c r="C4" s="14" t="str">
        <f t="shared" si="1"/>
        <v>SELL</v>
      </c>
      <c r="D4" s="15">
        <f>IFERROR(__xludf.DUMMYFUNCTION("GOOGLEFINANCE(B4, ""price"")"),3160.05)</f>
        <v>3160.05</v>
      </c>
      <c r="E4" s="16">
        <f>IFERROR(__xludf.DUMMYFUNCTION("GOOGLEFINANCE(B4, ""changepct"")"),0.09)</f>
        <v>0.09</v>
      </c>
      <c r="F4" s="17">
        <f>IFERROR(__xludf.DUMMYFUNCTION("GOOGLEFINANCE(B4,""low52"")"),2269.6)</f>
        <v>2269.6</v>
      </c>
      <c r="G4" s="17">
        <f>IFERROR(__xludf.DUMMYFUNCTION("GOOGLEFINANCE(B4,""high52"")"),3352.0)</f>
        <v>3352</v>
      </c>
      <c r="H4" s="18">
        <f>IFERROR(__xludf.DUMMYFUNCTION("AVERAGE(INDEX(GoogleFinance(B4,""all"",WORKDAY(TODAY(),-200),TODAY()),,3))"),2781.7740740740755)</f>
        <v>2781.774074</v>
      </c>
      <c r="I4" s="19" t="b">
        <f t="shared" si="2"/>
        <v>0</v>
      </c>
      <c r="J4" s="20">
        <v>2800.0</v>
      </c>
      <c r="K4" s="21">
        <f t="shared" si="3"/>
        <v>3150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2" t="s">
        <v>34</v>
      </c>
      <c r="B5" s="13" t="s">
        <v>35</v>
      </c>
      <c r="C5" s="14" t="str">
        <f t="shared" si="1"/>
        <v>SELL</v>
      </c>
      <c r="D5" s="15">
        <f>IFERROR(__xludf.DUMMYFUNCTION("GOOGLEFINANCE(B5, ""price"")"),7739.0)</f>
        <v>7739</v>
      </c>
      <c r="E5" s="16">
        <f>IFERROR(__xludf.DUMMYFUNCTION("GOOGLEFINANCE(B5, ""changepct"")"),0.0)</f>
        <v>0</v>
      </c>
      <c r="F5" s="17">
        <f>IFERROR(__xludf.DUMMYFUNCTION("GOOGLEFINANCE(B5,""low52"")"),5485.7)</f>
        <v>5485.7</v>
      </c>
      <c r="G5" s="17">
        <f>IFERROR(__xludf.DUMMYFUNCTION("GOOGLEFINANCE(B5,""high52"")"),7999.9)</f>
        <v>7999.9</v>
      </c>
      <c r="H5" s="18">
        <f>IFERROR(__xludf.DUMMYFUNCTION("AVERAGE(INDEX(GoogleFinance(B5,""all"",WORKDAY(TODAY(),-200),TODAY()),,3))"),6737.015343915341)</f>
        <v>6737.015344</v>
      </c>
      <c r="I5" s="19" t="b">
        <f t="shared" si="2"/>
        <v>0</v>
      </c>
      <c r="J5" s="20">
        <v>5920.0</v>
      </c>
      <c r="K5" s="21">
        <f t="shared" si="3"/>
        <v>6660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2" t="s">
        <v>36</v>
      </c>
      <c r="B6" s="13" t="s">
        <v>37</v>
      </c>
      <c r="C6" s="14" t="str">
        <f t="shared" si="1"/>
        <v>HOLD</v>
      </c>
      <c r="D6" s="15">
        <f>IFERROR(__xludf.DUMMYFUNCTION("GOOGLEFINANCE(B6, ""price"")"),4555.0)</f>
        <v>4555</v>
      </c>
      <c r="E6" s="16">
        <f>IFERROR(__xludf.DUMMYFUNCTION("GOOGLEFINANCE(B6, ""changepct"")"),0.67)</f>
        <v>0.67</v>
      </c>
      <c r="F6" s="17">
        <f>IFERROR(__xludf.DUMMYFUNCTION("GOOGLEFINANCE(B6,""low52"")"),3690.0)</f>
        <v>3690</v>
      </c>
      <c r="G6" s="17">
        <f>IFERROR(__xludf.DUMMYFUNCTION("GOOGLEFINANCE(B6,""high52"")"),5270.35)</f>
        <v>5270.35</v>
      </c>
      <c r="H6" s="18">
        <f>IFERROR(__xludf.DUMMYFUNCTION("AVERAGE(INDEX(GoogleFinance(B6,""all"",WORKDAY(TODAY(),-200),TODAY()),,3))"),4615.592328042328)</f>
        <v>4615.592328</v>
      </c>
      <c r="I6" s="19" t="b">
        <f t="shared" si="2"/>
        <v>1</v>
      </c>
      <c r="J6" s="20">
        <v>4450.0</v>
      </c>
      <c r="K6" s="21">
        <f t="shared" si="3"/>
        <v>5006.25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2" t="s">
        <v>14</v>
      </c>
      <c r="B7" s="13" t="s">
        <v>15</v>
      </c>
      <c r="C7" s="14" t="str">
        <f t="shared" si="1"/>
        <v>HOLD</v>
      </c>
      <c r="D7" s="15">
        <f>IFERROR(__xludf.DUMMYFUNCTION("GOOGLEFINANCE(B7, ""price"")"),3671.05)</f>
        <v>3671.05</v>
      </c>
      <c r="E7" s="16">
        <f>IFERROR(__xludf.DUMMYFUNCTION("GOOGLEFINANCE(B7, ""changepct"")"),0.0)</f>
        <v>0</v>
      </c>
      <c r="F7" s="17">
        <f>IFERROR(__xludf.DUMMYFUNCTION("GOOGLEFINANCE(B7,""low52"")"),3292.0)</f>
        <v>3292</v>
      </c>
      <c r="G7" s="17">
        <f>IFERROR(__xludf.DUMMYFUNCTION("GOOGLEFINANCE(B7,""high52"")"),4600.0)</f>
        <v>4600</v>
      </c>
      <c r="H7" s="18">
        <f>IFERROR(__xludf.DUMMYFUNCTION("AVERAGE(INDEX(GoogleFinance(B7,""all"",WORKDAY(TODAY(),-200),TODAY()),,3))"),3663.78386243386)</f>
        <v>3663.783862</v>
      </c>
      <c r="I7" s="19" t="b">
        <f t="shared" si="2"/>
        <v>0</v>
      </c>
      <c r="J7" s="20">
        <v>3600.0</v>
      </c>
      <c r="K7" s="21">
        <f t="shared" si="3"/>
        <v>4050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2" t="s">
        <v>16</v>
      </c>
      <c r="B8" s="13" t="s">
        <v>17</v>
      </c>
      <c r="C8" s="14" t="str">
        <f t="shared" si="1"/>
        <v>HOLD</v>
      </c>
      <c r="D8" s="15">
        <f>IFERROR(__xludf.DUMMYFUNCTION("GOOGLEFINANCE(B8, ""price"")"),1523.7)</f>
        <v>1523.7</v>
      </c>
      <c r="E8" s="16">
        <f>IFERROR(__xludf.DUMMYFUNCTION("GOOGLEFINANCE(B8, ""changepct"")"),0.0)</f>
        <v>0</v>
      </c>
      <c r="F8" s="17">
        <f>IFERROR(__xludf.DUMMYFUNCTION("GOOGLEFINANCE(B8,""low52"")"),1365.0)</f>
        <v>1365</v>
      </c>
      <c r="G8" s="17">
        <f>IFERROR(__xludf.DUMMYFUNCTION("GOOGLEFINANCE(B8,""high52"")"),1757.5)</f>
        <v>1757.5</v>
      </c>
      <c r="H8" s="18">
        <f>IFERROR(__xludf.DUMMYFUNCTION("AVERAGE(INDEX(GoogleFinance(B8,""all"",WORKDAY(TODAY(),-200),TODAY()),,3))"),1640.0783068783073)</f>
        <v>1640.078307</v>
      </c>
      <c r="I8" s="19" t="b">
        <f t="shared" si="2"/>
        <v>1</v>
      </c>
      <c r="J8" s="20">
        <v>1450.0</v>
      </c>
      <c r="K8" s="21">
        <f t="shared" si="3"/>
        <v>1631.25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2" t="s">
        <v>38</v>
      </c>
      <c r="B9" s="13" t="s">
        <v>39</v>
      </c>
      <c r="C9" s="14" t="str">
        <f t="shared" si="1"/>
        <v>BUY</v>
      </c>
      <c r="D9" s="15">
        <f>IFERROR(__xludf.DUMMYFUNCTION("GOOGLEFINANCE(B9, ""price"")"),1744.0)</f>
        <v>1744</v>
      </c>
      <c r="E9" s="16">
        <f>IFERROR(__xludf.DUMMYFUNCTION("GOOGLEFINANCE(B9, ""changepct"")"),0.62)</f>
        <v>0.62</v>
      </c>
      <c r="F9" s="17">
        <f>IFERROR(__xludf.DUMMYFUNCTION("GOOGLEFINANCE(B9,""low52"")"),1643.5)</f>
        <v>1643.5</v>
      </c>
      <c r="G9" s="17">
        <f>IFERROR(__xludf.DUMMYFUNCTION("GOOGLEFINANCE(B9,""high52"")"),2064.4)</f>
        <v>2064.4</v>
      </c>
      <c r="H9" s="18">
        <f>IFERROR(__xludf.DUMMYFUNCTION("AVERAGE(INDEX(GoogleFinance(B9,""all"",WORKDAY(TODAY(),-200),TODAY()),,3))"),1834.3835978835975)</f>
        <v>1834.383598</v>
      </c>
      <c r="I9" s="19" t="b">
        <f t="shared" si="2"/>
        <v>1</v>
      </c>
      <c r="J9" s="20">
        <v>1750.0</v>
      </c>
      <c r="K9" s="21">
        <f t="shared" si="3"/>
        <v>1968.75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35" t="s">
        <v>40</v>
      </c>
      <c r="B10" s="36" t="s">
        <v>41</v>
      </c>
      <c r="C10" s="14" t="str">
        <f t="shared" si="1"/>
        <v>SELL</v>
      </c>
      <c r="D10" s="15">
        <f>IFERROR(__xludf.DUMMYFUNCTION("GOOGLEFINANCE(B10, ""price"")"),4625.0)</f>
        <v>4625</v>
      </c>
      <c r="E10" s="16">
        <f>IFERROR(__xludf.DUMMYFUNCTION("GOOGLEFINANCE(B10, ""changepct"")"),0.07)</f>
        <v>0.07</v>
      </c>
      <c r="F10" s="17">
        <f>IFERROR(__xludf.DUMMYFUNCTION("GOOGLEFINANCE(B10,""low52"")"),3215.85)</f>
        <v>3215.85</v>
      </c>
      <c r="G10" s="17">
        <f>IFERROR(__xludf.DUMMYFUNCTION("GOOGLEFINANCE(B10,""high52"")"),4807.15)</f>
        <v>4807.15</v>
      </c>
      <c r="H10" s="18">
        <f>IFERROR(__xludf.DUMMYFUNCTION("AVERAGE(INDEX(GoogleFinance(B10,""all"",WORKDAY(TODAY(),-200),TODAY()),,3))"),3908.969576719575)</f>
        <v>3908.969577</v>
      </c>
      <c r="I10" s="19" t="b">
        <f t="shared" si="2"/>
        <v>0</v>
      </c>
      <c r="J10" s="20">
        <v>3825.0</v>
      </c>
      <c r="K10" s="21">
        <f t="shared" si="3"/>
        <v>4303.125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2" t="s">
        <v>42</v>
      </c>
      <c r="B11" s="13" t="s">
        <v>43</v>
      </c>
      <c r="C11" s="14" t="str">
        <f t="shared" si="1"/>
        <v>HOLD</v>
      </c>
      <c r="D11" s="15">
        <f>IFERROR(__xludf.DUMMYFUNCTION("GOOGLEFINANCE(B11, ""price"")"),1214.75)</f>
        <v>1214.75</v>
      </c>
      <c r="E11" s="16">
        <f>IFERROR(__xludf.DUMMYFUNCTION("GOOGLEFINANCE(B11, ""changepct"")"),0.0)</f>
        <v>0</v>
      </c>
      <c r="F11" s="17">
        <f>IFERROR(__xludf.DUMMYFUNCTION("GOOGLEFINANCE(B11,""low52"")"),911.25)</f>
        <v>911.25</v>
      </c>
      <c r="G11" s="17">
        <f>IFERROR(__xludf.DUMMYFUNCTION("GOOGLEFINANCE(B11,""high52"")"),1379.95)</f>
        <v>1379.95</v>
      </c>
      <c r="H11" s="18">
        <f>IFERROR(__xludf.DUMMYFUNCTION("AVERAGE(INDEX(GoogleFinance(B11,""all"",WORKDAY(TODAY(),-200),TODAY()),,3))"),1139.8796296296296)</f>
        <v>1139.87963</v>
      </c>
      <c r="I11" s="19" t="b">
        <f t="shared" si="2"/>
        <v>0</v>
      </c>
      <c r="J11" s="20">
        <v>1111.0</v>
      </c>
      <c r="K11" s="21">
        <f t="shared" si="3"/>
        <v>1249.875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</sheetData>
  <conditionalFormatting sqref="C2:C11">
    <cfRule type="cellIs" dxfId="0" priority="1" operator="equal">
      <formula>"BUY"</formula>
    </cfRule>
  </conditionalFormatting>
  <conditionalFormatting sqref="C2:C11">
    <cfRule type="cellIs" dxfId="1" priority="2" operator="equal">
      <formula>"SELL"</formula>
    </cfRule>
  </conditionalFormatting>
  <conditionalFormatting sqref="C2:C11">
    <cfRule type="cellIs" dxfId="2" priority="3" operator="equal">
      <formula>"HOLD"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7" t="s">
        <v>44</v>
      </c>
      <c r="D1" s="37" t="s">
        <v>45</v>
      </c>
      <c r="E1" s="37" t="s">
        <v>46</v>
      </c>
    </row>
    <row r="2">
      <c r="B2" s="38">
        <v>2496.5</v>
      </c>
      <c r="C2" s="39">
        <f>B2*0.95</f>
        <v>2371.675</v>
      </c>
      <c r="D2" s="39">
        <f>B2*0.9</f>
        <v>2246.85</v>
      </c>
      <c r="E2" s="39">
        <f>B2*1.125</f>
        <v>2808.5625</v>
      </c>
    </row>
  </sheetData>
  <drawing r:id="rId1"/>
</worksheet>
</file>