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\PycharmProjects\ProBallistics\Experimental Data\Forrestal 1\"/>
    </mc:Choice>
  </mc:AlternateContent>
  <bookViews>
    <workbookView xWindow="0" yWindow="0" windowWidth="24555" windowHeight="11490" firstSheet="1" activeTab="3"/>
  </bookViews>
  <sheets>
    <sheet name="Summary" sheetId="3" r:id="rId1"/>
    <sheet name="VAR 4340, Rc=38.3" sheetId="1" r:id="rId2"/>
    <sheet name="AerMet 100, Rc=53.3" sheetId="2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3" l="1"/>
  <c r="C57" i="3"/>
  <c r="C56" i="3"/>
  <c r="C55" i="3"/>
  <c r="C54" i="3"/>
  <c r="E42" i="3" l="1"/>
  <c r="E43" i="3"/>
  <c r="E44" i="3"/>
  <c r="E45" i="3"/>
  <c r="E46" i="3"/>
  <c r="E47" i="3"/>
  <c r="E48" i="3"/>
  <c r="E49" i="3"/>
  <c r="E50" i="3"/>
  <c r="E51" i="3"/>
  <c r="E41" i="3"/>
  <c r="D41" i="3"/>
  <c r="D17" i="3"/>
  <c r="D38" i="3" s="1"/>
  <c r="D36" i="3"/>
  <c r="D35" i="3"/>
  <c r="D42" i="3" s="1"/>
  <c r="D33" i="3"/>
  <c r="D34" i="3"/>
  <c r="C46" i="3" l="1"/>
  <c r="C47" i="3"/>
  <c r="C48" i="3"/>
  <c r="C51" i="3"/>
  <c r="D50" i="3"/>
  <c r="F45" i="3"/>
  <c r="D49" i="3"/>
  <c r="C45" i="3"/>
  <c r="D48" i="3"/>
  <c r="F51" i="3"/>
  <c r="F43" i="3"/>
  <c r="C41" i="3"/>
  <c r="G41" i="3" s="1"/>
  <c r="C44" i="3"/>
  <c r="D47" i="3"/>
  <c r="F50" i="3"/>
  <c r="F42" i="3"/>
  <c r="F44" i="3"/>
  <c r="C43" i="3"/>
  <c r="C50" i="3"/>
  <c r="C42" i="3"/>
  <c r="G42" i="3" s="1"/>
  <c r="D45" i="3"/>
  <c r="F48" i="3"/>
  <c r="C49" i="3"/>
  <c r="G49" i="3" s="1"/>
  <c r="D44" i="3"/>
  <c r="F47" i="3"/>
  <c r="F41" i="3"/>
  <c r="D46" i="3"/>
  <c r="F49" i="3"/>
  <c r="D51" i="3"/>
  <c r="D43" i="3"/>
  <c r="F46" i="3"/>
  <c r="G44" i="3" l="1"/>
  <c r="I34" i="3" s="1"/>
  <c r="G48" i="3"/>
  <c r="H48" i="3" s="1"/>
  <c r="G47" i="3"/>
  <c r="H47" i="3" s="1"/>
  <c r="G45" i="3"/>
  <c r="H45" i="3" s="1"/>
  <c r="G51" i="3"/>
  <c r="H51" i="3" s="1"/>
  <c r="G50" i="3"/>
  <c r="H50" i="3" s="1"/>
  <c r="G43" i="3"/>
  <c r="H43" i="3" s="1"/>
  <c r="G46" i="3"/>
  <c r="H46" i="3" s="1"/>
  <c r="H49" i="3"/>
  <c r="H42" i="3"/>
  <c r="H41" i="3"/>
  <c r="H44" i="3" l="1"/>
</calcChain>
</file>

<file path=xl/sharedStrings.xml><?xml version="1.0" encoding="utf-8"?>
<sst xmlns="http://schemas.openxmlformats.org/spreadsheetml/2006/main" count="167" uniqueCount="83">
  <si>
    <t>1-0415</t>
  </si>
  <si>
    <t>4-1805</t>
  </si>
  <si>
    <t>4-1806</t>
  </si>
  <si>
    <t>4-1796</t>
  </si>
  <si>
    <t>4-1797</t>
  </si>
  <si>
    <t>1-0412</t>
  </si>
  <si>
    <t>4-1798</t>
  </si>
  <si>
    <t>4-1799</t>
  </si>
  <si>
    <t>4-1800</t>
  </si>
  <si>
    <t>4-1810</t>
  </si>
  <si>
    <t>4-1801</t>
  </si>
  <si>
    <t>4-1831</t>
  </si>
  <si>
    <t>4-1808</t>
  </si>
  <si>
    <t>4-1832</t>
  </si>
  <si>
    <t>4-1809</t>
  </si>
  <si>
    <t>8-0113</t>
  </si>
  <si>
    <t>4-1833</t>
  </si>
  <si>
    <t>8-0112</t>
  </si>
  <si>
    <t>8-0104</t>
  </si>
  <si>
    <t>Shot number</t>
  </si>
  <si>
    <t>4-1892</t>
  </si>
  <si>
    <t>Striking velocity, Vs, (m/s)</t>
  </si>
  <si>
    <t>Hardness, Rc</t>
  </si>
  <si>
    <t>Mass, (g)</t>
  </si>
  <si>
    <t>Penetration, (mm)</t>
  </si>
  <si>
    <t>Target length, (m)</t>
  </si>
  <si>
    <t>1-0426</t>
  </si>
  <si>
    <t>1-0424</t>
  </si>
  <si>
    <t>1-0425</t>
  </si>
  <si>
    <t>4-1840</t>
  </si>
  <si>
    <t>4-1841</t>
  </si>
  <si>
    <t>4-1842</t>
  </si>
  <si>
    <t>4-1843</t>
  </si>
  <si>
    <t>8-0117</t>
  </si>
  <si>
    <t>4-1844</t>
  </si>
  <si>
    <t>8-0118</t>
  </si>
  <si>
    <t>8-0123</t>
  </si>
  <si>
    <t>8-0121</t>
  </si>
  <si>
    <t>8-0120</t>
  </si>
  <si>
    <t>8-0119</t>
  </si>
  <si>
    <t>L (mm):</t>
  </si>
  <si>
    <t>l (mm):</t>
  </si>
  <si>
    <t>2a (mm):</t>
  </si>
  <si>
    <t>Target Parameters:</t>
  </si>
  <si>
    <r>
      <t xml:space="preserve">ρ </t>
    </r>
    <r>
      <rPr>
        <vertAlign val="subscript"/>
        <sz val="11"/>
        <color theme="1"/>
        <rFont val="Calibri"/>
        <family val="2"/>
      </rPr>
      <t>target</t>
    </r>
    <r>
      <rPr>
        <sz val="11"/>
        <color theme="1"/>
        <rFont val="Calibri"/>
        <family val="2"/>
      </rPr>
      <t xml:space="preserve">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 :</t>
    </r>
  </si>
  <si>
    <t>Projectile Parameters</t>
  </si>
  <si>
    <t>Y (MPa) :</t>
  </si>
  <si>
    <t>A :</t>
  </si>
  <si>
    <t>B :</t>
  </si>
  <si>
    <t>C :</t>
  </si>
  <si>
    <t>ψ (mm):</t>
  </si>
  <si>
    <r>
      <t xml:space="preserve">ρ </t>
    </r>
    <r>
      <rPr>
        <vertAlign val="subscript"/>
        <sz val="11"/>
        <color theme="1"/>
        <rFont val="Calibri"/>
        <family val="2"/>
      </rPr>
      <t>VAR</t>
    </r>
    <r>
      <rPr>
        <sz val="11"/>
        <color theme="1"/>
        <rFont val="Calibri"/>
        <family val="2"/>
      </rPr>
      <t xml:space="preserve"> 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 :</t>
    </r>
  </si>
  <si>
    <r>
      <t xml:space="preserve">ρ </t>
    </r>
    <r>
      <rPr>
        <vertAlign val="subscript"/>
        <sz val="11"/>
        <color theme="1"/>
        <rFont val="Calibri"/>
        <family val="2"/>
      </rPr>
      <t xml:space="preserve">AerMet </t>
    </r>
    <r>
      <rPr>
        <sz val="11"/>
        <color theme="1"/>
        <rFont val="Calibri"/>
        <family val="2"/>
      </rPr>
      <t>(kg/m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</rPr>
      <t>) :</t>
    </r>
  </si>
  <si>
    <t>Dimensionless Parameters:</t>
  </si>
  <si>
    <t>k :</t>
  </si>
  <si>
    <t>N: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</si>
  <si>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</t>
    </r>
  </si>
  <si>
    <r>
      <rPr>
        <sz val="11"/>
        <color theme="1"/>
        <rFont val="Calibri"/>
        <family val="2"/>
      </rPr>
      <t>θ</t>
    </r>
    <r>
      <rPr>
        <vertAlign val="subscript"/>
        <sz val="11"/>
        <color theme="1"/>
        <rFont val="Calibri"/>
        <family val="2"/>
      </rPr>
      <t>0</t>
    </r>
    <r>
      <rPr>
        <sz val="11"/>
        <color theme="1"/>
        <rFont val="Calibri"/>
        <family val="2"/>
      </rPr>
      <t xml:space="preserve"> :</t>
    </r>
  </si>
  <si>
    <r>
      <t>c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:</t>
    </r>
  </si>
  <si>
    <t>Striking Velocity, Vs (m/s)</t>
  </si>
  <si>
    <t>1st term</t>
  </si>
  <si>
    <t>2nd term</t>
  </si>
  <si>
    <t>3rd term</t>
  </si>
  <si>
    <t>P/(L-ka)</t>
  </si>
  <si>
    <t>4th term</t>
  </si>
  <si>
    <t>P (mm)</t>
  </si>
  <si>
    <t>Penetrator</t>
  </si>
  <si>
    <t>VAR 4340</t>
  </si>
  <si>
    <t>AerMet 100</t>
  </si>
  <si>
    <t>Model</t>
  </si>
  <si>
    <t>velocity (m/s)</t>
  </si>
  <si>
    <t>Penetration (mm)</t>
  </si>
  <si>
    <t>Mass (g)</t>
  </si>
  <si>
    <t>Hardness Rc</t>
  </si>
  <si>
    <t>Target length (m)</t>
  </si>
  <si>
    <t>L (m):</t>
  </si>
  <si>
    <t>a (m):</t>
  </si>
  <si>
    <t>L + ka</t>
  </si>
  <si>
    <t>m (kg) :</t>
  </si>
  <si>
    <t>Term1</t>
  </si>
  <si>
    <t>Term2</t>
  </si>
  <si>
    <t>Term3</t>
  </si>
  <si>
    <t>Term4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</si>
</sst>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7" formatCode="0.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0" fontId="1" fillId="0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Model (Rigid Projectiles)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Summary!$B$41:$B$51</c:f>
              <c:numCache>
                <c:formatCode>General</c:formatCode>
                <c:ptCount val="1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</c:numCache>
            </c:numRef>
          </c:xVal>
          <c:yVal>
            <c:numRef>
              <c:f>Summary!$H$41:$H$56</c:f>
              <c:numCache>
                <c:formatCode>General</c:formatCode>
                <c:ptCount val="16"/>
                <c:pt idx="0">
                  <c:v>0</c:v>
                </c:pt>
                <c:pt idx="1">
                  <c:v>1.2636443836433846E-3</c:v>
                </c:pt>
                <c:pt idx="2">
                  <c:v>3.9712820593212038E-3</c:v>
                </c:pt>
                <c:pt idx="3">
                  <c:v>7.9852076810664908E-3</c:v>
                </c:pt>
                <c:pt idx="4">
                  <c:v>1.3130055897027745E-2</c:v>
                </c:pt>
                <c:pt idx="5">
                  <c:v>1.9212813321567122E-2</c:v>
                </c:pt>
                <c:pt idx="6">
                  <c:v>2.6040337318073408E-2</c:v>
                </c:pt>
                <c:pt idx="7">
                  <c:v>3.3432202929407864E-2</c:v>
                </c:pt>
                <c:pt idx="8">
                  <c:v>4.1228442637462018E-2</c:v>
                </c:pt>
                <c:pt idx="9">
                  <c:v>4.9292907446522587E-2</c:v>
                </c:pt>
                <c:pt idx="10">
                  <c:v>5.7513464855586595E-2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6D-4F34-BCC2-71F8FD04E126}"/>
            </c:ext>
          </c:extLst>
        </c:ser>
        <c:ser>
          <c:idx val="1"/>
          <c:order val="1"/>
          <c:tx>
            <c:v>Experiment (VAR 4340)</c:v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'VAR 4340, Rc=38.3'!$B$2:$B$11</c:f>
              <c:numCache>
                <c:formatCode>General</c:formatCode>
                <c:ptCount val="10"/>
                <c:pt idx="0">
                  <c:v>569</c:v>
                </c:pt>
                <c:pt idx="1">
                  <c:v>570</c:v>
                </c:pt>
                <c:pt idx="2">
                  <c:v>679</c:v>
                </c:pt>
                <c:pt idx="3">
                  <c:v>821</c:v>
                </c:pt>
                <c:pt idx="4">
                  <c:v>966</c:v>
                </c:pt>
                <c:pt idx="5">
                  <c:v>1147</c:v>
                </c:pt>
                <c:pt idx="6">
                  <c:v>1237</c:v>
                </c:pt>
                <c:pt idx="7">
                  <c:v>1365</c:v>
                </c:pt>
                <c:pt idx="8">
                  <c:v>1396</c:v>
                </c:pt>
                <c:pt idx="9">
                  <c:v>1493</c:v>
                </c:pt>
              </c:numCache>
            </c:numRef>
          </c:xVal>
          <c:yVal>
            <c:numRef>
              <c:f>'VAR 4340, Rc=38.3'!$C$2:$C$11</c:f>
              <c:numCache>
                <c:formatCode>General</c:formatCode>
                <c:ptCount val="10"/>
                <c:pt idx="0">
                  <c:v>58</c:v>
                </c:pt>
                <c:pt idx="1">
                  <c:v>55</c:v>
                </c:pt>
                <c:pt idx="2">
                  <c:v>72</c:v>
                </c:pt>
                <c:pt idx="3">
                  <c:v>102</c:v>
                </c:pt>
                <c:pt idx="4">
                  <c:v>140</c:v>
                </c:pt>
                <c:pt idx="5">
                  <c:v>190</c:v>
                </c:pt>
                <c:pt idx="6">
                  <c:v>224</c:v>
                </c:pt>
                <c:pt idx="7">
                  <c:v>249</c:v>
                </c:pt>
                <c:pt idx="8">
                  <c:v>249</c:v>
                </c:pt>
                <c:pt idx="9">
                  <c:v>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6D-4F34-BCC2-71F8FD04E126}"/>
            </c:ext>
          </c:extLst>
        </c:ser>
        <c:ser>
          <c:idx val="2"/>
          <c:order val="2"/>
          <c:tx>
            <c:v>Experiment (AerMet 100)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'AerMet 100, Rc=53.3'!$B$2:$B$11</c:f>
              <c:numCache>
                <c:formatCode>General</c:formatCode>
                <c:ptCount val="10"/>
                <c:pt idx="0">
                  <c:v>794</c:v>
                </c:pt>
                <c:pt idx="1">
                  <c:v>1076</c:v>
                </c:pt>
                <c:pt idx="2">
                  <c:v>1255</c:v>
                </c:pt>
                <c:pt idx="3">
                  <c:v>1348</c:v>
                </c:pt>
                <c:pt idx="4">
                  <c:v>1538</c:v>
                </c:pt>
                <c:pt idx="5">
                  <c:v>1654</c:v>
                </c:pt>
                <c:pt idx="6">
                  <c:v>1786</c:v>
                </c:pt>
                <c:pt idx="7">
                  <c:v>1816</c:v>
                </c:pt>
                <c:pt idx="8">
                  <c:v>1817</c:v>
                </c:pt>
                <c:pt idx="9">
                  <c:v>1916</c:v>
                </c:pt>
              </c:numCache>
            </c:numRef>
          </c:xVal>
          <c:yVal>
            <c:numRef>
              <c:f>'AerMet 100, Rc=53.3'!$C$2:$C$11</c:f>
              <c:numCache>
                <c:formatCode>General</c:formatCode>
                <c:ptCount val="10"/>
                <c:pt idx="0">
                  <c:v>103</c:v>
                </c:pt>
                <c:pt idx="1">
                  <c:v>160</c:v>
                </c:pt>
                <c:pt idx="2">
                  <c:v>229</c:v>
                </c:pt>
                <c:pt idx="3">
                  <c:v>254</c:v>
                </c:pt>
                <c:pt idx="4">
                  <c:v>332</c:v>
                </c:pt>
                <c:pt idx="5">
                  <c:v>389</c:v>
                </c:pt>
                <c:pt idx="6">
                  <c:v>452</c:v>
                </c:pt>
                <c:pt idx="7">
                  <c:v>398</c:v>
                </c:pt>
                <c:pt idx="8">
                  <c:v>462</c:v>
                </c:pt>
                <c:pt idx="9">
                  <c:v>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E6D-4F34-BCC2-71F8FD04E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7536"/>
        <c:axId val="2097885328"/>
      </c:scatterChart>
      <c:valAx>
        <c:axId val="15684753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Striking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885328"/>
        <c:crosses val="autoZero"/>
        <c:crossBetween val="midCat"/>
      </c:valAx>
      <c:valAx>
        <c:axId val="20978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Penetration (mm)</a:t>
                </a:r>
              </a:p>
            </c:rich>
          </c:tx>
          <c:layout>
            <c:manualLayout>
              <c:xMode val="edge"/>
              <c:yMode val="edge"/>
              <c:x val="1.6809882371243635E-2"/>
              <c:y val="0.29520675690327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161925</xdr:rowOff>
    </xdr:from>
    <xdr:to>
      <xdr:col>9</xdr:col>
      <xdr:colOff>276225</xdr:colOff>
      <xdr:row>13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E18B81-9AB1-4C10-981F-EE26EFCC8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161925"/>
          <a:ext cx="5857875" cy="2362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4761</xdr:colOff>
      <xdr:row>13</xdr:row>
      <xdr:rowOff>190499</xdr:rowOff>
    </xdr:from>
    <xdr:to>
      <xdr:col>17</xdr:col>
      <xdr:colOff>533400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144DD6-24C2-4378-95A7-E76557BD9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I58"/>
  <sheetViews>
    <sheetView topLeftCell="A22" workbookViewId="0">
      <selection activeCell="C41" sqref="C41:F51"/>
    </sheetView>
  </sheetViews>
  <sheetFormatPr defaultRowHeight="15" x14ac:dyDescent="0.25"/>
  <cols>
    <col min="2" max="2" width="11" customWidth="1"/>
    <col min="3" max="3" width="12.5703125" customWidth="1"/>
    <col min="4" max="4" width="10" bestFit="1" customWidth="1"/>
    <col min="5" max="5" width="10" customWidth="1"/>
    <col min="9" max="9" width="12" bestFit="1" customWidth="1"/>
  </cols>
  <sheetData>
    <row r="15" spans="2:5" x14ac:dyDescent="0.25">
      <c r="B15" s="6" t="s">
        <v>43</v>
      </c>
    </row>
    <row r="16" spans="2:5" ht="18.75" x14ac:dyDescent="0.35">
      <c r="B16" s="4" t="s">
        <v>44</v>
      </c>
      <c r="D16" s="5">
        <v>2710</v>
      </c>
      <c r="E16" s="5"/>
    </row>
    <row r="17" spans="2:5" x14ac:dyDescent="0.25">
      <c r="B17" t="s">
        <v>46</v>
      </c>
      <c r="D17" s="5">
        <f>276*10^6</f>
        <v>276000000</v>
      </c>
      <c r="E17" s="5"/>
    </row>
    <row r="18" spans="2:5" x14ac:dyDescent="0.25">
      <c r="B18" t="s">
        <v>47</v>
      </c>
      <c r="D18" s="5">
        <v>5.04</v>
      </c>
      <c r="E18" s="5"/>
    </row>
    <row r="19" spans="2:5" x14ac:dyDescent="0.25">
      <c r="B19" t="s">
        <v>48</v>
      </c>
      <c r="D19" s="5">
        <v>0.98299999999999998</v>
      </c>
      <c r="E19" s="5"/>
    </row>
    <row r="20" spans="2:5" x14ac:dyDescent="0.25">
      <c r="B20" t="s">
        <v>49</v>
      </c>
      <c r="D20" s="5">
        <v>0.94</v>
      </c>
      <c r="E20" s="5"/>
    </row>
    <row r="21" spans="2:5" x14ac:dyDescent="0.25">
      <c r="D21" s="5"/>
      <c r="E21" s="5"/>
    </row>
    <row r="22" spans="2:5" x14ac:dyDescent="0.25">
      <c r="B22" s="6" t="s">
        <v>45</v>
      </c>
      <c r="D22" s="5"/>
      <c r="E22" s="5"/>
    </row>
    <row r="23" spans="2:5" x14ac:dyDescent="0.25">
      <c r="B23" t="s">
        <v>40</v>
      </c>
      <c r="D23" s="5">
        <v>59.3</v>
      </c>
      <c r="E23" s="5"/>
    </row>
    <row r="24" spans="2:5" x14ac:dyDescent="0.25">
      <c r="B24" t="s">
        <v>41</v>
      </c>
      <c r="D24" s="5">
        <v>11.8</v>
      </c>
      <c r="E24" s="5"/>
    </row>
    <row r="25" spans="2:5" x14ac:dyDescent="0.25">
      <c r="B25" t="s">
        <v>42</v>
      </c>
      <c r="D25" s="5">
        <v>7.11</v>
      </c>
      <c r="E25" s="5"/>
    </row>
    <row r="26" spans="2:5" x14ac:dyDescent="0.25">
      <c r="B26" s="4" t="s">
        <v>50</v>
      </c>
      <c r="D26" s="5">
        <v>3</v>
      </c>
      <c r="E26" s="5"/>
    </row>
    <row r="27" spans="2:5" x14ac:dyDescent="0.25">
      <c r="D27" s="5"/>
      <c r="E27" s="5"/>
    </row>
    <row r="28" spans="2:5" ht="18.75" x14ac:dyDescent="0.35">
      <c r="B28" s="4" t="s">
        <v>51</v>
      </c>
      <c r="D28" s="5">
        <v>1</v>
      </c>
      <c r="E28" s="5"/>
    </row>
    <row r="29" spans="2:5" ht="18.75" x14ac:dyDescent="0.35">
      <c r="B29" s="4" t="s">
        <v>52</v>
      </c>
      <c r="D29" s="5">
        <v>7890</v>
      </c>
      <c r="E29" s="5"/>
    </row>
    <row r="31" spans="2:5" x14ac:dyDescent="0.25">
      <c r="B31" t="s">
        <v>53</v>
      </c>
    </row>
    <row r="33" spans="2:9" x14ac:dyDescent="0.25">
      <c r="B33" t="s">
        <v>54</v>
      </c>
      <c r="D33">
        <f>(4*D26^2-(4*D26/3)+(1/3))*(SQRT(4*D26-1))-4*D26^2*(2*D26-1)*ASIN((SQRT(4*D26-1)/(2*D26)))</f>
        <v>1.8141370658707672</v>
      </c>
    </row>
    <row r="34" spans="2:9" x14ac:dyDescent="0.25">
      <c r="B34" t="s">
        <v>55</v>
      </c>
      <c r="D34">
        <f>(8*D26-1)/(24*D26^2)</f>
        <v>0.10648148148148148</v>
      </c>
      <c r="I34">
        <f>G44*($D$23-$D$33*($D$25/2))</f>
        <v>7.9852076810664908E-3</v>
      </c>
    </row>
    <row r="35" spans="2:9" ht="18" x14ac:dyDescent="0.35">
      <c r="B35" t="s">
        <v>56</v>
      </c>
      <c r="D35">
        <f>(((4*D26-1)^(3/2))/(3*D26))+(((2*D26-1)^2*SQRT(4*D26-1))/(2*D26))-D26*(2*D26-1)*(PI()-2*D36)</f>
        <v>0.30235617764513023</v>
      </c>
    </row>
    <row r="36" spans="2:9" ht="18" x14ac:dyDescent="0.35">
      <c r="B36" s="4" t="s">
        <v>57</v>
      </c>
      <c r="D36">
        <f>ASIN((2*D26-1)/(2*D26))</f>
        <v>0.98511078333774571</v>
      </c>
    </row>
    <row r="38" spans="2:9" ht="18" x14ac:dyDescent="0.35">
      <c r="B38" t="s">
        <v>58</v>
      </c>
      <c r="D38">
        <f>SQRT(D17/D16)</f>
        <v>319.13166318963795</v>
      </c>
    </row>
    <row r="39" spans="2:9" ht="15.75" thickBot="1" x14ac:dyDescent="0.3"/>
    <row r="40" spans="2:9" ht="45.75" thickBot="1" x14ac:dyDescent="0.3">
      <c r="B40" s="13" t="s">
        <v>59</v>
      </c>
      <c r="C40" s="14" t="s">
        <v>60</v>
      </c>
      <c r="D40" s="14" t="s">
        <v>61</v>
      </c>
      <c r="E40" s="14" t="s">
        <v>62</v>
      </c>
      <c r="F40" s="14" t="s">
        <v>64</v>
      </c>
      <c r="G40" s="14" t="s">
        <v>63</v>
      </c>
      <c r="H40" s="14" t="s">
        <v>65</v>
      </c>
    </row>
    <row r="41" spans="2:9" x14ac:dyDescent="0.25">
      <c r="B41" s="9">
        <v>0</v>
      </c>
      <c r="C41" s="10">
        <f>($D$28/$D$16)*(1/(2*$D$20*$D$34))*(LN(1+(($D$19*$D$34/$D$18)*(B41/$D$38))+(($D$20*$D$34/$D$18)*(B41/$D$38)^2)))</f>
        <v>0</v>
      </c>
      <c r="D41" s="9">
        <f>($D$28/$D$16)*($D$19*$D$35/($D$20*$D$34*SQRT(4*$D$18*$D$20*$D$34-$D$19^2*$D$35^2)))</f>
        <v>7.8881553022606737E-4</v>
      </c>
      <c r="E41" s="9">
        <f>ATAN($D$19*$D$35/SQRT(4*$D$18*$D$20*$D$34-$D$19^2*$D$35^2))</f>
        <v>0.21078853683777132</v>
      </c>
      <c r="F41" s="9">
        <f t="shared" ref="F41:F51" si="0">-ATAN(($D$19*$D$35+2*$D$20*$D$34*(B41/$D$38))/SQRT(4*$D$18*$D$20*$D$34-$D$19^2*$D$35^2))</f>
        <v>-0.21078853683777132</v>
      </c>
      <c r="G41" s="10">
        <f>C41+D41*(E41+F41)</f>
        <v>0</v>
      </c>
      <c r="H41" s="9">
        <f>G41*($D$23-$D$33*($D$25/2))</f>
        <v>0</v>
      </c>
    </row>
    <row r="42" spans="2:9" x14ac:dyDescent="0.25">
      <c r="B42" s="2">
        <v>200</v>
      </c>
      <c r="C42" s="11">
        <f t="shared" ref="C42:C51" si="1">($D$28/$D$16)*(1/(2*$D$20*$D$34))*(LN(1+(($D$19*$D$34/$D$18)*(B42/$D$38))+(($D$20*$D$34/$D$18)*(B42/$D$38)^2)))</f>
        <v>3.797527411996774E-5</v>
      </c>
      <c r="D42" s="2">
        <f t="shared" ref="D42:D51" si="2">($D$28/$D$16)*($D$19*$D$35/($D$20*$D$34*SQRT(4*$D$18*$D$20*$D$34-$D$19^2*$D$35^2)))*ATAN($D$19*$D$35/SQRT(4*$D$18*$D$20*$D$34-$D$19^2*$D$35^2))</f>
        <v>1.6627327145126352E-4</v>
      </c>
      <c r="E42" s="2">
        <f t="shared" ref="E42:E51" si="3">ATAN($D$19*$D$35/SQRT(4*$D$18*$D$20*$D$34-$D$19^2*$D$35^2))</f>
        <v>0.21078853683777132</v>
      </c>
      <c r="F42" s="2">
        <f t="shared" si="0"/>
        <v>-0.29538176877203842</v>
      </c>
      <c r="G42" s="11">
        <f t="shared" ref="G42:G51" si="4">C42+D42*(E42+F42)</f>
        <v>2.3909680703621654E-5</v>
      </c>
      <c r="H42" s="2">
        <f t="shared" ref="H42:H51" si="5">G42*($D$23-$D$33*($D$25/2))</f>
        <v>1.2636443836433846E-3</v>
      </c>
    </row>
    <row r="43" spans="2:9" x14ac:dyDescent="0.25">
      <c r="B43" s="2">
        <v>400</v>
      </c>
      <c r="C43" s="11">
        <f t="shared" si="1"/>
        <v>1.0258548015358004E-4</v>
      </c>
      <c r="D43" s="2">
        <f t="shared" si="2"/>
        <v>1.6627327145126352E-4</v>
      </c>
      <c r="E43" s="2">
        <f t="shared" si="3"/>
        <v>0.21078853683777132</v>
      </c>
      <c r="F43" s="2">
        <f t="shared" si="0"/>
        <v>-0.37584223573121589</v>
      </c>
      <c r="G43" s="11">
        <f t="shared" si="4"/>
        <v>7.5141461673435217E-5</v>
      </c>
      <c r="H43" s="2">
        <f t="shared" si="5"/>
        <v>3.9712820593212038E-3</v>
      </c>
    </row>
    <row r="44" spans="2:9" x14ac:dyDescent="0.25">
      <c r="B44" s="2">
        <v>600</v>
      </c>
      <c r="C44" s="11">
        <f t="shared" si="1"/>
        <v>1.9111495986812572E-4</v>
      </c>
      <c r="D44" s="2">
        <f t="shared" si="2"/>
        <v>1.6627327145126352E-4</v>
      </c>
      <c r="E44" s="2">
        <f t="shared" si="3"/>
        <v>0.21078853683777132</v>
      </c>
      <c r="F44" s="2">
        <f t="shared" si="0"/>
        <v>-0.45150773586260395</v>
      </c>
      <c r="G44" s="11">
        <f t="shared" si="4"/>
        <v>1.5108979114513901E-4</v>
      </c>
      <c r="H44" s="2">
        <f t="shared" si="5"/>
        <v>7.9852076810664908E-3</v>
      </c>
    </row>
    <row r="45" spans="2:9" x14ac:dyDescent="0.25">
      <c r="B45" s="2">
        <v>800</v>
      </c>
      <c r="C45" s="11">
        <f t="shared" si="1"/>
        <v>3.0018416538741822E-4</v>
      </c>
      <c r="D45" s="2">
        <f t="shared" si="2"/>
        <v>1.6627327145126352E-4</v>
      </c>
      <c r="E45" s="2">
        <f t="shared" si="3"/>
        <v>0.21078853683777132</v>
      </c>
      <c r="F45" s="2">
        <f t="shared" si="0"/>
        <v>-0.52200885781862993</v>
      </c>
      <c r="G45" s="11">
        <f t="shared" si="4"/>
        <v>2.4843654447581853E-4</v>
      </c>
      <c r="H45" s="2">
        <f t="shared" si="5"/>
        <v>1.3130055897027745E-2</v>
      </c>
    </row>
    <row r="46" spans="2:9" x14ac:dyDescent="0.25">
      <c r="B46" s="2">
        <v>1000</v>
      </c>
      <c r="C46" s="11">
        <f t="shared" si="1"/>
        <v>4.2612152974427379E-4</v>
      </c>
      <c r="D46" s="2">
        <f t="shared" si="2"/>
        <v>1.6627327145126352E-4</v>
      </c>
      <c r="E46" s="2">
        <f t="shared" si="3"/>
        <v>0.21078853683777132</v>
      </c>
      <c r="F46" s="2">
        <f t="shared" si="0"/>
        <v>-0.5872282034669104</v>
      </c>
      <c r="G46" s="11">
        <f t="shared" si="4"/>
        <v>3.6352967486982378E-4</v>
      </c>
      <c r="H46" s="2">
        <f t="shared" si="5"/>
        <v>1.9212813321567122E-2</v>
      </c>
    </row>
    <row r="47" spans="2:9" x14ac:dyDescent="0.25">
      <c r="B47" s="2">
        <v>1200</v>
      </c>
      <c r="C47" s="11">
        <f t="shared" si="1"/>
        <v>5.6528559431840428E-4</v>
      </c>
      <c r="D47" s="2">
        <f t="shared" si="2"/>
        <v>1.6627327145126352E-4</v>
      </c>
      <c r="E47" s="2">
        <f t="shared" si="3"/>
        <v>0.21078853683777132</v>
      </c>
      <c r="F47" s="2">
        <f t="shared" si="0"/>
        <v>-0.64724416039225163</v>
      </c>
      <c r="G47" s="11">
        <f t="shared" si="4"/>
        <v>4.9271468994669971E-4</v>
      </c>
      <c r="H47" s="2">
        <f t="shared" si="5"/>
        <v>2.6040337318073408E-2</v>
      </c>
    </row>
    <row r="48" spans="2:9" x14ac:dyDescent="0.25">
      <c r="B48" s="2">
        <v>1400</v>
      </c>
      <c r="C48" s="11">
        <f t="shared" si="1"/>
        <v>7.1429845448507917E-4</v>
      </c>
      <c r="D48" s="2">
        <f t="shared" si="2"/>
        <v>1.6627327145126352E-4</v>
      </c>
      <c r="E48" s="2">
        <f t="shared" si="3"/>
        <v>0.21078853683777132</v>
      </c>
      <c r="F48" s="2">
        <f t="shared" si="0"/>
        <v>-0.70227296221926816</v>
      </c>
      <c r="G48" s="11">
        <f t="shared" si="4"/>
        <v>6.3257773120955325E-4</v>
      </c>
      <c r="H48" s="2">
        <f t="shared" si="5"/>
        <v>3.3432202929407864E-2</v>
      </c>
    </row>
    <row r="49" spans="2:8" x14ac:dyDescent="0.25">
      <c r="B49" s="2">
        <v>1600</v>
      </c>
      <c r="C49" s="11">
        <f t="shared" si="1"/>
        <v>8.7018370476213663E-4</v>
      </c>
      <c r="D49" s="2">
        <f t="shared" si="2"/>
        <v>1.6627327145126352E-4</v>
      </c>
      <c r="E49" s="2">
        <f t="shared" si="3"/>
        <v>0.21078853683777132</v>
      </c>
      <c r="F49" s="2">
        <f t="shared" si="0"/>
        <v>-0.75261756513003109</v>
      </c>
      <c r="G49" s="11">
        <f t="shared" si="4"/>
        <v>7.8009201966072338E-4</v>
      </c>
      <c r="H49" s="2">
        <f t="shared" si="5"/>
        <v>4.1228442637462018E-2</v>
      </c>
    </row>
    <row r="50" spans="2:8" x14ac:dyDescent="0.25">
      <c r="B50" s="2">
        <v>1800</v>
      </c>
      <c r="C50" s="11">
        <f t="shared" si="1"/>
        <v>1.0304232831355011E-3</v>
      </c>
      <c r="D50" s="2">
        <f t="shared" si="2"/>
        <v>1.6627327145126352E-4</v>
      </c>
      <c r="E50" s="2">
        <f t="shared" si="3"/>
        <v>0.21078853683777132</v>
      </c>
      <c r="F50" s="2">
        <f t="shared" si="0"/>
        <v>-0.79862704339120383</v>
      </c>
      <c r="G50" s="11">
        <f t="shared" si="4"/>
        <v>9.326814515658369E-4</v>
      </c>
      <c r="H50" s="2">
        <f t="shared" si="5"/>
        <v>4.9292907446522587E-2</v>
      </c>
    </row>
    <row r="51" spans="2:8" ht="15.75" thickBot="1" x14ac:dyDescent="0.3">
      <c r="B51" s="3">
        <v>2000</v>
      </c>
      <c r="C51" s="12">
        <f t="shared" si="1"/>
        <v>1.1929562787400679E-3</v>
      </c>
      <c r="D51" s="3">
        <f t="shared" si="2"/>
        <v>1.6627327145126352E-4</v>
      </c>
      <c r="E51" s="3">
        <f t="shared" si="3"/>
        <v>0.21078853683777132</v>
      </c>
      <c r="F51" s="3">
        <f t="shared" si="0"/>
        <v>-0.84066689008359408</v>
      </c>
      <c r="G51" s="12">
        <f t="shared" si="4"/>
        <v>1.0882243443295504E-3</v>
      </c>
      <c r="H51" s="3">
        <f t="shared" si="5"/>
        <v>5.7513464855586595E-2</v>
      </c>
    </row>
    <row r="52" spans="2:8" x14ac:dyDescent="0.25">
      <c r="C52" s="7"/>
      <c r="G52" s="7"/>
    </row>
    <row r="53" spans="2:8" x14ac:dyDescent="0.25">
      <c r="C53" s="7"/>
      <c r="G53" s="7"/>
    </row>
    <row r="54" spans="2:8" x14ac:dyDescent="0.25">
      <c r="B54" t="s">
        <v>75</v>
      </c>
      <c r="C54" s="7">
        <f>D23/1000</f>
        <v>5.9299999999999999E-2</v>
      </c>
      <c r="G54" s="7"/>
    </row>
    <row r="55" spans="2:8" x14ac:dyDescent="0.25">
      <c r="B55" t="s">
        <v>76</v>
      </c>
      <c r="C55" s="7">
        <f>(D25/2)/1000</f>
        <v>3.555E-3</v>
      </c>
      <c r="G55" s="7"/>
    </row>
    <row r="56" spans="2:8" x14ac:dyDescent="0.25">
      <c r="B56" t="s">
        <v>54</v>
      </c>
      <c r="C56" s="7">
        <f>1.813</f>
        <v>1.8129999999999999</v>
      </c>
      <c r="G56" s="7"/>
    </row>
    <row r="57" spans="2:8" x14ac:dyDescent="0.25">
      <c r="B57" t="s">
        <v>77</v>
      </c>
      <c r="C57" s="15">
        <f>C54+C56*C55</f>
        <v>6.5745214999999996E-2</v>
      </c>
    </row>
    <row r="58" spans="2:8" x14ac:dyDescent="0.25">
      <c r="B58" t="s">
        <v>78</v>
      </c>
      <c r="C58">
        <f>PI()*C55^2*D28*C57</f>
        <v>2.6103168857300996E-6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21"/>
    </sheetView>
  </sheetViews>
  <sheetFormatPr defaultRowHeight="15" x14ac:dyDescent="0.25"/>
  <cols>
    <col min="2" max="2" width="10" customWidth="1"/>
    <col min="3" max="3" width="12.42578125" customWidth="1"/>
    <col min="5" max="5" width="9.7109375" customWidth="1"/>
  </cols>
  <sheetData>
    <row r="1" spans="1:6" ht="45" x14ac:dyDescent="0.25">
      <c r="A1" s="1" t="s">
        <v>19</v>
      </c>
      <c r="B1" s="1" t="s">
        <v>21</v>
      </c>
      <c r="C1" s="1" t="s">
        <v>24</v>
      </c>
      <c r="D1" s="1" t="s">
        <v>23</v>
      </c>
      <c r="E1" s="1" t="s">
        <v>22</v>
      </c>
      <c r="F1" s="1" t="s">
        <v>25</v>
      </c>
    </row>
    <row r="2" spans="1:6" x14ac:dyDescent="0.25">
      <c r="A2" s="2" t="s">
        <v>0</v>
      </c>
      <c r="B2" s="2">
        <v>569</v>
      </c>
      <c r="C2" s="2">
        <v>58</v>
      </c>
      <c r="D2" s="2">
        <v>20.38</v>
      </c>
      <c r="E2" s="2">
        <v>38.200000000000003</v>
      </c>
      <c r="F2" s="2">
        <v>0.127</v>
      </c>
    </row>
    <row r="3" spans="1:6" x14ac:dyDescent="0.25">
      <c r="A3" s="2" t="s">
        <v>1</v>
      </c>
      <c r="B3" s="2">
        <v>570</v>
      </c>
      <c r="C3" s="2">
        <v>55</v>
      </c>
      <c r="D3" s="2">
        <v>20.427</v>
      </c>
      <c r="E3" s="2">
        <v>38.1</v>
      </c>
      <c r="F3" s="2">
        <v>0.14099999999999999</v>
      </c>
    </row>
    <row r="4" spans="1:6" x14ac:dyDescent="0.25">
      <c r="A4" s="2" t="s">
        <v>2</v>
      </c>
      <c r="B4" s="2">
        <v>679</v>
      </c>
      <c r="C4" s="2">
        <v>72</v>
      </c>
      <c r="D4" s="2">
        <v>20.411999999999999</v>
      </c>
      <c r="E4" s="2">
        <v>38.1</v>
      </c>
      <c r="F4" s="2">
        <v>0.14000000000000001</v>
      </c>
    </row>
    <row r="5" spans="1:6" x14ac:dyDescent="0.25">
      <c r="A5" s="2" t="s">
        <v>3</v>
      </c>
      <c r="B5" s="2">
        <v>821</v>
      </c>
      <c r="C5" s="2">
        <v>102</v>
      </c>
      <c r="D5" s="2">
        <v>20.414999999999999</v>
      </c>
      <c r="E5" s="2">
        <v>38.9</v>
      </c>
      <c r="F5" s="2">
        <v>0.16700000000000001</v>
      </c>
    </row>
    <row r="6" spans="1:6" x14ac:dyDescent="0.25">
      <c r="A6" s="2" t="s">
        <v>4</v>
      </c>
      <c r="B6" s="2">
        <v>966</v>
      </c>
      <c r="C6" s="2">
        <v>140</v>
      </c>
      <c r="D6" s="2">
        <v>20.414999999999999</v>
      </c>
      <c r="E6" s="2">
        <v>38</v>
      </c>
      <c r="F6" s="2">
        <v>0.22900000000000001</v>
      </c>
    </row>
    <row r="7" spans="1:6" x14ac:dyDescent="0.25">
      <c r="A7" s="2" t="s">
        <v>5</v>
      </c>
      <c r="B7" s="2">
        <v>1147</v>
      </c>
      <c r="C7" s="2">
        <v>190</v>
      </c>
      <c r="D7" s="2">
        <v>20.41</v>
      </c>
      <c r="E7" s="2">
        <v>38.299999999999997</v>
      </c>
      <c r="F7" s="2">
        <v>0.248</v>
      </c>
    </row>
    <row r="8" spans="1:6" x14ac:dyDescent="0.25">
      <c r="A8" s="2" t="s">
        <v>6</v>
      </c>
      <c r="B8" s="2">
        <v>1237</v>
      </c>
      <c r="C8" s="2">
        <v>224</v>
      </c>
      <c r="D8" s="2">
        <v>20.379000000000001</v>
      </c>
      <c r="E8" s="2">
        <v>38</v>
      </c>
      <c r="F8" s="2">
        <v>0.26700000000000002</v>
      </c>
    </row>
    <row r="9" spans="1:6" x14ac:dyDescent="0.25">
      <c r="A9" s="2" t="s">
        <v>20</v>
      </c>
      <c r="B9" s="2">
        <v>1365</v>
      </c>
      <c r="C9" s="2">
        <v>249</v>
      </c>
      <c r="D9" s="2">
        <v>20.824000000000002</v>
      </c>
      <c r="E9" s="2">
        <v>39.200000000000003</v>
      </c>
      <c r="F9" s="2">
        <v>0.34300000000000003</v>
      </c>
    </row>
    <row r="10" spans="1:6" x14ac:dyDescent="0.25">
      <c r="A10" s="2" t="s">
        <v>7</v>
      </c>
      <c r="B10" s="2">
        <v>1396</v>
      </c>
      <c r="C10" s="2">
        <v>249</v>
      </c>
      <c r="D10" s="2">
        <v>20.417999999999999</v>
      </c>
      <c r="E10" s="2">
        <v>38</v>
      </c>
      <c r="F10" s="2">
        <v>0.28899999999999998</v>
      </c>
    </row>
    <row r="11" spans="1:6" x14ac:dyDescent="0.25">
      <c r="A11" s="2" t="s">
        <v>8</v>
      </c>
      <c r="B11" s="2">
        <v>1493</v>
      </c>
      <c r="C11" s="2">
        <v>277</v>
      </c>
      <c r="D11" s="2">
        <v>20.382999999999999</v>
      </c>
      <c r="E11" s="2">
        <v>38</v>
      </c>
      <c r="F11" s="2">
        <v>0.33800000000000002</v>
      </c>
    </row>
    <row r="12" spans="1:6" x14ac:dyDescent="0.25">
      <c r="A12" s="2" t="s">
        <v>9</v>
      </c>
      <c r="B12" s="2">
        <v>1571</v>
      </c>
      <c r="C12" s="2">
        <v>216</v>
      </c>
      <c r="D12" s="2">
        <v>20.48</v>
      </c>
      <c r="E12" s="2">
        <v>38.200000000000003</v>
      </c>
      <c r="F12" s="2">
        <v>0.29199999999999998</v>
      </c>
    </row>
    <row r="13" spans="1:6" x14ac:dyDescent="0.25">
      <c r="A13" s="2" t="s">
        <v>10</v>
      </c>
      <c r="B13" s="2">
        <v>1585</v>
      </c>
      <c r="C13" s="2">
        <v>105</v>
      </c>
      <c r="D13" s="2">
        <v>20.414000000000001</v>
      </c>
      <c r="E13" s="2">
        <v>38</v>
      </c>
      <c r="F13" s="2">
        <v>0.36299999999999999</v>
      </c>
    </row>
    <row r="14" spans="1:6" x14ac:dyDescent="0.25">
      <c r="A14" s="2" t="s">
        <v>11</v>
      </c>
      <c r="B14" s="2">
        <v>1648</v>
      </c>
      <c r="C14" s="2">
        <v>109</v>
      </c>
      <c r="D14" s="2">
        <v>20.437000000000001</v>
      </c>
      <c r="E14" s="2">
        <v>37.700000000000003</v>
      </c>
      <c r="F14" s="2">
        <v>0.26700000000000002</v>
      </c>
    </row>
    <row r="15" spans="1:6" x14ac:dyDescent="0.25">
      <c r="A15" s="2" t="s">
        <v>12</v>
      </c>
      <c r="B15" s="2">
        <v>1770</v>
      </c>
      <c r="C15" s="2">
        <v>142</v>
      </c>
      <c r="D15" s="2">
        <v>20.443999999999999</v>
      </c>
      <c r="E15" s="2">
        <v>37.9</v>
      </c>
      <c r="F15" s="2">
        <v>0.24399999999999999</v>
      </c>
    </row>
    <row r="16" spans="1:6" x14ac:dyDescent="0.25">
      <c r="A16" s="2" t="s">
        <v>13</v>
      </c>
      <c r="B16" s="2">
        <v>1977</v>
      </c>
      <c r="C16" s="2">
        <v>123</v>
      </c>
      <c r="D16" s="2">
        <v>20.456</v>
      </c>
      <c r="E16" s="2">
        <v>39.5</v>
      </c>
      <c r="F16" s="2">
        <v>0.216</v>
      </c>
    </row>
    <row r="17" spans="1:6" x14ac:dyDescent="0.25">
      <c r="A17" s="2" t="s">
        <v>14</v>
      </c>
      <c r="B17" s="2">
        <v>2166</v>
      </c>
      <c r="C17" s="2">
        <v>124</v>
      </c>
      <c r="D17" s="2">
        <v>20.431999999999999</v>
      </c>
      <c r="E17" s="2">
        <v>37.9</v>
      </c>
      <c r="F17" s="2">
        <v>0.23499999999999999</v>
      </c>
    </row>
    <row r="18" spans="1:6" x14ac:dyDescent="0.25">
      <c r="A18" s="2" t="s">
        <v>15</v>
      </c>
      <c r="B18" s="2">
        <v>2193</v>
      </c>
      <c r="C18" s="2">
        <v>126</v>
      </c>
      <c r="D18" s="2">
        <v>20.422999999999998</v>
      </c>
      <c r="E18" s="2">
        <v>38.4</v>
      </c>
      <c r="F18" s="2">
        <v>0.24399999999999999</v>
      </c>
    </row>
    <row r="19" spans="1:6" x14ac:dyDescent="0.25">
      <c r="A19" s="2" t="s">
        <v>16</v>
      </c>
      <c r="B19" s="2">
        <v>2204</v>
      </c>
      <c r="C19" s="2">
        <v>121</v>
      </c>
      <c r="D19" s="2">
        <v>20.452000000000002</v>
      </c>
      <c r="E19" s="2">
        <v>39.4</v>
      </c>
      <c r="F19" s="2">
        <v>0.216</v>
      </c>
    </row>
    <row r="20" spans="1:6" x14ac:dyDescent="0.25">
      <c r="A20" s="2" t="s">
        <v>17</v>
      </c>
      <c r="B20" s="2">
        <v>2570</v>
      </c>
      <c r="C20" s="2">
        <v>144</v>
      </c>
      <c r="D20" s="2">
        <v>20.367000000000001</v>
      </c>
      <c r="E20" s="2">
        <v>38.200000000000003</v>
      </c>
      <c r="F20" s="2">
        <v>0.24299999999999999</v>
      </c>
    </row>
    <row r="21" spans="1:6" ht="15.75" thickBot="1" x14ac:dyDescent="0.3">
      <c r="A21" s="3" t="s">
        <v>18</v>
      </c>
      <c r="B21" s="3">
        <v>2988</v>
      </c>
      <c r="C21" s="3">
        <v>147</v>
      </c>
      <c r="D21" s="3">
        <v>20.39</v>
      </c>
      <c r="E21" s="3">
        <v>38.9</v>
      </c>
      <c r="F21" s="3">
        <v>0.30499999999999999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9" sqref="I9"/>
    </sheetView>
  </sheetViews>
  <sheetFormatPr defaultRowHeight="15" x14ac:dyDescent="0.25"/>
  <cols>
    <col min="3" max="4" width="12.42578125" customWidth="1"/>
  </cols>
  <sheetData>
    <row r="1" spans="1:6" ht="45" x14ac:dyDescent="0.25">
      <c r="A1" s="1" t="s">
        <v>19</v>
      </c>
      <c r="B1" s="1" t="s">
        <v>21</v>
      </c>
      <c r="C1" s="1" t="s">
        <v>24</v>
      </c>
      <c r="D1" s="1" t="s">
        <v>23</v>
      </c>
      <c r="E1" s="1" t="s">
        <v>22</v>
      </c>
      <c r="F1" s="1" t="s">
        <v>25</v>
      </c>
    </row>
    <row r="2" spans="1:6" x14ac:dyDescent="0.25">
      <c r="A2" s="2" t="s">
        <v>26</v>
      </c>
      <c r="B2" s="2">
        <v>794</v>
      </c>
      <c r="C2" s="2">
        <v>103</v>
      </c>
      <c r="D2" s="2">
        <v>20.908000000000001</v>
      </c>
      <c r="E2" s="2">
        <v>52.9</v>
      </c>
      <c r="F2" s="2">
        <v>0.154</v>
      </c>
    </row>
    <row r="3" spans="1:6" x14ac:dyDescent="0.25">
      <c r="A3" s="2" t="s">
        <v>27</v>
      </c>
      <c r="B3" s="2">
        <v>1076</v>
      </c>
      <c r="C3" s="2">
        <v>160</v>
      </c>
      <c r="D3" s="2">
        <v>20.89</v>
      </c>
      <c r="E3" s="2">
        <v>53.1</v>
      </c>
      <c r="F3" s="2">
        <v>0.23</v>
      </c>
    </row>
    <row r="4" spans="1:6" x14ac:dyDescent="0.25">
      <c r="A4" s="2" t="s">
        <v>28</v>
      </c>
      <c r="B4" s="2">
        <v>1255</v>
      </c>
      <c r="C4" s="2">
        <v>229</v>
      </c>
      <c r="D4" s="2">
        <v>20.905999999999999</v>
      </c>
      <c r="E4" s="2">
        <v>53.1</v>
      </c>
      <c r="F4" s="2">
        <v>0.27700000000000002</v>
      </c>
    </row>
    <row r="5" spans="1:6" x14ac:dyDescent="0.25">
      <c r="A5" s="2" t="s">
        <v>29</v>
      </c>
      <c r="B5" s="2">
        <v>1348</v>
      </c>
      <c r="C5" s="2">
        <v>254</v>
      </c>
      <c r="D5" s="2">
        <v>20.914000000000001</v>
      </c>
      <c r="E5" s="2">
        <v>53.2</v>
      </c>
      <c r="F5" s="2">
        <v>0.34899999999999998</v>
      </c>
    </row>
    <row r="6" spans="1:6" x14ac:dyDescent="0.25">
      <c r="A6" s="2" t="s">
        <v>30</v>
      </c>
      <c r="B6" s="2">
        <v>1538</v>
      </c>
      <c r="C6" s="2">
        <v>332</v>
      </c>
      <c r="D6" s="2">
        <v>20.888999999999999</v>
      </c>
      <c r="E6" s="2">
        <v>53.8</v>
      </c>
      <c r="F6" s="2">
        <v>0.40600000000000003</v>
      </c>
    </row>
    <row r="7" spans="1:6" x14ac:dyDescent="0.25">
      <c r="A7" s="2" t="s">
        <v>31</v>
      </c>
      <c r="B7" s="2">
        <v>1654</v>
      </c>
      <c r="C7" s="2">
        <v>389</v>
      </c>
      <c r="D7" s="2">
        <v>20.873000000000001</v>
      </c>
      <c r="E7" s="2">
        <v>53.4</v>
      </c>
      <c r="F7" s="2">
        <v>0.40600000000000003</v>
      </c>
    </row>
    <row r="8" spans="1:6" x14ac:dyDescent="0.25">
      <c r="A8" s="2" t="s">
        <v>32</v>
      </c>
      <c r="B8" s="2">
        <v>1786</v>
      </c>
      <c r="C8" s="2">
        <v>452</v>
      </c>
      <c r="D8" s="2">
        <v>20.911999999999999</v>
      </c>
      <c r="E8" s="2">
        <v>53</v>
      </c>
      <c r="F8" s="2">
        <v>0.47</v>
      </c>
    </row>
    <row r="9" spans="1:6" x14ac:dyDescent="0.25">
      <c r="A9" s="2" t="s">
        <v>33</v>
      </c>
      <c r="B9" s="2">
        <v>1816</v>
      </c>
      <c r="C9" s="2">
        <v>398</v>
      </c>
      <c r="D9" s="2">
        <v>20.788</v>
      </c>
      <c r="E9" s="2">
        <v>53.5</v>
      </c>
      <c r="F9" s="2">
        <v>0.55900000000000005</v>
      </c>
    </row>
    <row r="10" spans="1:6" x14ac:dyDescent="0.25">
      <c r="A10" s="2" t="s">
        <v>34</v>
      </c>
      <c r="B10" s="2">
        <v>1817</v>
      </c>
      <c r="C10" s="2">
        <v>462</v>
      </c>
      <c r="D10" s="2">
        <v>20.916</v>
      </c>
      <c r="E10" s="2">
        <v>53.3</v>
      </c>
      <c r="F10" s="2">
        <v>0.55900000000000005</v>
      </c>
    </row>
    <row r="11" spans="1:6" x14ac:dyDescent="0.25">
      <c r="A11" s="2" t="s">
        <v>35</v>
      </c>
      <c r="B11" s="2">
        <v>1916</v>
      </c>
      <c r="C11" s="2">
        <v>281</v>
      </c>
      <c r="D11" s="2">
        <v>20.88</v>
      </c>
      <c r="E11" s="2">
        <v>53</v>
      </c>
      <c r="F11" s="2">
        <v>0.55900000000000005</v>
      </c>
    </row>
    <row r="12" spans="1:6" x14ac:dyDescent="0.25">
      <c r="A12" s="2" t="s">
        <v>36</v>
      </c>
      <c r="B12" s="2">
        <v>2042</v>
      </c>
      <c r="C12" s="2">
        <v>285</v>
      </c>
      <c r="D12" s="2">
        <v>20.959</v>
      </c>
      <c r="E12" s="2">
        <v>53.3</v>
      </c>
      <c r="F12" s="2">
        <v>0.254</v>
      </c>
    </row>
    <row r="13" spans="1:6" x14ac:dyDescent="0.25">
      <c r="A13" s="2" t="s">
        <v>37</v>
      </c>
      <c r="B13" s="2">
        <v>2438</v>
      </c>
      <c r="C13" s="2">
        <v>168</v>
      </c>
      <c r="D13" s="2">
        <v>20.872</v>
      </c>
      <c r="E13" s="2">
        <v>53</v>
      </c>
      <c r="F13" s="2">
        <v>0.30499999999999999</v>
      </c>
    </row>
    <row r="14" spans="1:6" x14ac:dyDescent="0.25">
      <c r="A14" s="2" t="s">
        <v>38</v>
      </c>
      <c r="B14" s="2">
        <v>2493</v>
      </c>
      <c r="C14" s="2">
        <v>168</v>
      </c>
      <c r="D14" s="2">
        <v>20.867999999999999</v>
      </c>
      <c r="E14" s="2">
        <v>53.5</v>
      </c>
      <c r="F14" s="2">
        <v>0.30499999999999999</v>
      </c>
    </row>
    <row r="15" spans="1:6" ht="15.75" thickBot="1" x14ac:dyDescent="0.3">
      <c r="A15" s="3" t="s">
        <v>39</v>
      </c>
      <c r="B15" s="3">
        <v>2963</v>
      </c>
      <c r="C15" s="3">
        <v>172</v>
      </c>
      <c r="D15" s="3">
        <v>20.911999999999999</v>
      </c>
      <c r="E15" s="3">
        <v>53.1</v>
      </c>
      <c r="F15" s="3">
        <v>0.30499999999999999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K18" sqref="K18"/>
    </sheetView>
  </sheetViews>
  <sheetFormatPr defaultRowHeight="15" x14ac:dyDescent="0.25"/>
  <cols>
    <col min="7" max="7" width="11" customWidth="1"/>
  </cols>
  <sheetData>
    <row r="1" spans="1:11" ht="45.75" thickBot="1" x14ac:dyDescent="0.3">
      <c r="A1" s="1" t="s">
        <v>19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8" t="s">
        <v>66</v>
      </c>
      <c r="H1" s="14" t="s">
        <v>79</v>
      </c>
      <c r="I1" s="14" t="s">
        <v>80</v>
      </c>
      <c r="J1" s="14" t="s">
        <v>81</v>
      </c>
      <c r="K1" s="14" t="s">
        <v>82</v>
      </c>
    </row>
    <row r="2" spans="1:11" x14ac:dyDescent="0.25">
      <c r="A2" s="2" t="s">
        <v>0</v>
      </c>
      <c r="B2" s="2">
        <v>569</v>
      </c>
      <c r="C2" s="2">
        <v>58</v>
      </c>
      <c r="D2" s="2">
        <v>20.38</v>
      </c>
      <c r="E2" s="2">
        <v>38.200000000000003</v>
      </c>
      <c r="F2" s="2">
        <v>0.127</v>
      </c>
      <c r="G2" t="s">
        <v>67</v>
      </c>
      <c r="H2" s="10">
        <v>0</v>
      </c>
      <c r="I2" s="9">
        <v>7.8881553022606737E-4</v>
      </c>
      <c r="J2" s="9">
        <v>0.21078853683777132</v>
      </c>
      <c r="K2" s="9">
        <v>-0.21078853683777132</v>
      </c>
    </row>
    <row r="3" spans="1:11" x14ac:dyDescent="0.25">
      <c r="A3" s="2" t="s">
        <v>1</v>
      </c>
      <c r="B3" s="2">
        <v>570</v>
      </c>
      <c r="C3" s="2">
        <v>55</v>
      </c>
      <c r="D3" s="2">
        <v>20.427</v>
      </c>
      <c r="E3" s="2">
        <v>38.1</v>
      </c>
      <c r="F3" s="2">
        <v>0.14099999999999999</v>
      </c>
      <c r="G3" t="s">
        <v>67</v>
      </c>
      <c r="H3" s="11">
        <v>3.797527411996774E-5</v>
      </c>
      <c r="I3" s="2">
        <v>1.6627327145126352E-4</v>
      </c>
      <c r="J3" s="2">
        <v>0.21078853683777132</v>
      </c>
      <c r="K3" s="2">
        <v>-0.29538176877203842</v>
      </c>
    </row>
    <row r="4" spans="1:11" x14ac:dyDescent="0.25">
      <c r="A4" s="2" t="s">
        <v>2</v>
      </c>
      <c r="B4" s="2">
        <v>679</v>
      </c>
      <c r="C4" s="2">
        <v>72</v>
      </c>
      <c r="D4" s="2">
        <v>20.411999999999999</v>
      </c>
      <c r="E4" s="2">
        <v>38.1</v>
      </c>
      <c r="F4" s="2">
        <v>0.14000000000000001</v>
      </c>
      <c r="G4" t="s">
        <v>67</v>
      </c>
      <c r="H4" s="11">
        <v>1.0258548015358004E-4</v>
      </c>
      <c r="I4" s="2">
        <v>1.6627327145126352E-4</v>
      </c>
      <c r="J4" s="2">
        <v>0.21078853683777132</v>
      </c>
      <c r="K4" s="2">
        <v>-0.37584223573121589</v>
      </c>
    </row>
    <row r="5" spans="1:11" x14ac:dyDescent="0.25">
      <c r="A5" s="2" t="s">
        <v>3</v>
      </c>
      <c r="B5" s="2">
        <v>821</v>
      </c>
      <c r="C5" s="2">
        <v>102</v>
      </c>
      <c r="D5" s="2">
        <v>20.414999999999999</v>
      </c>
      <c r="E5" s="2">
        <v>38.9</v>
      </c>
      <c r="F5" s="2">
        <v>0.16700000000000001</v>
      </c>
      <c r="G5" t="s">
        <v>67</v>
      </c>
      <c r="H5" s="11">
        <v>1.9111495986812572E-4</v>
      </c>
      <c r="I5" s="2">
        <v>1.6627327145126352E-4</v>
      </c>
      <c r="J5" s="2">
        <v>0.21078853683777132</v>
      </c>
      <c r="K5" s="2">
        <v>-0.45150773586260395</v>
      </c>
    </row>
    <row r="6" spans="1:11" x14ac:dyDescent="0.25">
      <c r="A6" s="2" t="s">
        <v>4</v>
      </c>
      <c r="B6" s="2">
        <v>966</v>
      </c>
      <c r="C6" s="2">
        <v>140</v>
      </c>
      <c r="D6" s="2">
        <v>20.414999999999999</v>
      </c>
      <c r="E6" s="2">
        <v>38</v>
      </c>
      <c r="F6" s="2">
        <v>0.22900000000000001</v>
      </c>
      <c r="G6" t="s">
        <v>67</v>
      </c>
      <c r="H6" s="11">
        <v>3.0018416538741822E-4</v>
      </c>
      <c r="I6" s="2">
        <v>1.6627327145126352E-4</v>
      </c>
      <c r="J6" s="2">
        <v>0.21078853683777132</v>
      </c>
      <c r="K6" s="2">
        <v>-0.52200885781862993</v>
      </c>
    </row>
    <row r="7" spans="1:11" x14ac:dyDescent="0.25">
      <c r="A7" s="2" t="s">
        <v>5</v>
      </c>
      <c r="B7" s="2">
        <v>1147</v>
      </c>
      <c r="C7" s="2">
        <v>190</v>
      </c>
      <c r="D7" s="2">
        <v>20.41</v>
      </c>
      <c r="E7" s="2">
        <v>38.299999999999997</v>
      </c>
      <c r="F7" s="2">
        <v>0.248</v>
      </c>
      <c r="G7" t="s">
        <v>67</v>
      </c>
      <c r="H7" s="11">
        <v>4.2612152974427379E-4</v>
      </c>
      <c r="I7" s="2">
        <v>1.6627327145126352E-4</v>
      </c>
      <c r="J7" s="2">
        <v>0.21078853683777132</v>
      </c>
      <c r="K7" s="2">
        <v>-0.5872282034669104</v>
      </c>
    </row>
    <row r="8" spans="1:11" x14ac:dyDescent="0.25">
      <c r="A8" s="2" t="s">
        <v>6</v>
      </c>
      <c r="B8" s="2">
        <v>1237</v>
      </c>
      <c r="C8" s="2">
        <v>224</v>
      </c>
      <c r="D8" s="2">
        <v>20.379000000000001</v>
      </c>
      <c r="E8" s="2">
        <v>38</v>
      </c>
      <c r="F8" s="2">
        <v>0.26700000000000002</v>
      </c>
      <c r="G8" t="s">
        <v>67</v>
      </c>
      <c r="H8" s="11">
        <v>5.6528559431840428E-4</v>
      </c>
      <c r="I8" s="2">
        <v>1.6627327145126352E-4</v>
      </c>
      <c r="J8" s="2">
        <v>0.21078853683777132</v>
      </c>
      <c r="K8" s="2">
        <v>-0.64724416039225163</v>
      </c>
    </row>
    <row r="9" spans="1:11" x14ac:dyDescent="0.25">
      <c r="A9" s="2" t="s">
        <v>20</v>
      </c>
      <c r="B9" s="2">
        <v>1365</v>
      </c>
      <c r="C9" s="2">
        <v>249</v>
      </c>
      <c r="D9" s="2">
        <v>20.824000000000002</v>
      </c>
      <c r="E9" s="2">
        <v>39.200000000000003</v>
      </c>
      <c r="F9" s="2">
        <v>0.34300000000000003</v>
      </c>
      <c r="G9" t="s">
        <v>67</v>
      </c>
      <c r="H9" s="11">
        <v>7.1429845448507917E-4</v>
      </c>
      <c r="I9" s="2">
        <v>1.6627327145126352E-4</v>
      </c>
      <c r="J9" s="2">
        <v>0.21078853683777132</v>
      </c>
      <c r="K9" s="2">
        <v>-0.70227296221926816</v>
      </c>
    </row>
    <row r="10" spans="1:11" x14ac:dyDescent="0.25">
      <c r="A10" s="2" t="s">
        <v>7</v>
      </c>
      <c r="B10" s="2">
        <v>1396</v>
      </c>
      <c r="C10" s="2">
        <v>249</v>
      </c>
      <c r="D10" s="2">
        <v>20.417999999999999</v>
      </c>
      <c r="E10" s="2">
        <v>38</v>
      </c>
      <c r="F10" s="2">
        <v>0.28899999999999998</v>
      </c>
      <c r="G10" t="s">
        <v>67</v>
      </c>
      <c r="H10" s="11">
        <v>8.7018370476213663E-4</v>
      </c>
      <c r="I10" s="2">
        <v>1.6627327145126352E-4</v>
      </c>
      <c r="J10" s="2">
        <v>0.21078853683777132</v>
      </c>
      <c r="K10" s="2">
        <v>-0.75261756513003109</v>
      </c>
    </row>
    <row r="11" spans="1:11" x14ac:dyDescent="0.25">
      <c r="A11" s="2" t="s">
        <v>8</v>
      </c>
      <c r="B11" s="2">
        <v>1493</v>
      </c>
      <c r="C11" s="2">
        <v>277</v>
      </c>
      <c r="D11" s="2">
        <v>20.382999999999999</v>
      </c>
      <c r="E11" s="2">
        <v>38</v>
      </c>
      <c r="F11" s="2">
        <v>0.33800000000000002</v>
      </c>
      <c r="G11" t="s">
        <v>67</v>
      </c>
      <c r="H11" s="11">
        <v>1.0304232831355011E-3</v>
      </c>
      <c r="I11" s="2">
        <v>1.6627327145126352E-4</v>
      </c>
      <c r="J11" s="2">
        <v>0.21078853683777132</v>
      </c>
      <c r="K11" s="2">
        <v>-0.79862704339120383</v>
      </c>
    </row>
    <row r="12" spans="1:11" ht="15.75" thickBot="1" x14ac:dyDescent="0.3">
      <c r="A12" s="2" t="s">
        <v>9</v>
      </c>
      <c r="B12" s="2">
        <v>1571</v>
      </c>
      <c r="C12" s="2">
        <v>216</v>
      </c>
      <c r="D12" s="2">
        <v>20.48</v>
      </c>
      <c r="E12" s="2">
        <v>38.200000000000003</v>
      </c>
      <c r="F12" s="2">
        <v>0.29199999999999998</v>
      </c>
      <c r="G12" t="s">
        <v>67</v>
      </c>
      <c r="H12" s="12">
        <v>1.1929562787400679E-3</v>
      </c>
      <c r="I12" s="3">
        <v>1.6627327145126352E-4</v>
      </c>
      <c r="J12" s="3">
        <v>0.21078853683777132</v>
      </c>
      <c r="K12" s="3">
        <v>-0.84066689008359408</v>
      </c>
    </row>
    <row r="13" spans="1:11" x14ac:dyDescent="0.25">
      <c r="A13" s="2" t="s">
        <v>10</v>
      </c>
      <c r="B13" s="2">
        <v>1585</v>
      </c>
      <c r="C13" s="2">
        <v>105</v>
      </c>
      <c r="D13" s="2">
        <v>20.414000000000001</v>
      </c>
      <c r="E13" s="2">
        <v>38</v>
      </c>
      <c r="F13" s="2">
        <v>0.36299999999999999</v>
      </c>
      <c r="G13" t="s">
        <v>67</v>
      </c>
    </row>
    <row r="14" spans="1:11" x14ac:dyDescent="0.25">
      <c r="A14" s="2" t="s">
        <v>11</v>
      </c>
      <c r="B14" s="2">
        <v>1648</v>
      </c>
      <c r="C14" s="2">
        <v>109</v>
      </c>
      <c r="D14" s="2">
        <v>20.437000000000001</v>
      </c>
      <c r="E14" s="2">
        <v>37.700000000000003</v>
      </c>
      <c r="F14" s="2">
        <v>0.26700000000000002</v>
      </c>
      <c r="G14" t="s">
        <v>67</v>
      </c>
    </row>
    <row r="15" spans="1:11" x14ac:dyDescent="0.25">
      <c r="A15" s="2" t="s">
        <v>12</v>
      </c>
      <c r="B15" s="2">
        <v>1770</v>
      </c>
      <c r="C15" s="2">
        <v>142</v>
      </c>
      <c r="D15" s="2">
        <v>20.443999999999999</v>
      </c>
      <c r="E15" s="2">
        <v>37.9</v>
      </c>
      <c r="F15" s="2">
        <v>0.24399999999999999</v>
      </c>
      <c r="G15" t="s">
        <v>67</v>
      </c>
    </row>
    <row r="16" spans="1:11" x14ac:dyDescent="0.25">
      <c r="A16" s="2" t="s">
        <v>13</v>
      </c>
      <c r="B16" s="2">
        <v>1977</v>
      </c>
      <c r="C16" s="2">
        <v>123</v>
      </c>
      <c r="D16" s="2">
        <v>20.456</v>
      </c>
      <c r="E16" s="2">
        <v>39.5</v>
      </c>
      <c r="F16" s="2">
        <v>0.216</v>
      </c>
      <c r="G16" t="s">
        <v>67</v>
      </c>
    </row>
    <row r="17" spans="1:7" x14ac:dyDescent="0.25">
      <c r="A17" s="2" t="s">
        <v>14</v>
      </c>
      <c r="B17" s="2">
        <v>2166</v>
      </c>
      <c r="C17" s="2">
        <v>124</v>
      </c>
      <c r="D17" s="2">
        <v>20.431999999999999</v>
      </c>
      <c r="E17" s="2">
        <v>37.9</v>
      </c>
      <c r="F17" s="2">
        <v>0.23499999999999999</v>
      </c>
      <c r="G17" t="s">
        <v>67</v>
      </c>
    </row>
    <row r="18" spans="1:7" x14ac:dyDescent="0.25">
      <c r="A18" s="2" t="s">
        <v>15</v>
      </c>
      <c r="B18" s="2">
        <v>2193</v>
      </c>
      <c r="C18" s="2">
        <v>126</v>
      </c>
      <c r="D18" s="2">
        <v>20.422999999999998</v>
      </c>
      <c r="E18" s="2">
        <v>38.4</v>
      </c>
      <c r="F18" s="2">
        <v>0.24399999999999999</v>
      </c>
      <c r="G18" t="s">
        <v>67</v>
      </c>
    </row>
    <row r="19" spans="1:7" x14ac:dyDescent="0.25">
      <c r="A19" s="2" t="s">
        <v>16</v>
      </c>
      <c r="B19" s="2">
        <v>2204</v>
      </c>
      <c r="C19" s="2">
        <v>121</v>
      </c>
      <c r="D19" s="2">
        <v>20.452000000000002</v>
      </c>
      <c r="E19" s="2">
        <v>39.4</v>
      </c>
      <c r="F19" s="2">
        <v>0.216</v>
      </c>
      <c r="G19" t="s">
        <v>67</v>
      </c>
    </row>
    <row r="20" spans="1:7" x14ac:dyDescent="0.25">
      <c r="A20" s="2" t="s">
        <v>17</v>
      </c>
      <c r="B20" s="2">
        <v>2570</v>
      </c>
      <c r="C20" s="2">
        <v>144</v>
      </c>
      <c r="D20" s="2">
        <v>20.367000000000001</v>
      </c>
      <c r="E20" s="2">
        <v>38.200000000000003</v>
      </c>
      <c r="F20" s="2">
        <v>0.24299999999999999</v>
      </c>
      <c r="G20" t="s">
        <v>67</v>
      </c>
    </row>
    <row r="21" spans="1:7" ht="15.75" thickBot="1" x14ac:dyDescent="0.3">
      <c r="A21" s="3" t="s">
        <v>18</v>
      </c>
      <c r="B21" s="3">
        <v>2988</v>
      </c>
      <c r="C21" s="3">
        <v>147</v>
      </c>
      <c r="D21" s="3">
        <v>20.39</v>
      </c>
      <c r="E21" s="3">
        <v>38.9</v>
      </c>
      <c r="F21" s="3">
        <v>0.30499999999999999</v>
      </c>
      <c r="G21" t="s">
        <v>67</v>
      </c>
    </row>
    <row r="22" spans="1:7" x14ac:dyDescent="0.25">
      <c r="A22" s="2" t="s">
        <v>26</v>
      </c>
      <c r="B22" s="2">
        <v>794</v>
      </c>
      <c r="C22" s="2">
        <v>103</v>
      </c>
      <c r="D22" s="2">
        <v>20.908000000000001</v>
      </c>
      <c r="E22" s="2">
        <v>52.9</v>
      </c>
      <c r="F22" s="2">
        <v>0.154</v>
      </c>
      <c r="G22" t="s">
        <v>68</v>
      </c>
    </row>
    <row r="23" spans="1:7" x14ac:dyDescent="0.25">
      <c r="A23" s="2" t="s">
        <v>27</v>
      </c>
      <c r="B23" s="2">
        <v>1076</v>
      </c>
      <c r="C23" s="2">
        <v>160</v>
      </c>
      <c r="D23" s="2">
        <v>20.89</v>
      </c>
      <c r="E23" s="2">
        <v>53.1</v>
      </c>
      <c r="F23" s="2">
        <v>0.23</v>
      </c>
      <c r="G23" t="s">
        <v>68</v>
      </c>
    </row>
    <row r="24" spans="1:7" x14ac:dyDescent="0.25">
      <c r="A24" s="2" t="s">
        <v>28</v>
      </c>
      <c r="B24" s="2">
        <v>1255</v>
      </c>
      <c r="C24" s="2">
        <v>229</v>
      </c>
      <c r="D24" s="2">
        <v>20.905999999999999</v>
      </c>
      <c r="E24" s="2">
        <v>53.1</v>
      </c>
      <c r="F24" s="2">
        <v>0.27700000000000002</v>
      </c>
      <c r="G24" t="s">
        <v>68</v>
      </c>
    </row>
    <row r="25" spans="1:7" x14ac:dyDescent="0.25">
      <c r="A25" s="2" t="s">
        <v>29</v>
      </c>
      <c r="B25" s="2">
        <v>1348</v>
      </c>
      <c r="C25" s="2">
        <v>254</v>
      </c>
      <c r="D25" s="2">
        <v>20.914000000000001</v>
      </c>
      <c r="E25" s="2">
        <v>53.2</v>
      </c>
      <c r="F25" s="2">
        <v>0.34899999999999998</v>
      </c>
      <c r="G25" t="s">
        <v>68</v>
      </c>
    </row>
    <row r="26" spans="1:7" x14ac:dyDescent="0.25">
      <c r="A26" s="2" t="s">
        <v>30</v>
      </c>
      <c r="B26" s="2">
        <v>1538</v>
      </c>
      <c r="C26" s="2">
        <v>332</v>
      </c>
      <c r="D26" s="2">
        <v>20.888999999999999</v>
      </c>
      <c r="E26" s="2">
        <v>53.8</v>
      </c>
      <c r="F26" s="2">
        <v>0.40600000000000003</v>
      </c>
      <c r="G26" t="s">
        <v>68</v>
      </c>
    </row>
    <row r="27" spans="1:7" x14ac:dyDescent="0.25">
      <c r="A27" s="2" t="s">
        <v>31</v>
      </c>
      <c r="B27" s="2">
        <v>1654</v>
      </c>
      <c r="C27" s="2">
        <v>389</v>
      </c>
      <c r="D27" s="2">
        <v>20.873000000000001</v>
      </c>
      <c r="E27" s="2">
        <v>53.4</v>
      </c>
      <c r="F27" s="2">
        <v>0.40600000000000003</v>
      </c>
      <c r="G27" t="s">
        <v>68</v>
      </c>
    </row>
    <row r="28" spans="1:7" x14ac:dyDescent="0.25">
      <c r="A28" s="2" t="s">
        <v>32</v>
      </c>
      <c r="B28" s="2">
        <v>1786</v>
      </c>
      <c r="C28" s="2">
        <v>452</v>
      </c>
      <c r="D28" s="2">
        <v>20.911999999999999</v>
      </c>
      <c r="E28" s="2">
        <v>53</v>
      </c>
      <c r="F28" s="2">
        <v>0.47</v>
      </c>
      <c r="G28" t="s">
        <v>68</v>
      </c>
    </row>
    <row r="29" spans="1:7" x14ac:dyDescent="0.25">
      <c r="A29" s="2" t="s">
        <v>33</v>
      </c>
      <c r="B29" s="2">
        <v>1816</v>
      </c>
      <c r="C29" s="2">
        <v>398</v>
      </c>
      <c r="D29" s="2">
        <v>20.788</v>
      </c>
      <c r="E29" s="2">
        <v>53.5</v>
      </c>
      <c r="F29" s="2">
        <v>0.55900000000000005</v>
      </c>
      <c r="G29" t="s">
        <v>68</v>
      </c>
    </row>
    <row r="30" spans="1:7" x14ac:dyDescent="0.25">
      <c r="A30" s="2" t="s">
        <v>34</v>
      </c>
      <c r="B30" s="2">
        <v>1817</v>
      </c>
      <c r="C30" s="2">
        <v>462</v>
      </c>
      <c r="D30" s="2">
        <v>20.916</v>
      </c>
      <c r="E30" s="2">
        <v>53.3</v>
      </c>
      <c r="F30" s="2">
        <v>0.55900000000000005</v>
      </c>
      <c r="G30" t="s">
        <v>68</v>
      </c>
    </row>
    <row r="31" spans="1:7" x14ac:dyDescent="0.25">
      <c r="A31" s="2" t="s">
        <v>35</v>
      </c>
      <c r="B31" s="2">
        <v>1916</v>
      </c>
      <c r="C31" s="2">
        <v>281</v>
      </c>
      <c r="D31" s="2">
        <v>20.88</v>
      </c>
      <c r="E31" s="2">
        <v>53</v>
      </c>
      <c r="F31" s="2">
        <v>0.55900000000000005</v>
      </c>
      <c r="G31" t="s">
        <v>68</v>
      </c>
    </row>
    <row r="32" spans="1:7" x14ac:dyDescent="0.25">
      <c r="A32" s="2" t="s">
        <v>36</v>
      </c>
      <c r="B32" s="2">
        <v>2042</v>
      </c>
      <c r="C32" s="2">
        <v>285</v>
      </c>
      <c r="D32" s="2">
        <v>20.959</v>
      </c>
      <c r="E32" s="2">
        <v>53.3</v>
      </c>
      <c r="F32" s="2">
        <v>0.254</v>
      </c>
      <c r="G32" t="s">
        <v>68</v>
      </c>
    </row>
    <row r="33" spans="1:7" x14ac:dyDescent="0.25">
      <c r="A33" s="2" t="s">
        <v>37</v>
      </c>
      <c r="B33" s="2">
        <v>2438</v>
      </c>
      <c r="C33" s="2">
        <v>168</v>
      </c>
      <c r="D33" s="2">
        <v>20.872</v>
      </c>
      <c r="E33" s="2">
        <v>53</v>
      </c>
      <c r="F33" s="2">
        <v>0.30499999999999999</v>
      </c>
      <c r="G33" t="s">
        <v>68</v>
      </c>
    </row>
    <row r="34" spans="1:7" x14ac:dyDescent="0.25">
      <c r="A34" s="2" t="s">
        <v>38</v>
      </c>
      <c r="B34" s="2">
        <v>2493</v>
      </c>
      <c r="C34" s="2">
        <v>168</v>
      </c>
      <c r="D34" s="2">
        <v>20.867999999999999</v>
      </c>
      <c r="E34" s="2">
        <v>53.5</v>
      </c>
      <c r="F34" s="2">
        <v>0.30499999999999999</v>
      </c>
      <c r="G34" t="s">
        <v>68</v>
      </c>
    </row>
    <row r="35" spans="1:7" ht="15.75" thickBot="1" x14ac:dyDescent="0.3">
      <c r="A35" s="3" t="s">
        <v>39</v>
      </c>
      <c r="B35" s="3">
        <v>2963</v>
      </c>
      <c r="C35" s="3">
        <v>172</v>
      </c>
      <c r="D35" s="3">
        <v>20.911999999999999</v>
      </c>
      <c r="E35" s="3">
        <v>53.1</v>
      </c>
      <c r="F35" s="3">
        <v>0.30499999999999999</v>
      </c>
      <c r="G35" t="s">
        <v>68</v>
      </c>
    </row>
    <row r="36" spans="1:7" x14ac:dyDescent="0.25">
      <c r="B36" s="9">
        <v>0</v>
      </c>
      <c r="C36" s="9">
        <v>0</v>
      </c>
      <c r="G36" t="s">
        <v>69</v>
      </c>
    </row>
    <row r="37" spans="1:7" x14ac:dyDescent="0.25">
      <c r="B37" s="2">
        <v>200</v>
      </c>
      <c r="C37" s="2">
        <v>9.8943355239277047</v>
      </c>
      <c r="G37" t="s">
        <v>69</v>
      </c>
    </row>
    <row r="38" spans="1:7" x14ac:dyDescent="0.25">
      <c r="B38" s="2">
        <v>400</v>
      </c>
      <c r="C38" s="2">
        <v>31.095138524485034</v>
      </c>
      <c r="G38" t="s">
        <v>69</v>
      </c>
    </row>
    <row r="39" spans="1:7" x14ac:dyDescent="0.25">
      <c r="B39" s="2">
        <v>600</v>
      </c>
      <c r="C39" s="2">
        <v>62.524176142750633</v>
      </c>
      <c r="G39" t="s">
        <v>69</v>
      </c>
    </row>
    <row r="40" spans="1:7" x14ac:dyDescent="0.25">
      <c r="B40" s="2">
        <v>800</v>
      </c>
      <c r="C40" s="2">
        <v>102.80833767372728</v>
      </c>
      <c r="G40" t="s">
        <v>69</v>
      </c>
    </row>
    <row r="41" spans="1:7" x14ac:dyDescent="0.25">
      <c r="B41" s="2">
        <v>1000</v>
      </c>
      <c r="C41" s="2">
        <v>150.43632830787061</v>
      </c>
      <c r="G41" t="s">
        <v>69</v>
      </c>
    </row>
    <row r="42" spans="1:7" x14ac:dyDescent="0.25">
      <c r="B42" s="2">
        <v>1200</v>
      </c>
      <c r="C42" s="2">
        <v>203.89584120051484</v>
      </c>
      <c r="G42" t="s">
        <v>69</v>
      </c>
    </row>
    <row r="43" spans="1:7" x14ac:dyDescent="0.25">
      <c r="B43" s="2">
        <v>1400</v>
      </c>
      <c r="C43" s="2">
        <v>261.77414893726365</v>
      </c>
      <c r="G43" t="s">
        <v>69</v>
      </c>
    </row>
    <row r="44" spans="1:7" x14ac:dyDescent="0.25">
      <c r="B44" s="2">
        <v>1600</v>
      </c>
      <c r="C44" s="2">
        <v>322.81870585132765</v>
      </c>
      <c r="G44" t="s">
        <v>69</v>
      </c>
    </row>
    <row r="45" spans="1:7" x14ac:dyDescent="0.25">
      <c r="B45" s="2">
        <v>1800</v>
      </c>
      <c r="C45" s="2">
        <v>385.96346530627193</v>
      </c>
      <c r="G45" t="s">
        <v>69</v>
      </c>
    </row>
    <row r="46" spans="1:7" ht="15.75" thickBot="1" x14ac:dyDescent="0.3">
      <c r="B46" s="3">
        <v>2000</v>
      </c>
      <c r="C46" s="3">
        <v>450.33042981924314</v>
      </c>
      <c r="G4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VAR 4340, Rc=38.3</vt:lpstr>
      <vt:lpstr>AerMet 100, Rc=53.3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szlicht</dc:creator>
  <cp:lastModifiedBy>richard szlicht</cp:lastModifiedBy>
  <dcterms:created xsi:type="dcterms:W3CDTF">2017-06-25T23:06:38Z</dcterms:created>
  <dcterms:modified xsi:type="dcterms:W3CDTF">2017-06-27T06:51:42Z</dcterms:modified>
</cp:coreProperties>
</file>